
<file path=[Content_Types].xml><?xml version="1.0" encoding="utf-8"?>
<Types xmlns="http://schemas.openxmlformats.org/package/2006/content-types">
  <Default Extension="xml" ContentType="application/vnd.openxmlformats-officedocument.spreadsheetml.sheet.main+xml"/>
  <Default Extension="png" ContentType="image/png"/>
  <Default Extension="vml" ContentType="application/vnd.openxmlformats-officedocument.vmlDrawing"/>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4.xml" ContentType="application/vnd.openxmlformats-officedocument.spreadsheetml.worksheet+xml"/>
  <Override PartName="/xl/drawings/drawing2.xml" ContentType="application/vnd.openxmlformats-officedocument.drawing+xml"/>
  <Override PartName="/xl/worksheets/sheet5.xml" ContentType="application/vnd.openxmlformats-officedocument.spreadsheetml.worksheet+xml"/>
  <Override PartName="/xl/drawings/drawing3.xml" ContentType="application/vnd.openxmlformats-officedocument.drawing+xml"/>
  <Override PartName="/xl/worksheets/sheet6.xml" ContentType="application/vnd.openxmlformats-officedocument.spreadsheetml.worksheet+xml"/>
  <Override PartName="/xl/drawings/drawing4.xml" ContentType="application/vnd.openxmlformats-officedocument.drawing+xml"/>
  <Override PartName="/xl/worksheets/sheet7.xml" ContentType="application/vnd.openxmlformats-officedocument.spreadsheetml.worksheet+xml"/>
  <Override PartName="/xl/drawings/drawing5.xml" ContentType="application/vnd.openxmlformats-officedocument.drawing+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comments1.xml" ContentType="application/vnd.openxmlformats-officedocument.spreadsheetml.comments+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drawings/drawing6.xml" ContentType="application/vnd.openxmlformats-officedocument.drawing+xml"/>
  <Override PartName="/xl/drawings/charts/chart1.xml" ContentType="application/vnd.openxmlformats-officedocument.drawingml.chart+xml"/>
  <Override PartName="/xl/worksheets/sheet21.xml" ContentType="application/vnd.openxmlformats-officedocument.spreadsheetml.worksheet+xml"/>
  <Override PartName="/xl/drawings/drawing7.xml" ContentType="application/vnd.openxmlformats-officedocument.drawing+xml"/>
  <Override PartName="/xl/worksheets/sheet22.xml" ContentType="application/vnd.openxmlformats-officedocument.spreadsheetml.worksheet+xml"/>
  <Override PartName="/xl/comments2.xml" ContentType="application/vnd.openxmlformats-officedocument.spreadsheetml.comments+xml"/>
  <Override PartName="/xl/worksheets/sheet23.xml" ContentType="application/vnd.openxmlformats-officedocument.spreadsheetml.worksheet+xml"/>
  <Override PartName="/xl/comments3.xml" ContentType="application/vnd.openxmlformats-officedocument.spreadsheetml.comments+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persons/person.xml" ContentType="application/vnd.ms-excel.person+xml"/>
</Types>
</file>

<file path=_rels/.rels>&#65279;<?xml version="1.0" encoding="utf-8"?><Relationships xmlns="http://schemas.openxmlformats.org/package/2006/relationships"><Relationship Type="http://schemas.openxmlformats.org/officeDocument/2006/relationships/officeDocument" Target="/xl/workbook.xml" Id="Ra92f5309f5b748a5" /></Relationships>
</file>

<file path=xl/workbook.xml><?xml version="1.0" encoding="utf-8"?>
<workbook xmlns="http://schemas.openxmlformats.org/spreadsheetml/2006/main" xmlns:r="http://schemas.openxmlformats.org/officeDocument/2006/relationships">
  <sheets>
    <sheet name="Assumptions" sheetId="1" r:id="Re3ef390fb17d4cd7"/>
    <sheet name="Project Summary" sheetId="2" r:id="R20d1fb83e92848ea"/>
    <sheet name="JYI-Project Summary" sheetId="3" r:id="R38f60b8b6fbb40f3"/>
    <sheet name="JYI-Hotel Deal Overview" sheetId="4" r:id="Rd3834c5c894948a6"/>
    <sheet name="JYI-Bank Loans" sheetId="5" r:id="R5b6707b5ea4e4285"/>
    <sheet name="JYI-Loan Amortization" sheetId="6" r:id="R0a9970717ae94e7d"/>
    <sheet name="JYI-Budget Annual" sheetId="7" r:id="R58d8043a08a7418d"/>
    <sheet name="Hotel Operating" sheetId="8" r:id="Rc0e804a4e58a4a98"/>
    <sheet name="Hotel Operating-DET" sheetId="9" r:id="Rb0ca3146771a45ad" state="hidden"/>
    <sheet name="SS Monthly Budget" sheetId="10" r:id="R8a994a408b724174" state="hidden"/>
    <sheet name="Sensitivity" sheetId="11" r:id="R35ee774101bb4ba0" state="hidden"/>
    <sheet name="Cost Outflows" sheetId="12" r:id="R797c57973a8c4487" state="hidden"/>
    <sheet name="Annual CF" sheetId="13" r:id="R7fdf58a741304a49" state="hidden"/>
    <sheet name="Cost Detail" sheetId="14" r:id="R00e13d4fc9b44d08" state="hidden"/>
    <sheet name="Construction Interest" sheetId="15" r:id="R71b022bed14b4215"/>
    <sheet name="Perm Loan &amp; Amort" sheetId="16" r:id="R6dfee1679aa1427f"/>
    <sheet name="Promote" sheetId="17" r:id="R1cae9f781d694ec0" state="hidden"/>
    <sheet name="F&amp;B" sheetId="18" r:id="Rbff7ad756fc14d07" state="hidden"/>
    <sheet name="Incentives" sheetId="19" r:id="R06ef674f26474dce" state="hidden"/>
    <sheet name="S&amp;U-Timeline" sheetId="20" r:id="Rc5f6bc7ea9c34fe9" state="hidden"/>
    <sheet name="Tax Notes" sheetId="21" r:id="R0d2ad8ac2e684042" state="hidden"/>
    <sheet name="Net Income" sheetId="22" r:id="R5895373d06cb4c77" state="hidden"/>
    <sheet name="Depreciation" sheetId="23" r:id="R527812e5743b48ba" state="hidden"/>
    <sheet name="Deck" sheetId="24" r:id="R888f6279a2034738" state="hidden"/>
    <sheet name="Deck (2)" sheetId="25" r:id="R9e7f3fd0f75d44dd" state="hidden"/>
    <sheet name="Co-GP" sheetId="26" r:id="R15f0a491d01c4796" state="hidden"/>
    <sheet name="CGP-Sc1" sheetId="27" r:id="R58403729c8044b69" state="hidden"/>
    <sheet name="CGP-Sc2" sheetId="28" r:id="R5b29aafa29184a79" state="hidden"/>
    <sheet name="CB-Summary" sheetId="29" r:id="Re3089940fecd47e4"/>
    <sheet name="CB-Construction Budget" sheetId="30" r:id="Rfc0357709f564934"/>
    <sheet name="CB-Hotel Add-Ons" sheetId="31" r:id="R6e13ddd3de8d41f7" state="hidden"/>
    <sheet name="CB-Labor &amp; Material" sheetId="32" r:id="Raca5946665844b91" state="hidden"/>
    <sheet name="CB-Assumptions" sheetId="33" r:id="R8868a79546654934" state="hidden"/>
    <sheet name="CB-Hotel vs Residential" sheetId="34" r:id="R4c55c02b5bf84452" state="hidden"/>
    <sheet name="SRC-FFE Procurement" sheetId="35" r:id="Rc7b9867129464cdc" state="hidden"/>
    <sheet name="FFE-FF&amp;E" sheetId="36" r:id="Rdf7885ca795f4e0c"/>
    <sheet name="Crew Room Scenario" sheetId="37" r:id="Rf9440f73fb7c4850" state="hidden"/>
  </sheets>
  <calcPr calcMode="auto" fullCalcOnLoad="1" forceFullCalc="1"/>
</workbook>
</file>

<file path=xl/comments1.xml><?xml version="1.0" encoding="utf-8"?>
<x:comments xmlns:x="http://schemas.openxmlformats.org/spreadsheetml/2006/main">
  <x:authors>
    <x:author>tc={0ED190F4-4B44-48D6-B6A1-D84B962053F0}</x:author>
  </x:authors>
  <x:commentList>
    <x:comment ref="H165" authorId="0">
      <x:text>
        <x:r>
          <x:t>tc={0ED190F4-4B44-48D6-B6A1-D84B962053F0}:
[Threaded comment]
Your version of Excel allows you to read this threaded comment; however, any edits to it will get removed if the file is opened in a newer version of Excel. Learn more: https://go.microsoft.com/fwlink/?linkid=870924
Comment:
    This category is for design and not install, so may need to reassign later.</x:t>
        </x:r>
      </x:text>
    </x:comment>
  </x:commentList>
</x:comments>
</file>

<file path=xl/comments2.xml><?xml version="1.0" encoding="utf-8"?>
<x:comments xmlns:x="http://schemas.openxmlformats.org/spreadsheetml/2006/main">
  <x:authors>
    <x:author>tc={BEF380B8-DCD8-4F9A-8265-9F6A930D3542}</x:author>
    <x:author>tc={03EDDF01-D4B8-4901-B6A4-E0AC20A5B342}</x:author>
    <x:author>tc={82ED53EC-07F6-4359-8C38-CFD9049C175B}</x:author>
  </x:authors>
  <x:commentList>
    <x:comment ref="D10" authorId="0">
      <x:text>
        <x:r>
          <x:t>tc={BEF380B8-DCD8-4F9A-8265-9F6A930D3542}:
[Threaded comment]
Your version of Excel allows you to read this threaded comment; however, any edits to it will get removed if the file is opened in a newer version of Excel. Learn more: https://go.microsoft.com/fwlink/?linkid=870924
Comment:
    Enter Partner Equity amount here</x:t>
        </x:r>
      </x:text>
    </x:comment>
    <x:comment ref="D44" authorId="1">
      <x:text>
        <x:r>
          <x:t>tc={03EDDF01-D4B8-4901-B6A4-E0AC20A5B342}:
[Threaded comment]
Your version of Excel allows you to read this threaded comment; however, any edits to it will get removed if the file is opened in a newer version of Excel. Learn more: https://go.microsoft.com/fwlink/?linkid=870924
Comment:
    Per SR for State of AL</x:t>
        </x:r>
      </x:text>
    </x:comment>
    <x:comment ref="D72" authorId="2">
      <x:text>
        <x:r>
          <x:t>tc={82ED53EC-07F6-4359-8C38-CFD9049C175B}:
[Threaded comment]
Your version of Excel allows you to read this threaded comment; however, any edits to it will get removed if the file is opened in a newer version of Excel. Learn more: https://go.microsoft.com/fwlink/?linkid=870924
Comment:
    Per SR for State of AL</x:t>
        </x:r>
      </x:text>
    </x:comment>
  </x:commentList>
</x:comments>
</file>

<file path=xl/comments3.xml><?xml version="1.0" encoding="utf-8"?>
<x:comments xmlns:x="http://schemas.openxmlformats.org/spreadsheetml/2006/main">
  <x:authors>
    <x:author>tc={6F258978-E8F3-4A13-9A51-82624BF00349}</x:author>
    <x:author>John Reinhart</x:author>
  </x:authors>
  <x:commentList>
    <x:comment ref="C15" authorId="0">
      <x:text>
        <x:r>
          <x:t>tc={6F258978-E8F3-4A13-9A51-82624BF00349}:
[Threaded comment]
Your version of Excel allows you to read this threaded comment; however, any edits to it will get removed if the file is opened in a newer version of Excel. Learn more: https://go.microsoft.com/fwlink/?linkid=870924
Comment:
    Dep over 39 years SL
</x:t>
        </x:r>
      </x:text>
    </x:comment>
    <x:comment ref="C22" authorId="1">
      <x:text>
        <x:r>
          <x:t>John Reinhart:
SL over lease term - 10 years</x:t>
        </x:r>
      </x:text>
    </x:comment>
  </x:commentList>
</x:comments>
</file>

<file path=xl/sharedStrings.xml><?xml version="1.0" encoding="utf-8"?>
<x:sst xmlns:x="http://schemas.openxmlformats.org/spreadsheetml/2006/main"/>
</file>

<file path=xl/styles.xml><?xml version="1.0" encoding="utf-8"?>
<x:styleSheet xmlns:x="http://schemas.openxmlformats.org/spreadsheetml/2006/main">
  <x:numFmts count="74">
    <x:numFmt numFmtId="164" formatCode="&quot;Revised: &quot;mm/dd/yy"/>
    <x:numFmt numFmtId="165" formatCode="&quot;$&quot;#,##0;&quot;($&quot;#,##0);&quot;-&quot;"/>
    <x:numFmt numFmtId="166" formatCode="&quot;$&quot;#,##0.00;&quot;($&quot;#,##0.00);&quot;-&quot;"/>
    <x:numFmt numFmtId="167" formatCode="0.00&quot; Acres&quot;"/>
    <x:numFmt numFmtId="168" formatCode="0.0&quot; yrs&quot;"/>
    <x:numFmt numFmtId="169" formatCode="0&quot; Rooms&quot;"/>
    <x:numFmt numFmtId="170" formatCode="0.0%"/>
    <x:numFmt numFmtId="171" formatCode="#,##0&quot; GSF&quot;"/>
    <x:numFmt numFmtId="172" formatCode="#,##0&quot; Pk Sp&quot;"/>
    <x:numFmt numFmtId="173" formatCode="0&quot; yrs&quot;"/>
    <x:numFmt numFmtId="174" formatCode="mmm&quot;-&quot;yy"/>
    <x:numFmt numFmtId="175" formatCode="#,##0.0"/>
    <x:numFmt numFmtId="176" formatCode="&quot;$&quot;#,##0"/>
    <x:numFmt numFmtId="177" formatCode="0.0"/>
    <x:numFmt numFmtId="178" formatCode="&quot;$&quot;#,##0.00"/>
    <x:numFmt numFmtId="179" formatCode="&quot; &quot;* #,##0&quot; &quot;;&quot; &quot;* (#,##0);&quot; &quot;* &quot;-&quot;??&quot; &quot;"/>
    <x:numFmt numFmtId="180" formatCode="&quot;MODEL REVISED: &quot;mmm&quot; &quot;d&quot; &quot;yyyy"/>
    <x:numFmt numFmtId="181" formatCode="m/d/yyyy"/>
    <x:numFmt numFmtId="182" formatCode="&quot;Y&quot;0"/>
    <x:numFmt numFmtId="183" formatCode="&quot;YR &quot;#"/>
    <x:numFmt numFmtId="184" formatCode="&quot; &quot;* #,##0.00&quot; &quot;;&quot; &quot;* (#,##0.00);&quot; &quot;* &quot;-&quot;??&quot; &quot;"/>
    <x:numFmt numFmtId="185" formatCode="&quot;[&quot;0&quot;]&quot;"/>
    <x:numFmt numFmtId="186" formatCode="#,##0&quot; &quot;;(#,##0)"/>
    <x:numFmt numFmtId="187" formatCode="@&quot; Equity&quot;"/>
    <x:numFmt numFmtId="188" formatCode="&quot;Mth &quot;#"/>
    <x:numFmt numFmtId="189" formatCode="&quot; &quot;&quot;$&quot;* #,##0&quot; &quot;;&quot; &quot;&quot;$&quot;* (#,##0);&quot; &quot;&quot;$&quot;* &quot;-&quot;??&quot; &quot;"/>
    <x:numFmt numFmtId="190" formatCode="#.##&quot; DSCR&quot;"/>
    <x:numFmt numFmtId="191" formatCode="&quot;$&quot;#,##0&quot; &quot;;&quot;($&quot;#,##0)"/>
    <x:numFmt numFmtId="192" formatCode="#.00&quot; Acres&quot;"/>
    <x:numFmt numFmtId="193" formatCode="#&quot; Rooms&quot;"/>
    <x:numFmt numFmtId="194" formatCode="&quot; &quot;&quot;$&quot;* #,##0&quot; &quot;;&quot; &quot;&quot;$&quot;* (#,##0);&quot; &quot;&quot;$&quot;* &quot;- &quot;"/>
    <x:numFmt numFmtId="195" formatCode="#,###&quot; GSF&quot;"/>
    <x:numFmt numFmtId="196" formatCode="#&quot; Pk Sp&quot;"/>
    <x:numFmt numFmtId="197" formatCode="&quot; &quot;* #,##0&quot; &quot;;&quot;-&quot;* #,##0&quot; &quot;;&quot; &quot;* &quot;-&quot;??&quot; &quot;"/>
    <x:numFmt numFmtId="198" formatCode="&quot; &quot;* #,##0.0&quot; &quot;;&quot; &quot;* (#,##0.0);&quot; &quot;* &quot;-&quot;??&quot; &quot;"/>
    <x:numFmt numFmtId="199" formatCode="&quot;YR &quot;0"/>
    <x:numFmt numFmtId="200" formatCode="&quot; &quot;&quot;$&quot;* #,##0.00&quot; &quot;;&quot; &quot;&quot;$&quot;* (#,##0.00);&quot; &quot;&quot;$&quot;* &quot;-&quot;??&quot; &quot;"/>
    <x:numFmt numFmtId="201" formatCode="&quot;$&quot;#,##0.00&quot; &quot;;&quot;($&quot;#,##0.00)"/>
    <x:numFmt numFmtId="202" formatCode="0.00?%&quot; &quot;"/>
    <x:numFmt numFmtId="203" formatCode="0&quot; &quot;"/>
    <x:numFmt numFmtId="204" formatCode="#,##0.00&quot; &quot;;(#,##0.00)"/>
    <x:numFmt numFmtId="205" formatCode="&quot;$&quot;#,##0.00;&quot;$&quot;#,##0.00"/>
    <x:numFmt numFmtId="206" formatCode="mmmm&quot; &quot;d&quot;, &quot;yyyy"/>
    <x:numFmt numFmtId="207" formatCode="#&quot; Days&quot;"/>
    <x:numFmt numFmtId="208" formatCode="0%;&quot;-&quot;0%;&quot;-&quot;"/>
    <x:numFmt numFmtId="209" formatCode="#,##0;(#,##0);&quot;-&quot;"/>
    <x:numFmt numFmtId="210" formatCode="0.00%;(0.00%);&quot;-&quot;"/>
    <x:numFmt numFmtId="211" formatCode="0.00&quot;x&quot;"/>
    <x:numFmt numFmtId="212" formatCode="&quot;Revised &quot;yyyy/m/d"/>
    <x:numFmt numFmtId="213" formatCode="&quot;$&quot;#,###&quot;/key&quot;"/>
    <x:numFmt numFmtId="214" formatCode="&quot;$&quot;#.00#&quot;/sf&quot;"/>
    <x:numFmt numFmtId="215" formatCode="&quot; &quot;* #,##0.0&quot; &quot;;&quot; &quot;* (#,##0.0);&quot; &quot;* &quot;-&quot;?&quot; &quot;"/>
    <x:numFmt numFmtId="216" formatCode="#.00&quot;x&quot;"/>
    <x:numFmt numFmtId="217" formatCode="&quot; &quot;* #,##0.0000&quot; &quot;;&quot; &quot;* (#,##0.0000);&quot; &quot;* &quot;-&quot;??&quot; &quot;"/>
    <x:numFmt numFmtId="218" formatCode="&quot;IRR: &quot;0.0%"/>
    <x:numFmt numFmtId="219" formatCode="&quot; &quot;* #,##0.0000&quot; &quot;;&quot; &quot;* (#,##0.0000);&quot; &quot;* &quot;-&quot;????&quot; &quot;"/>
    <x:numFmt numFmtId="220" formatCode="&quot;Rev: &quot;mm/dd/yy"/>
    <x:numFmt numFmtId="221" formatCode="&quot; &quot;* #,##0.000000&quot; &quot;;&quot; &quot;* (#,##0.000000);&quot; &quot;* &quot;-&quot;??&quot; &quot;"/>
    <x:numFmt numFmtId="222" formatCode="&quot;Year &quot;0"/>
    <x:numFmt numFmtId="223" formatCode="&quot; &quot;* #,##0&quot; &quot;;&quot; &quot;* (#,##0);&quot; &quot;* &quot;- &quot;"/>
    <x:numFmt numFmtId="224" formatCode="0.00%&quot; IRR&quot;"/>
    <x:numFmt numFmtId="225" formatCode="dd&quot;-&quot;mmm&quot;-&quot;yy&quot; &quot;"/>
    <x:numFmt numFmtId="226" formatCode="0.0%&quot; Exp/Inc Ratio&quot;"/>
    <x:numFmt numFmtId="227" formatCode="#,##0.00;(#,##0.00);&quot;-&quot;"/>
    <x:numFmt numFmtId="228" formatCode="0.0%;(0.0%);&quot;-&quot;"/>
    <x:numFmt numFmtId="229" formatCode="0.00&quot;:1&quot;"/>
    <x:numFmt numFmtId="230" formatCode="&quot;$&quot;#,##0;&quot;($&quot;#,##0)"/>
    <x:numFmt numFmtId="231" formatCode="$0.00"/>
    <x:numFmt numFmtId="232" formatCode="$#,##0"/>
    <x:numFmt numFmtId="233" formatCode="$#,##0;[Red]($#,##0);-"/>
    <x:numFmt numFmtId="234" formatCode="#,##0;[Red](#,##0);-"/>
    <x:numFmt numFmtId="235" formatCode="0.0%;[Red](0.0%);-"/>
    <x:numFmt numFmtId="236" formatCode="$0.00;[Red]($0.00);-"/>
    <x:numFmt numFmtId="237" formatCode="\$#,##0.00"/>
  </x:numFmts>
  <x:fonts count="128">
    <x:font>
      <x:sz val="11"/>
      <x:color indexed="8"/>
      <x:name val="Arial"/>
    </x:font>
    <x:font>
      <x:sz val="12"/>
      <x:color indexed="8"/>
      <x:name val="Arial"/>
    </x:font>
    <x:font>
      <x:sz val="14"/>
      <x:color indexed="8"/>
      <x:name val="Arial"/>
    </x:font>
    <x:font>
      <x:sz val="9"/>
      <x:color indexed="8"/>
      <x:name val="Arial"/>
    </x:font>
    <x:font>
      <x:sz val="12"/>
      <x:color indexed="11"/>
      <x:name val="Arial"/>
    </x:font>
    <x:font>
      <x:sz val="15"/>
      <x:color indexed="8"/>
      <x:name val="Calibri"/>
    </x:font>
    <x:font>
      <x:sz val="15"/>
      <x:color indexed="8"/>
      <x:name val="Arial"/>
    </x:font>
    <x:font>
      <x:sz val="10"/>
      <x:color indexed="8"/>
      <x:name val="Arial"/>
    </x:font>
    <x:font>
      <x:sz val="10"/>
      <x:color indexed="14"/>
      <x:name val="Arial"/>
    </x:font>
    <x:font>
      <x:sz val="12"/>
      <x:color indexed="8"/>
      <x:name val="Helvetica Neue"/>
    </x:font>
    <x:font>
      <x:sz val="16"/>
      <x:color indexed="8"/>
      <x:name val="Arial"/>
    </x:font>
    <x:font>
      <x:sz val="10"/>
      <x:color indexed="16"/>
      <x:name val="Arial"/>
    </x:font>
    <x:font>
      <x:sz val="10"/>
      <x:color indexed="12"/>
      <x:name val="Arial"/>
    </x:font>
    <x:font>
      <x:sz val="10"/>
      <x:color indexed="18"/>
      <x:name val="Arial"/>
    </x:font>
    <x:font>
      <x:sz val="10"/>
      <x:color indexed="11"/>
      <x:name val="Arial"/>
    </x:font>
    <x:font>
      <x:sz val="9"/>
      <x:color indexed="16"/>
      <x:name val="Arial"/>
    </x:font>
    <x:font>
      <x:sz val="14"/>
      <x:color indexed="12"/>
      <x:name val="Arial"/>
    </x:font>
    <x:font>
      <x:sz val="9"/>
      <x:color indexed="25"/>
      <x:name val="Arial"/>
    </x:font>
    <x:font>
      <x:sz val="11"/>
      <x:color indexed="12"/>
      <x:name val="Arial"/>
    </x:font>
    <x:font>
      <x:sz val="9"/>
      <x:color indexed="8"/>
      <x:name val="Calibri"/>
    </x:font>
    <x:font>
      <x:sz val="10"/>
      <x:color indexed="28"/>
      <x:name val="Arial"/>
    </x:font>
    <x:font>
      <x:sz val="13"/>
      <x:color indexed="8"/>
      <x:name val="Arial"/>
    </x:font>
    <x:font>
      <x:sz val="10"/>
      <x:color indexed="30"/>
      <x:name val="Arial"/>
    </x:font>
    <x:font>
      <x:sz val="10"/>
      <x:color indexed="31"/>
      <x:name val="Arial"/>
    </x:font>
    <x:font>
      <x:sz val="10"/>
      <x:color indexed="19"/>
      <x:name val="Arial"/>
    </x:font>
    <x:font>
      <x:sz val="8"/>
      <x:color indexed="31"/>
      <x:name val="Arial"/>
    </x:font>
    <x:font>
      <x:sz val="8"/>
      <x:color indexed="8"/>
      <x:name val="Arial"/>
    </x:font>
    <x:font>
      <x:sz val="11"/>
      <x:color indexed="8"/>
      <x:name val="Calibri"/>
    </x:font>
    <x:font>
      <x:sz val="8"/>
      <x:color indexed="12"/>
      <x:name val="Arial"/>
    </x:font>
    <x:font>
      <x:sz val="11"/>
      <x:color indexed="19"/>
      <x:name val="Calibri"/>
    </x:font>
    <x:font>
      <x:sz val="8"/>
      <x:color indexed="19"/>
      <x:name val="Arial"/>
    </x:font>
    <x:font>
      <x:sz val="7"/>
      <x:color indexed="8"/>
      <x:name val="Arial"/>
    </x:font>
    <x:font>
      <x:sz val="10"/>
      <x:color indexed="46"/>
      <x:name val="Arial"/>
    </x:font>
    <x:font>
      <x:sz val="12"/>
      <x:color indexed="46"/>
      <x:name val="Arial"/>
    </x:font>
    <x:font>
      <x:sz val="12"/>
      <x:color indexed="8"/>
      <x:name val="Times New Roman"/>
    </x:font>
    <x:font>
      <x:sz val="9"/>
      <x:color indexed="19"/>
      <x:name val="Arial"/>
    </x:font>
    <x:font>
      <x:sz val="12"/>
      <x:color indexed="19"/>
      <x:name val="Arial"/>
    </x:font>
    <x:font>
      <x:sz val="12"/>
      <x:color indexed="48"/>
      <x:name val="Times New Roman"/>
    </x:font>
    <x:font>
      <x:sz val="4"/>
      <x:color indexed="8"/>
      <x:name val="Arial"/>
    </x:font>
    <x:font>
      <x:sz val="18"/>
      <x:color indexed="8"/>
      <x:name val="Arial"/>
    </x:font>
    <x:font>
      <x:sz val="10"/>
      <x:color indexed="49"/>
      <x:name val="Arial"/>
    </x:font>
    <x:font>
      <x:sz val="10"/>
      <x:color indexed="8"/>
      <x:name val="Arial"/>
    </x:font>
    <x:font>
      <x:sz val="22"/>
      <x:color indexed="8"/>
      <x:name val="Arial"/>
    </x:font>
    <x:font>
      <x:sz val="36"/>
      <x:color indexed="8"/>
      <x:name val="Arial"/>
    </x:font>
    <x:font>
      <x:sz val="8"/>
      <x:color indexed="25"/>
      <x:name val="Arial"/>
    </x:font>
    <x:font>
      <x:sz val="10"/>
      <x:color indexed="56"/>
      <x:name val="Arial"/>
    </x:font>
    <x:font>
      <x:sz val="10"/>
      <x:color indexed="8"/>
      <x:name val="Roboto Condensed"/>
    </x:font>
    <x:font>
      <x:sz val="11"/>
      <x:color indexed="56"/>
      <x:name val="Arial"/>
    </x:font>
    <x:font>
      <x:sz val="12"/>
      <x:color indexed="12"/>
      <x:name val="Arial"/>
    </x:font>
    <x:font>
      <x:sz val="10"/>
      <x:color rgb="FFC00000"/>
      <x:name val="Arial"/>
    </x:font>
    <x:font>
      <x:sz val="10"/>
      <x:color rgb="FF009900"/>
      <x:name val="Arial"/>
    </x:font>
    <x:font>
      <x:sz val="11"/>
      <x:color indexed="8"/>
      <x:name val="Helvetica Neue"/>
    </x:font>
    <x:font>
      <x:sz val="10"/>
      <x:color indexed="11"/>
      <x:name val="Calibri"/>
    </x:font>
    <x:font>
      <x:sz val="10"/>
      <x:color indexed="8"/>
      <x:name val="Calibri"/>
    </x:font>
    <x:font>
      <x:sz val="10"/>
      <x:color rgb="FF0000CC"/>
      <x:name val="Arial"/>
    </x:font>
    <x:font>
      <x:sz val="10"/>
      <x:color indexed="33"/>
      <x:name val="Arial"/>
    </x:font>
    <x:font>
      <x:sz val="12"/>
      <x:color indexed="33"/>
      <x:name val="Arial"/>
    </x:font>
    <x:font>
      <x:sz val="10"/>
      <x:color rgb="FF333F4F"/>
      <x:name val="Arial"/>
    </x:font>
    <x:font>
      <x:sz val="11"/>
      <x:color indexed="19"/>
      <x:name val="Arial"/>
    </x:font>
    <x:font>
      <x:sz val="11"/>
      <x:color indexed="28"/>
      <x:name val="Arial"/>
    </x:font>
    <x:font>
      <x:sz val="10"/>
      <x:color indexed="59"/>
      <x:name val="Arial"/>
    </x:font>
    <x:font>
      <x:sz val="18"/>
      <x:color indexed="8"/>
      <x:name val="Calibri"/>
    </x:font>
    <x:font>
      <x:b/>
      <x:sz val="9"/>
      <x:color rgb="FF595959"/>
      <x:name val="Calibri"/>
    </x:font>
    <x:font>
      <x:sz val="14"/>
      <x:color indexed="12"/>
      <x:name val="Calibri"/>
    </x:font>
    <x:font>
      <x:sz val="12"/>
      <x:color indexed="11"/>
      <x:name val="Calibri"/>
    </x:font>
    <x:font>
      <x:sz val="11"/>
      <x:color indexed="12"/>
      <x:name val="Calibri"/>
    </x:font>
    <x:font>
      <x:sz val="11"/>
      <x:color rgb="FF009900"/>
      <x:name val="Calibri"/>
    </x:font>
    <x:font>
      <x:sz val="11"/>
      <x:color indexed="11"/>
      <x:name val="Calibri"/>
    </x:font>
    <x:font>
      <x:sz val="11"/>
      <x:color indexed="8"/>
      <x:name val="Calibri"/>
    </x:font>
    <x:font>
      <x:sz val="9"/>
      <x:color indexed="11"/>
      <x:name val="Calibri"/>
    </x:font>
    <x:font>
      <x:sz val="10"/>
      <x:color indexed="8"/>
      <x:name val="Calibri"/>
    </x:font>
    <x:font>
      <x:sz val="10"/>
      <x:color rgb="FF009900"/>
      <x:name val="Calibri"/>
    </x:font>
    <x:font>
      <x:sz val="10"/>
      <x:color rgb="FF00B050"/>
      <x:name val="Calibri"/>
    </x:font>
    <x:font>
      <x:sz val="10"/>
      <x:color indexed="12"/>
      <x:name val="Arial"/>
    </x:font>
    <x:font>
      <x:sz val="10"/>
      <x:color indexed="8"/>
      <x:name val="Arial"/>
    </x:font>
    <x:font>
      <x:sz val="11"/>
      <x:color indexed="30"/>
      <x:name val="Arial"/>
    </x:font>
    <x:font>
      <x:sz val="11"/>
      <x:color indexed="8"/>
      <x:name val="Arial"/>
    </x:font>
    <x:font>
      <x:sz val="16"/>
      <x:color indexed="12"/>
      <x:name val="Arial"/>
    </x:font>
    <x:font>
      <x:sz val="11"/>
      <x:color rgb="FF595959"/>
      <x:name val="Arial"/>
    </x:font>
    <x:font>
      <x:sz val="11"/>
      <x:color indexed="18"/>
      <x:name val="Arial"/>
    </x:font>
    <x:font>
      <x:sz val="11"/>
      <x:color indexed="11"/>
      <x:name val="Arial"/>
    </x:font>
    <x:font>
      <x:sz val="10"/>
      <x:color rgb="FF3F3F3F"/>
      <x:name val="Arial"/>
    </x:font>
    <x:font>
      <x:sz val="10"/>
      <x:color rgb="FF595959"/>
      <x:name val="Arial"/>
    </x:font>
    <x:font>
      <x:sz val="9"/>
      <x:color rgb="FF7F7F7F"/>
      <x:name val="Arial"/>
    </x:font>
    <x:font>
      <x:sz val="9"/>
      <x:color rgb="FF833C0C"/>
      <x:name val="Arial"/>
    </x:font>
    <x:font>
      <x:sz val="13"/>
      <x:color indexed="24"/>
      <x:name val="Arial"/>
    </x:font>
    <x:font>
      <x:sz val="10"/>
      <x:color indexed="24"/>
      <x:name val="Arial"/>
    </x:font>
    <x:font>
      <x:sz val="13"/>
      <x:color rgb="FF833C0C"/>
      <x:name val="Arial"/>
    </x:font>
    <x:font>
      <x:sz val="10"/>
      <x:color rgb="FF833C0C"/>
      <x:name val="Arial"/>
    </x:font>
    <x:font>
      <x:sz val="12"/>
      <x:color rgb="FF1F3864"/>
      <x:name val="Arial"/>
    </x:font>
    <x:font>
      <x:sz val="10"/>
      <x:color rgb="FF0563C1"/>
      <x:name val="Arial"/>
    </x:font>
    <x:font>
      <x:sz val="9"/>
      <x:color rgb="FF666666"/>
      <x:name val="Arial"/>
    </x:font>
    <x:font>
      <x:sz val="10"/>
      <x:color rgb="FF666666"/>
      <x:name val="Arial"/>
    </x:font>
    <x:font>
      <x:sz val="10"/>
      <x:color rgb="FF0563C1"/>
      <x:name val="Arial"/>
    </x:font>
    <x:font>
      <x:b/>
      <x:sz val="14"/>
      <x:color rgb="FFFFFFFF"/>
    </x:font>
    <x:font>
      <x:b/>
      <x:color rgb="FF000000"/>
    </x:font>
    <x:font>
      <x:b/>
    </x:font>
    <x:font>
      <x:sz val="11"/>
      <x:color rgb="FF000000"/>
      <x:name val="Arial"/>
    </x:font>
    <x:font>
      <x:sz val="11"/>
      <x:color rgb="FF008000"/>
      <x:name val="Arial"/>
    </x:font>
    <x:font>
      <x:sz val="11"/>
      <x:color rgb="FF0000FF"/>
      <x:name val="Arial"/>
    </x:font>
    <x:font>
      <x:sz val="10"/>
      <x:color rgb="FF008000"/>
      <x:name val="Arial"/>
    </x:font>
    <x:font>
      <x:b/>
      <x:color rgb="FFFFFFFF"/>
    </x:font>
    <x:font>
      <x:sz val="11"/>
      <x:color rgb="FF008000"/>
      <x:name val="Calibri"/>
    </x:font>
    <x:font>
      <x:sz val="12"/>
      <x:color rgb="FF008000"/>
      <x:name val="Arial"/>
    </x:font>
    <x:font>
      <x:sz val="9"/>
      <x:color rgb="FF008000"/>
      <x:name val="Arial"/>
    </x:font>
    <x:font>
      <x:b/>
      <x:sz val="16"/>
      <x:color rgb="FFFFFFFF"/>
      <x:name val="Arial"/>
    </x:font>
    <x:font>
      <x:sz val="11"/>
      <x:color rgb="FFFFFFFF"/>
      <x:name val="Arial"/>
    </x:font>
    <x:font>
      <x:sz val="11"/>
      <x:color theme="1"/>
      <x:name val="Calibri"/>
    </x:font>
    <x:font>
      <x:b/>
      <x:sz val="12"/>
      <x:color rgb="FF000000"/>
      <x:name val="Arial"/>
    </x:font>
    <x:font>
      <x:b/>
      <x:sz val="10"/>
      <x:name val="Arial"/>
    </x:font>
    <x:font>
      <x:sz val="10"/>
      <x:name val="Arial"/>
    </x:font>
    <x:font>
      <x:b/>
      <x:sz val="10"/>
      <x:color rgb="FF1F3864"/>
      <x:name val="Arial"/>
    </x:font>
    <x:font>
      <x:b/>
      <x:sz val="10"/>
      <x:color rgb="FFFFFFFF"/>
      <x:name val="Arial"/>
    </x:font>
    <x:font>
      <x:b/>
      <x:sz val="11"/>
      <x:name val="Cambria"/>
    </x:font>
    <x:font>
      <x:b/>
      <x:sz val="12"/>
      <x:color rgb="FF1F3864"/>
      <x:name val="Arial"/>
    </x:font>
    <x:font>
      <x:sz val="10"/>
      <x:color rgb="FF0563C1"/>
      <x:name val="Arial"/>
    </x:font>
    <x:font>
      <x:sz val="9"/>
      <x:name val="Arial"/>
    </x:font>
    <x:font>
      <x:b/>
      <x:sz val="9"/>
      <x:name val="Arial"/>
    </x:font>
    <x:font>
      <x:sz val="9"/>
      <x:color rgb="FF666666"/>
      <x:name val="Arial"/>
    </x:font>
    <x:font>
      <x:i/>
      <x:sz val="10"/>
      <x:color rgb="FF666666"/>
      <x:name val="Arial"/>
    </x:font>
    <x:font>
      <x:sz val="10"/>
      <x:color rgb="FF0563C1"/>
      <x:name val="Arial"/>
    </x:font>
    <x:font>
      <x:sz val="10"/>
      <x:color rgb="FF0000FF"/>
      <x:name val="Arial"/>
    </x:font>
    <x:font>
      <x:sz val="12"/>
      <x:color theme="10"/>
      <x:name val="Calibri"/>
    </x:font>
    <x:font>
      <x:b/>
      <x:sz val="12"/>
      <x:color rgb="FF006100"/>
      <x:name val="Arial"/>
    </x:font>
    <x:font>
      <x:b/>
      <x:color rgb="FF006100"/>
    </x:font>
    <x:font>
      <x:b/>
      <x:sz val="9"/>
      <x:color rgb="FFFFFFFF"/>
      <x:name val="Arial"/>
    </x:font>
    <x:font>
      <x:b/>
      <x:sz val="11"/>
      <x:color rgb="FFFFFFFF"/>
      <x:name val="Arial"/>
    </x:font>
    <x:font>
      <x:b/>
      <x:sz val="11"/>
      <x:color rgb="FF006100"/>
      <x:name val="Arial"/>
    </x:font>
  </x:fonts>
  <x:fills count="69">
    <x:fill>
      <x:patternFill patternType="none"/>
    </x:fill>
    <x:fill>
      <x:patternFill patternType="gray125"/>
    </x:fill>
    <x:fill>
      <x:patternFill patternType="solid">
        <x:fgColor indexed="9"/>
      </x:patternFill>
    </x:fill>
    <x:fill>
      <x:patternFill patternType="solid">
        <x:fgColor indexed="10"/>
      </x:patternFill>
    </x:fill>
    <x:fill>
      <x:patternFill patternType="solid">
        <x:fgColor indexed="12"/>
      </x:patternFill>
    </x:fill>
    <x:fill>
      <x:patternFill patternType="solid">
        <x:fgColor indexed="15"/>
      </x:patternFill>
    </x:fill>
    <x:fill>
      <x:patternFill patternType="solid">
        <x:fgColor indexed="17"/>
      </x:patternFill>
    </x:fill>
    <x:fill>
      <x:patternFill patternType="solid">
        <x:fgColor indexed="20"/>
      </x:patternFill>
    </x:fill>
    <x:fill>
      <x:patternFill patternType="solid">
        <x:fgColor indexed="24"/>
      </x:patternFill>
    </x:fill>
    <x:fill>
      <x:patternFill patternType="solid">
        <x:fgColor indexed="26"/>
      </x:patternFill>
    </x:fill>
    <x:fill>
      <x:patternFill patternType="solid">
        <x:fgColor indexed="29"/>
      </x:patternFill>
    </x:fill>
    <x:fill>
      <x:patternFill patternType="solid">
        <x:fgColor indexed="32"/>
      </x:patternFill>
    </x:fill>
    <x:fill>
      <x:patternFill patternType="solid">
        <x:fgColor indexed="34"/>
      </x:patternFill>
    </x:fill>
    <x:fill>
      <x:patternFill patternType="solid">
        <x:fgColor indexed="33"/>
      </x:patternFill>
    </x:fill>
    <x:fill>
      <x:patternFill patternType="solid">
        <x:fgColor indexed="35"/>
      </x:patternFill>
    </x:fill>
    <x:fill>
      <x:patternFill patternType="solid">
        <x:fgColor indexed="36"/>
      </x:patternFill>
    </x:fill>
    <x:fill>
      <x:patternFill patternType="solid">
        <x:fgColor indexed="37"/>
      </x:patternFill>
    </x:fill>
    <x:fill>
      <x:patternFill patternType="solid">
        <x:fgColor indexed="38"/>
      </x:patternFill>
    </x:fill>
    <x:fill>
      <x:patternFill patternType="solid">
        <x:fgColor indexed="39"/>
      </x:patternFill>
    </x:fill>
    <x:fill>
      <x:patternFill patternType="solid">
        <x:fgColor indexed="40"/>
      </x:patternFill>
    </x:fill>
    <x:fill>
      <x:patternFill patternType="solid">
        <x:fgColor indexed="41"/>
      </x:patternFill>
    </x:fill>
    <x:fill>
      <x:patternFill patternType="solid">
        <x:fgColor indexed="42"/>
      </x:patternFill>
    </x:fill>
    <x:fill>
      <x:patternFill patternType="solid">
        <x:fgColor indexed="8"/>
      </x:patternFill>
    </x:fill>
    <x:fill>
      <x:patternFill patternType="solid">
        <x:fgColor indexed="43"/>
      </x:patternFill>
    </x:fill>
    <x:fill>
      <x:patternFill patternType="solid">
        <x:fgColor indexed="44"/>
      </x:patternFill>
    </x:fill>
    <x:fill>
      <x:patternFill patternType="solid">
        <x:fgColor indexed="45"/>
      </x:patternFill>
    </x:fill>
    <x:fill>
      <x:patternFill patternType="solid">
        <x:fgColor indexed="47"/>
      </x:patternFill>
    </x:fill>
    <x:fill>
      <x:patternFill patternType="solid">
        <x:fgColor indexed="50"/>
      </x:patternFill>
    </x:fill>
    <x:fill>
      <x:patternFill patternType="solid">
        <x:fgColor indexed="51"/>
      </x:patternFill>
    </x:fill>
    <x:fill>
      <x:patternFill patternType="solid">
        <x:fgColor indexed="22"/>
      </x:patternFill>
    </x:fill>
    <x:fill>
      <x:patternFill patternType="solid">
        <x:fgColor indexed="52"/>
      </x:patternFill>
    </x:fill>
    <x:fill>
      <x:patternFill patternType="solid">
        <x:fgColor indexed="53"/>
      </x:patternFill>
    </x:fill>
    <x:fill>
      <x:patternFill patternType="solid">
        <x:fgColor indexed="54"/>
      </x:patternFill>
    </x:fill>
    <x:fill>
      <x:patternFill patternType="solid">
        <x:fgColor indexed="55"/>
      </x:patternFill>
    </x:fill>
    <x:fill>
      <x:patternFill patternType="solid">
        <x:fgColor indexed="57"/>
      </x:patternFill>
    </x:fill>
    <x:fill>
      <x:patternFill patternType="solid">
        <x:fgColor indexed="60"/>
      </x:patternFill>
    </x:fill>
    <x:fill>
      <x:patternFill patternType="solid">
        <x:fgColor indexed="61"/>
      </x:patternFill>
    </x:fill>
    <x:fill>
      <x:patternFill patternType="solid">
        <x:fgColor indexed="62"/>
      </x:patternFill>
    </x:fill>
    <x:fill>
      <x:patternFill patternType="solid">
        <x:fgColor indexed="63"/>
      </x:patternFill>
    </x:fill>
    <x:fill>
      <x:patternFill patternType="solid">
        <x:fgColor rgb="FF737373"/>
      </x:patternFill>
    </x:fill>
    <x:fill>
      <x:patternFill patternType="solid">
        <x:fgColor rgb="FFFFE598"/>
      </x:patternFill>
    </x:fill>
    <x:fill>
      <x:patternFill patternType="solid">
        <x:fgColor rgb="FF9CC2E5"/>
      </x:patternFill>
    </x:fill>
    <x:fill>
      <x:patternFill patternType="solid">
        <x:fgColor rgb="FFDEEAF6"/>
      </x:patternFill>
    </x:fill>
    <x:fill>
      <x:patternFill patternType="solid">
        <x:fgColor rgb="FF222A35"/>
      </x:patternFill>
    </x:fill>
    <x:fill>
      <x:patternFill patternType="solid">
        <x:fgColor rgb="FFD9DCE1"/>
      </x:patternFill>
    </x:fill>
    <x:fill>
      <x:patternFill patternType="solid">
        <x:fgColor rgb="FF333F4F"/>
      </x:patternFill>
    </x:fill>
    <x:fill>
      <x:patternFill patternType="solid">
        <x:fgColor rgb="FFD9E1F2"/>
      </x:patternFill>
    </x:fill>
    <x:fill>
      <x:patternFill patternType="solid">
        <x:fgColor rgb="FFEEF7F9"/>
      </x:patternFill>
    </x:fill>
    <x:fill>
      <x:patternFill patternType="solid">
        <x:fgColor rgb="FFFFE4B5"/>
      </x:patternFill>
    </x:fill>
    <x:fill>
      <x:patternFill patternType="solid">
        <x:fgColor rgb="FF17365D"/>
      </x:patternFill>
    </x:fill>
    <x:fill>
      <x:patternFill patternType="solid">
        <x:fgColor rgb="FFD9E1F2"/>
      </x:patternFill>
    </x:fill>
    <x:fill>
      <x:patternFill patternType="solid">
        <x:fgColor rgb="FFFCE4D6"/>
      </x:patternFill>
    </x:fill>
    <x:fill>
      <x:patternFill patternType="solid">
        <x:fgColor rgb="FFFFF2CC"/>
      </x:patternFill>
    </x:fill>
    <x:fill>
      <x:patternFill patternType="solid">
        <x:fgColor rgb="FFEAF2F8"/>
      </x:patternFill>
    </x:fill>
    <x:fill>
      <x:patternFill patternType="solid">
        <x:fgColor rgb="FF1F3864"/>
      </x:patternFill>
    </x:fill>
    <x:fill>
      <x:patternFill patternType="solid">
        <x:fgColor rgb="FFFFF2CC"/>
      </x:patternFill>
    </x:fill>
    <x:fill>
      <x:patternFill patternType="solid">
        <x:fgColor rgb="FF1F4E79"/>
      </x:patternFill>
    </x:fill>
    <x:fill>
      <x:patternFill patternType="solid">
        <x:fgColor rgb="FFD9E1F2"/>
      </x:patternFill>
    </x:fill>
    <x:fill>
      <x:patternFill patternType="solid">
        <x:fgColor rgb="FFE2EFDA"/>
      </x:patternFill>
    </x:fill>
    <x:fill>
      <x:patternFill patternType="solid">
        <x:fgColor rgb="FFFFFF00"/>
      </x:patternFill>
    </x:fill>
    <x:fill>
      <x:patternFill patternType="solid">
        <x:fgColor rgb="FFFCE4EC"/>
      </x:patternFill>
    </x:fill>
    <x:fill>
      <x:patternFill patternType="solid">
        <x:fgColor rgb="FFE8F4FD"/>
      </x:patternFill>
    </x:fill>
    <x:fill>
      <x:patternFill patternType="solid">
        <x:fgColor rgb="FFE8F4F8"/>
      </x:patternFill>
    </x:fill>
    <x:fill>
      <x:patternFill patternType="solid">
        <x:fgColor rgb="FFFFE4B5"/>
      </x:patternFill>
    </x:fill>
    <x:fill>
      <x:patternFill patternType="solid">
        <x:fgColor rgb="FFE2F0D9"/>
      </x:patternFill>
    </x:fill>
    <x:fill>
      <x:patternFill patternType="solid">
        <x:fgColor rgb="FFD9E2F3"/>
      </x:patternFill>
    </x:fill>
    <x:fill>
      <x:patternFill patternType="solid">
        <x:fgColor rgb="FFF4CCCC"/>
      </x:patternFill>
    </x:fill>
    <x:fill>
      <x:patternFill patternType="solid">
        <x:fgColor rgb="FFC6EFCE"/>
      </x:patternFill>
    </x:fill>
    <x:fill>
      <x:patternFill patternType="solid">
        <x:fgColor rgb="FF1F4E78"/>
      </x:patternFill>
    </x:fill>
  </x:fills>
  <x:borders count="353">
    <x:border/>
    <x:border>
      <x:left style="thin">
        <x:color indexed="13"/>
      </x:left>
      <x:top style="thin">
        <x:color indexed="13"/>
      </x:top>
    </x:border>
    <x:border>
      <x:top style="thin">
        <x:color indexed="13"/>
      </x:top>
    </x:border>
    <x:border>
      <x:right style="thin">
        <x:color indexed="13"/>
      </x:right>
      <x:top style="thin">
        <x:color indexed="13"/>
      </x:top>
    </x:border>
    <x:border>
      <x:left style="thin">
        <x:color indexed="13"/>
      </x:left>
      <x:bottom style="thin">
        <x:color indexed="8"/>
      </x:bottom>
    </x:border>
    <x:border>
      <x:bottom style="thin">
        <x:color indexed="8"/>
      </x:bottom>
    </x:border>
    <x:border/>
    <x:border>
      <x:right style="thin">
        <x:color indexed="13"/>
      </x:right>
    </x:border>
    <x:border>
      <x:left style="thin">
        <x:color indexed="8"/>
      </x:left>
      <x:top style="thin">
        <x:color indexed="8"/>
      </x:top>
      <x:bottom style="thin">
        <x:color indexed="8"/>
      </x:bottom>
    </x:border>
    <x:border>
      <x:top style="thin">
        <x:color indexed="8"/>
      </x:top>
      <x:bottom style="thin">
        <x:color indexed="8"/>
      </x:bottom>
    </x:border>
    <x:border>
      <x:right style="thin">
        <x:color indexed="8"/>
      </x:right>
      <x:top style="thin">
        <x:color indexed="8"/>
      </x:top>
      <x:bottom style="thin">
        <x:color indexed="8"/>
      </x:bottom>
    </x:border>
    <x:border>
      <x:left style="thin">
        <x:color indexed="8"/>
      </x:left>
    </x:border>
    <x:border>
      <x:left style="thin">
        <x:color indexed="13"/>
      </x:left>
      <x:top style="thin">
        <x:color indexed="8"/>
      </x:top>
      <x:bottom style="hair">
        <x:color indexed="8"/>
      </x:bottom>
    </x:border>
    <x:border>
      <x:top style="thin">
        <x:color indexed="8"/>
      </x:top>
      <x:bottom style="hair">
        <x:color indexed="8"/>
      </x:bottom>
    </x:border>
    <x:border>
      <x:left style="thin">
        <x:color indexed="13"/>
      </x:left>
      <x:top style="hair">
        <x:color indexed="8"/>
      </x:top>
      <x:bottom style="hair">
        <x:color indexed="8"/>
      </x:bottom>
    </x:border>
    <x:border>
      <x:top style="hair">
        <x:color indexed="8"/>
      </x:top>
      <x:bottom style="hair">
        <x:color indexed="8"/>
      </x:bottom>
    </x:border>
    <x:border>
      <x:left style="thin">
        <x:color indexed="13"/>
      </x:left>
      <x:top style="hair">
        <x:color indexed="8"/>
      </x:top>
    </x:border>
    <x:border>
      <x:top style="hair">
        <x:color indexed="8"/>
      </x:top>
    </x:border>
    <x:border>
      <x:left style="thin">
        <x:color indexed="13"/>
      </x:left>
    </x:border>
    <x:border>
      <x:left style="thin">
        <x:color indexed="13"/>
      </x:left>
      <x:bottom style="thin">
        <x:color indexed="13"/>
      </x:bottom>
    </x:border>
    <x:border>
      <x:bottom style="thin">
        <x:color indexed="13"/>
      </x:bottom>
    </x:border>
    <x:border>
      <x:right style="thin">
        <x:color indexed="13"/>
      </x:right>
      <x:bottom style="thin">
        <x:color indexed="13"/>
      </x:bottom>
    </x:border>
    <x:border>
      <x:left style="thin">
        <x:color indexed="13"/>
      </x:left>
      <x:right style="thin">
        <x:color indexed="13"/>
      </x:right>
      <x:top style="thin">
        <x:color indexed="13"/>
      </x:top>
      <x:bottom style="thin">
        <x:color indexed="13"/>
      </x:bottom>
    </x:border>
    <x:border>
      <x:left style="thin">
        <x:color indexed="13"/>
      </x:left>
      <x:right style="thin">
        <x:color indexed="13"/>
      </x:right>
      <x:top style="thin">
        <x:color indexed="13"/>
      </x:top>
    </x:border>
    <x:border>
      <x:top style="thin">
        <x:color indexed="13"/>
      </x:top>
      <x:bottom style="thin">
        <x:color indexed="13"/>
      </x:bottom>
    </x:border>
    <x:border>
      <x:left style="thin">
        <x:color indexed="13"/>
      </x:left>
      <x:right style="thin">
        <x:color indexed="13"/>
      </x:right>
      <x:bottom style="thin">
        <x:color indexed="13"/>
      </x:bottom>
    </x:border>
    <x:border>
      <x:right style="thin">
        <x:color indexed="13"/>
      </x:right>
      <x:top style="thin">
        <x:color indexed="13"/>
      </x:top>
      <x:bottom style="thin">
        <x:color indexed="13"/>
      </x:bottom>
    </x:border>
    <x:border>
      <x:left style="thin">
        <x:color indexed="13"/>
      </x:left>
      <x:top style="thin">
        <x:color indexed="13"/>
      </x:top>
      <x:bottom style="thin">
        <x:color indexed="13"/>
      </x:bottom>
    </x:border>
    <x:border>
      <x:left style="thin">
        <x:color indexed="13"/>
      </x:left>
      <x:right style="thin">
        <x:color indexed="13"/>
      </x:right>
    </x:border>
    <x:border>
      <x:left style="thin">
        <x:color indexed="13"/>
      </x:left>
      <x:right style="thin">
        <x:color indexed="13"/>
      </x:right>
      <x:bottom style="thin">
        <x:color indexed="27"/>
      </x:bottom>
    </x:border>
    <x:border>
      <x:left style="thin">
        <x:color indexed="13"/>
      </x:left>
      <x:right style="thin">
        <x:color indexed="27"/>
      </x:right>
      <x:top style="thin">
        <x:color indexed="13"/>
      </x:top>
      <x:bottom style="thin">
        <x:color indexed="13"/>
      </x:bottom>
    </x:border>
    <x:border>
      <x:left style="thin">
        <x:color indexed="27"/>
      </x:left>
      <x:right style="thin">
        <x:color indexed="27"/>
      </x:right>
      <x:top style="thin">
        <x:color indexed="27"/>
      </x:top>
      <x:bottom style="thin">
        <x:color indexed="27"/>
      </x:bottom>
    </x:border>
    <x:border>
      <x:left style="thin">
        <x:color indexed="13"/>
      </x:left>
      <x:right style="thin">
        <x:color indexed="13"/>
      </x:right>
      <x:top style="thin">
        <x:color indexed="27"/>
      </x:top>
    </x:border>
    <x:border>
      <x:bottom style="thin">
        <x:color indexed="27"/>
      </x:bottom>
    </x:border>
    <x:border>
      <x:right style="thin">
        <x:color indexed="13"/>
      </x:right>
      <x:bottom style="thin">
        <x:color indexed="27"/>
      </x:bottom>
    </x:border>
    <x:border>
      <x:left style="thin">
        <x:color indexed="13"/>
      </x:left>
      <x:right style="thin">
        <x:color indexed="27"/>
      </x:right>
      <x:bottom style="thin">
        <x:color indexed="13"/>
      </x:bottom>
    </x:border>
    <x:border>
      <x:left style="thin">
        <x:color indexed="13"/>
      </x:left>
      <x:top style="thin">
        <x:color indexed="13"/>
      </x:top>
      <x:bottom style="thin">
        <x:color indexed="8"/>
      </x:bottom>
    </x:border>
    <x:border>
      <x:top style="thin">
        <x:color indexed="13"/>
      </x:top>
      <x:bottom style="thin">
        <x:color indexed="8"/>
      </x:bottom>
    </x:border>
    <x:border>
      <x:left style="thin">
        <x:color indexed="13"/>
      </x:left>
      <x:top style="thin">
        <x:color indexed="8"/>
      </x:top>
    </x:border>
    <x:border>
      <x:top style="thin">
        <x:color indexed="8"/>
      </x:top>
    </x:border>
    <x:border>
      <x:left style="thin">
        <x:color indexed="8"/>
      </x:left>
      <x:top style="thin">
        <x:color indexed="8"/>
      </x:top>
    </x:border>
    <x:border>
      <x:right style="thin">
        <x:color indexed="8"/>
      </x:right>
      <x:top style="thin">
        <x:color indexed="8"/>
      </x:top>
    </x:border>
    <x:border>
      <x:left style="thin">
        <x:color indexed="8"/>
      </x:left>
      <x:right style="thin">
        <x:color indexed="8"/>
      </x:right>
    </x:border>
    <x:border>
      <x:left style="thin">
        <x:color indexed="8"/>
      </x:left>
      <x:bottom style="hair">
        <x:color indexed="8"/>
      </x:bottom>
    </x:border>
    <x:border>
      <x:bottom style="hair">
        <x:color indexed="8"/>
      </x:bottom>
    </x:border>
    <x:border>
      <x:right style="thin">
        <x:color indexed="8"/>
      </x:right>
      <x:bottom style="hair">
        <x:color indexed="8"/>
      </x:bottom>
    </x:border>
    <x:border>
      <x:right style="thin">
        <x:color indexed="8"/>
      </x:right>
    </x:border>
    <x:border>
      <x:left style="thin">
        <x:color indexed="8"/>
      </x:left>
      <x:top style="hair">
        <x:color indexed="8"/>
      </x:top>
      <x:bottom style="hair">
        <x:color indexed="8"/>
      </x:bottom>
    </x:border>
    <x:border>
      <x:right style="thin">
        <x:color indexed="8"/>
      </x:right>
      <x:top style="hair">
        <x:color indexed="8"/>
      </x:top>
      <x:bottom style="hair">
        <x:color indexed="8"/>
      </x:bottom>
    </x:border>
    <x:border>
      <x:left style="thin">
        <x:color indexed="8"/>
      </x:left>
      <x:top style="hair">
        <x:color indexed="8"/>
      </x:top>
    </x:border>
    <x:border>
      <x:left style="thin">
        <x:color indexed="8"/>
      </x:left>
      <x:bottom style="thin">
        <x:color indexed="8"/>
      </x:bottom>
    </x:border>
    <x:border>
      <x:right style="thin">
        <x:color indexed="8"/>
      </x:right>
      <x:bottom style="thin">
        <x:color indexed="8"/>
      </x:bottom>
    </x:border>
    <x:border>
      <x:top style="hair">
        <x:color indexed="8"/>
      </x:top>
      <x:bottom style="thin">
        <x:color indexed="8"/>
      </x:bottom>
    </x:border>
    <x:border>
      <x:right style="thin">
        <x:color indexed="8"/>
      </x:right>
      <x:top style="hair">
        <x:color indexed="8"/>
      </x:top>
      <x:bottom style="thin">
        <x:color indexed="8"/>
      </x:bottom>
    </x:border>
    <x:border>
      <x:left style="thin">
        <x:color indexed="13"/>
      </x:left>
      <x:top style="thin">
        <x:color indexed="8"/>
      </x:top>
      <x:bottom style="thin">
        <x:color indexed="8"/>
      </x:bottom>
    </x:border>
    <x:border>
      <x:left style="thin">
        <x:color indexed="8"/>
      </x:left>
      <x:top style="hair">
        <x:color indexed="8"/>
      </x:top>
      <x:bottom style="thin">
        <x:color indexed="8"/>
      </x:bottom>
    </x:border>
    <x:border>
      <x:right style="thin">
        <x:color indexed="8"/>
      </x:right>
      <x:top style="hair">
        <x:color indexed="8"/>
      </x:top>
    </x:border>
    <x:border>
      <x:left style="thin">
        <x:color indexed="8"/>
      </x:left>
      <x:bottom style="hair">
        <x:color indexed="33"/>
      </x:bottom>
    </x:border>
    <x:border>
      <x:bottom style="hair">
        <x:color indexed="33"/>
      </x:bottom>
    </x:border>
    <x:border>
      <x:right style="thin">
        <x:color indexed="8"/>
      </x:right>
      <x:bottom style="hair">
        <x:color indexed="33"/>
      </x:bottom>
    </x:border>
    <x:border>
      <x:left style="thin">
        <x:color indexed="8"/>
      </x:left>
      <x:top style="hair">
        <x:color indexed="33"/>
      </x:top>
      <x:bottom style="hair">
        <x:color indexed="33"/>
      </x:bottom>
    </x:border>
    <x:border>
      <x:top style="hair">
        <x:color indexed="33"/>
      </x:top>
      <x:bottom style="hair">
        <x:color indexed="33"/>
      </x:bottom>
    </x:border>
    <x:border>
      <x:right style="thin">
        <x:color indexed="8"/>
      </x:right>
      <x:top style="hair">
        <x:color indexed="33"/>
      </x:top>
      <x:bottom style="hair">
        <x:color indexed="33"/>
      </x:bottom>
    </x:border>
    <x:border>
      <x:right style="thin">
        <x:color indexed="33"/>
      </x:right>
      <x:top style="hair">
        <x:color indexed="33"/>
      </x:top>
      <x:bottom style="hair">
        <x:color indexed="33"/>
      </x:bottom>
    </x:border>
    <x:border>
      <x:left style="thin">
        <x:color indexed="33"/>
      </x:left>
    </x:border>
    <x:border>
      <x:left style="thin">
        <x:color indexed="8"/>
      </x:left>
      <x:top style="hair">
        <x:color indexed="33"/>
      </x:top>
      <x:bottom style="thin">
        <x:color indexed="8"/>
      </x:bottom>
    </x:border>
    <x:border>
      <x:top style="hair">
        <x:color indexed="33"/>
      </x:top>
      <x:bottom style="thin">
        <x:color indexed="8"/>
      </x:bottom>
    </x:border>
    <x:border>
      <x:right style="thin">
        <x:color indexed="8"/>
      </x:right>
      <x:top style="hair">
        <x:color indexed="33"/>
      </x:top>
      <x:bottom style="thin">
        <x:color indexed="8"/>
      </x:bottom>
    </x:border>
    <x:border>
      <x:left style="thin">
        <x:color indexed="8"/>
      </x:left>
      <x:top style="hair">
        <x:color indexed="33"/>
      </x:top>
    </x:border>
    <x:border>
      <x:top style="hair">
        <x:color indexed="33"/>
      </x:top>
    </x:border>
    <x:border>
      <x:right style="thin">
        <x:color indexed="8"/>
      </x:right>
      <x:top style="hair">
        <x:color indexed="33"/>
      </x:top>
    </x:border>
    <x:border>
      <x:right style="hair">
        <x:color indexed="8"/>
      </x:right>
    </x:border>
    <x:border>
      <x:left style="hair">
        <x:color indexed="8"/>
      </x:left>
    </x:border>
    <x:border>
      <x:right style="hair">
        <x:color indexed="8"/>
      </x:right>
      <x:bottom style="thin">
        <x:color indexed="8"/>
      </x:bottom>
    </x:border>
    <x:border>
      <x:left style="hair">
        <x:color indexed="8"/>
      </x:left>
      <x:bottom style="thin">
        <x:color indexed="8"/>
      </x:bottom>
    </x:border>
    <x:border>
      <x:right style="hair">
        <x:color indexed="8"/>
      </x:right>
      <x:top style="thin">
        <x:color indexed="8"/>
      </x:top>
    </x:border>
    <x:border>
      <x:left style="hair">
        <x:color indexed="8"/>
      </x:left>
      <x:top style="thin">
        <x:color indexed="8"/>
      </x:top>
    </x:border>
    <x:border>
      <x:right style="hair">
        <x:color indexed="8"/>
      </x:right>
      <x:top style="thin">
        <x:color indexed="8"/>
      </x:top>
      <x:bottom style="thin">
        <x:color indexed="8"/>
      </x:bottom>
    </x:border>
    <x:border>
      <x:left style="hair">
        <x:color indexed="8"/>
      </x:left>
      <x:top style="thin">
        <x:color indexed="8"/>
      </x:top>
      <x:bottom style="thin">
        <x:color indexed="8"/>
      </x:bottom>
    </x:border>
    <x:border>
      <x:right style="medium">
        <x:color indexed="8"/>
      </x:right>
      <x:top style="thin">
        <x:color indexed="13"/>
      </x:top>
      <x:bottom style="thin">
        <x:color indexed="8"/>
      </x:bottom>
    </x:border>
    <x:border>
      <x:left style="medium">
        <x:color indexed="8"/>
      </x:left>
      <x:right style="medium">
        <x:color indexed="8"/>
      </x:right>
      <x:top style="thin">
        <x:color indexed="13"/>
      </x:top>
    </x:border>
    <x:border>
      <x:left style="medium">
        <x:color indexed="8"/>
      </x:left>
      <x:top style="thin">
        <x:color indexed="13"/>
      </x:top>
    </x:border>
    <x:border>
      <x:left style="thin">
        <x:color indexed="13"/>
      </x:left>
      <x:right style="thin">
        <x:color indexed="13"/>
      </x:right>
      <x:top style="thin">
        <x:color indexed="13"/>
      </x:top>
      <x:bottom style="medium">
        <x:color indexed="8"/>
      </x:bottom>
    </x:border>
    <x:border>
      <x:right style="medium">
        <x:color indexed="8"/>
      </x:right>
      <x:top style="thin">
        <x:color indexed="13"/>
      </x:top>
      <x:bottom style="thin">
        <x:color indexed="13"/>
      </x:bottom>
    </x:border>
    <x:border>
      <x:left style="medium">
        <x:color indexed="8"/>
      </x:left>
      <x:right style="medium">
        <x:color indexed="8"/>
      </x:right>
      <x:top style="medium">
        <x:color indexed="8"/>
      </x:top>
      <x:bottom style="medium">
        <x:color indexed="8"/>
      </x:bottom>
    </x:border>
    <x:border>
      <x:left style="medium">
        <x:color indexed="8"/>
      </x:left>
      <x:right style="thin">
        <x:color indexed="13"/>
      </x:right>
      <x:top style="thin">
        <x:color indexed="13"/>
      </x:top>
      <x:bottom style="thin">
        <x:color indexed="13"/>
      </x:bottom>
    </x:border>
    <x:border>
      <x:left style="thin">
        <x:color indexed="13"/>
      </x:left>
      <x:right style="thin">
        <x:color indexed="13"/>
      </x:right>
      <x:top style="medium">
        <x:color indexed="8"/>
      </x:top>
      <x:bottom style="thin">
        <x:color indexed="13"/>
      </x:bottom>
    </x:border>
    <x:border>
      <x:left style="thin">
        <x:color indexed="8"/>
      </x:left>
      <x:right style="thin">
        <x:color indexed="8"/>
      </x:right>
      <x:top style="thin">
        <x:color indexed="8"/>
      </x:top>
      <x:bottom style="thin">
        <x:color indexed="8"/>
      </x:bottom>
    </x:border>
    <x:border>
      <x:left style="thin">
        <x:color indexed="8"/>
      </x:left>
      <x:bottom style="medium">
        <x:color indexed="8"/>
      </x:bottom>
    </x:border>
    <x:border>
      <x:left style="thin">
        <x:color indexed="13"/>
      </x:left>
      <x:right style="medium">
        <x:color indexed="8"/>
      </x:right>
      <x:top style="thin">
        <x:color indexed="8"/>
      </x:top>
      <x:bottom style="thin">
        <x:color indexed="13"/>
      </x:bottom>
    </x:border>
    <x:border>
      <x:left style="medium">
        <x:color indexed="8"/>
      </x:left>
    </x:border>
    <x:border>
      <x:left style="thin">
        <x:color indexed="13"/>
      </x:left>
      <x:right style="thin">
        <x:color indexed="13"/>
      </x:right>
      <x:top style="thin">
        <x:color indexed="13"/>
      </x:top>
      <x:bottom style="thin">
        <x:color indexed="8"/>
      </x:bottom>
    </x:border>
    <x:border>
      <x:left style="thin">
        <x:color indexed="13"/>
      </x:left>
      <x:right style="thin">
        <x:color indexed="13"/>
      </x:right>
      <x:top style="thin">
        <x:color indexed="8"/>
      </x:top>
      <x:bottom style="thin">
        <x:color indexed="13"/>
      </x:bottom>
    </x:border>
    <x:border>
      <x:left style="thin">
        <x:color indexed="13"/>
      </x:left>
      <x:top style="thin">
        <x:color indexed="8"/>
      </x:top>
      <x:bottom style="thin">
        <x:color indexed="13"/>
      </x:bottom>
    </x:border>
    <x:border>
      <x:right style="thin">
        <x:color indexed="13"/>
      </x:right>
      <x:top style="thin">
        <x:color indexed="8"/>
      </x:top>
      <x:bottom style="thin">
        <x:color indexed="13"/>
      </x:bottom>
    </x:border>
    <x:border>
      <x:left style="thin">
        <x:color indexed="13"/>
      </x:left>
      <x:right style="thin">
        <x:color indexed="13"/>
      </x:right>
      <x:top style="thin">
        <x:color indexed="8"/>
      </x:top>
      <x:bottom style="thin">
        <x:color indexed="8"/>
      </x:bottom>
    </x:border>
    <x:border>
      <x:left style="thin">
        <x:color indexed="13"/>
      </x:left>
      <x:right style="medium">
        <x:color indexed="8"/>
      </x:right>
      <x:top style="thin">
        <x:color indexed="13"/>
      </x:top>
      <x:bottom style="thin">
        <x:color indexed="13"/>
      </x:bottom>
    </x:border>
    <x:border>
      <x:left style="medium">
        <x:color indexed="8"/>
      </x:left>
      <x:top style="medium">
        <x:color indexed="8"/>
      </x:top>
      <x:bottom style="medium">
        <x:color indexed="8"/>
      </x:bottom>
    </x:border>
    <x:border>
      <x:right style="medium">
        <x:color indexed="8"/>
      </x:right>
      <x:top style="medium">
        <x:color indexed="8"/>
      </x:top>
      <x:bottom style="medium">
        <x:color indexed="8"/>
      </x:bottom>
    </x:border>
    <x:border>
      <x:left style="thin">
        <x:color indexed="13"/>
      </x:left>
      <x:right style="thin">
        <x:color indexed="13"/>
      </x:right>
      <x:top style="medium">
        <x:color indexed="8"/>
      </x:top>
      <x:bottom style="thin">
        <x:color indexed="8"/>
      </x:bottom>
    </x:border>
    <x:border>
      <x:left style="thin">
        <x:color indexed="13"/>
      </x:left>
      <x:right style="thin">
        <x:color indexed="8"/>
      </x:right>
      <x:top style="thin">
        <x:color indexed="13"/>
      </x:top>
      <x:bottom style="thin">
        <x:color indexed="13"/>
      </x:bottom>
    </x:border>
    <x:border>
      <x:left style="thin">
        <x:color indexed="8"/>
      </x:left>
      <x:right style="thin">
        <x:color indexed="13"/>
      </x:right>
      <x:top style="thin">
        <x:color indexed="13"/>
      </x:top>
      <x:bottom style="thin">
        <x:color indexed="13"/>
      </x:bottom>
    </x:border>
    <x:border>
      <x:left style="thin">
        <x:color indexed="8"/>
      </x:left>
      <x:right style="thin">
        <x:color indexed="13"/>
      </x:right>
      <x:top style="thin">
        <x:color indexed="8"/>
      </x:top>
      <x:bottom style="thin">
        <x:color indexed="8"/>
      </x:bottom>
    </x:border>
    <x:border>
      <x:bottom style="medium">
        <x:color indexed="8"/>
      </x:bottom>
    </x:border>
    <x:border>
      <x:left style="medium">
        <x:color indexed="8"/>
      </x:left>
      <x:right style="thin">
        <x:color indexed="13"/>
      </x:right>
      <x:bottom style="thin">
        <x:color indexed="13"/>
      </x:bottom>
    </x:border>
    <x:border>
      <x:left style="medium">
        <x:color indexed="8"/>
      </x:left>
      <x:right style="medium">
        <x:color indexed="8"/>
      </x:right>
      <x:top style="medium">
        <x:color indexed="8"/>
      </x:top>
      <x:bottom style="thin">
        <x:color indexed="8"/>
      </x:bottom>
    </x:border>
    <x:border>
      <x:left style="medium">
        <x:color indexed="8"/>
      </x:left>
      <x:right style="medium">
        <x:color indexed="8"/>
      </x:right>
      <x:top style="thin">
        <x:color indexed="8"/>
      </x:top>
      <x:bottom style="medium">
        <x:color indexed="8"/>
      </x:bottom>
    </x:border>
    <x:border>
      <x:left style="medium">
        <x:color indexed="8"/>
      </x:left>
      <x:right style="medium">
        <x:color indexed="8"/>
      </x:right>
      <x:top style="medium">
        <x:color indexed="8"/>
      </x:top>
    </x:border>
    <x:border>
      <x:left style="medium">
        <x:color indexed="8"/>
      </x:left>
      <x:right style="medium">
        <x:color indexed="8"/>
      </x:right>
    </x:border>
    <x:border>
      <x:left style="medium">
        <x:color indexed="8"/>
      </x:left>
      <x:right style="medium">
        <x:color indexed="8"/>
      </x:right>
      <x:bottom style="thin">
        <x:color indexed="8"/>
      </x:bottom>
    </x:border>
    <x:border>
      <x:left style="medium">
        <x:color indexed="8"/>
      </x:left>
      <x:bottom style="thin">
        <x:color indexed="8"/>
      </x:bottom>
    </x:border>
    <x:border>
      <x:right style="thin">
        <x:color indexed="13"/>
      </x:right>
      <x:top style="thin">
        <x:color indexed="13"/>
      </x:top>
      <x:bottom style="thin">
        <x:color indexed="8"/>
      </x:bottom>
    </x:border>
    <x:border>
      <x:left style="medium">
        <x:color indexed="8"/>
      </x:left>
      <x:right style="medium">
        <x:color indexed="8"/>
      </x:right>
      <x:top style="thin">
        <x:color indexed="8"/>
      </x:top>
    </x:border>
    <x:border>
      <x:left style="medium">
        <x:color indexed="8"/>
      </x:left>
      <x:top style="thin">
        <x:color indexed="8"/>
      </x:top>
    </x:border>
    <x:border>
      <x:left style="medium">
        <x:color indexed="8"/>
      </x:left>
      <x:right style="medium">
        <x:color indexed="8"/>
      </x:right>
      <x:bottom style="medium">
        <x:color indexed="8"/>
      </x:bottom>
    </x:border>
    <x:border>
      <x:left style="medium">
        <x:color indexed="8"/>
      </x:left>
      <x:right style="thin">
        <x:color indexed="13"/>
      </x:right>
      <x:top style="medium">
        <x:color indexed="8"/>
      </x:top>
      <x:bottom style="medium">
        <x:color indexed="8"/>
      </x:bottom>
    </x:border>
    <x:border>
      <x:left style="thin">
        <x:color indexed="13"/>
      </x:left>
      <x:right style="thin">
        <x:color indexed="13"/>
      </x:right>
      <x:top style="medium">
        <x:color indexed="8"/>
      </x:top>
      <x:bottom style="medium">
        <x:color indexed="8"/>
      </x:bottom>
    </x:border>
    <x:border>
      <x:left style="thin">
        <x:color indexed="13"/>
      </x:left>
      <x:right style="medium">
        <x:color indexed="8"/>
      </x:right>
      <x:top style="medium">
        <x:color indexed="8"/>
      </x:top>
      <x:bottom style="medium">
        <x:color indexed="8"/>
      </x:bottom>
    </x:border>
    <x:border>
      <x:left style="medium">
        <x:color indexed="8"/>
      </x:left>
      <x:right style="thin">
        <x:color indexed="13"/>
      </x:right>
      <x:top style="medium">
        <x:color indexed="8"/>
      </x:top>
      <x:bottom style="thin">
        <x:color indexed="13"/>
      </x:bottom>
    </x:border>
    <x:border>
      <x:left style="medium">
        <x:color indexed="8"/>
      </x:left>
      <x:right style="medium">
        <x:color indexed="8"/>
      </x:right>
      <x:top style="medium">
        <x:color indexed="8"/>
      </x:top>
      <x:bottom style="thin">
        <x:color indexed="13"/>
      </x:bottom>
    </x:border>
    <x:border>
      <x:left style="thin">
        <x:color indexed="13"/>
      </x:left>
      <x:right style="medium">
        <x:color indexed="8"/>
      </x:right>
      <x:top style="medium">
        <x:color indexed="8"/>
      </x:top>
      <x:bottom style="thin">
        <x:color indexed="13"/>
      </x:bottom>
    </x:border>
    <x:border>
      <x:left style="medium">
        <x:color indexed="8"/>
      </x:left>
      <x:right style="medium">
        <x:color indexed="8"/>
      </x:right>
      <x:top style="thin">
        <x:color indexed="13"/>
      </x:top>
      <x:bottom style="thin">
        <x:color indexed="13"/>
      </x:bottom>
    </x:border>
    <x:border>
      <x:left style="medium">
        <x:color indexed="8"/>
      </x:left>
      <x:right style="medium">
        <x:color indexed="8"/>
      </x:right>
      <x:top style="thin">
        <x:color indexed="13"/>
      </x:top>
      <x:bottom style="medium">
        <x:color indexed="8"/>
      </x:bottom>
    </x:border>
    <x:border>
      <x:left style="medium">
        <x:color indexed="8"/>
      </x:left>
      <x:right style="thin">
        <x:color indexed="13"/>
      </x:right>
      <x:top style="thin">
        <x:color indexed="13"/>
      </x:top>
      <x:bottom style="medium">
        <x:color indexed="8"/>
      </x:bottom>
    </x:border>
    <x:border>
      <x:left style="thin">
        <x:color indexed="13"/>
      </x:left>
      <x:right style="medium">
        <x:color indexed="8"/>
      </x:right>
      <x:top style="thin">
        <x:color indexed="13"/>
      </x:top>
      <x:bottom style="medium">
        <x:color indexed="8"/>
      </x:bottom>
    </x:border>
    <x:border>
      <x:left style="thin">
        <x:color indexed="13"/>
      </x:left>
      <x:right style="medium">
        <x:color indexed="8"/>
      </x:right>
      <x:top style="thin">
        <x:color indexed="13"/>
      </x:top>
    </x:border>
    <x:border>
      <x:left style="thin">
        <x:color indexed="13"/>
      </x:left>
      <x:right style="medium">
        <x:color indexed="8"/>
      </x:right>
    </x:border>
    <x:border>
      <x:left style="thin">
        <x:color indexed="13"/>
      </x:left>
      <x:right style="medium">
        <x:color indexed="8"/>
      </x:right>
      <x:bottom style="thin">
        <x:color indexed="13"/>
      </x:bottom>
    </x:border>
    <x:border>
      <x:left style="thin">
        <x:color indexed="13"/>
      </x:left>
      <x:right style="thin">
        <x:color indexed="13"/>
      </x:right>
      <x:top style="thin">
        <x:color indexed="8"/>
      </x:top>
    </x:border>
    <x:border>
      <x:top style="medium">
        <x:color indexed="8"/>
      </x:top>
      <x:bottom style="medium">
        <x:color indexed="8"/>
      </x:bottom>
    </x:border>
    <x:border>
      <x:left style="medium">
        <x:color indexed="8"/>
      </x:left>
      <x:right style="thin">
        <x:color indexed="13"/>
      </x:right>
      <x:top style="medium">
        <x:color indexed="8"/>
      </x:top>
      <x:bottom style="thin">
        <x:color indexed="8"/>
      </x:bottom>
    </x:border>
    <x:border>
      <x:left style="thin">
        <x:color indexed="13"/>
      </x:left>
      <x:right style="medium">
        <x:color indexed="8"/>
      </x:right>
      <x:top style="medium">
        <x:color indexed="8"/>
      </x:top>
      <x:bottom style="thin">
        <x:color indexed="8"/>
      </x:bottom>
    </x:border>
    <x:border>
      <x:left style="medium">
        <x:color indexed="8"/>
      </x:left>
      <x:right style="thin">
        <x:color indexed="13"/>
      </x:right>
      <x:top style="thin">
        <x:color indexed="8"/>
      </x:top>
      <x:bottom style="thin">
        <x:color indexed="13"/>
      </x:bottom>
    </x:border>
    <x:border>
      <x:left style="medium">
        <x:color indexed="8"/>
      </x:left>
      <x:right style="medium">
        <x:color indexed="8"/>
      </x:right>
      <x:top style="thin">
        <x:color indexed="13"/>
      </x:top>
      <x:bottom style="thin">
        <x:color indexed="8"/>
      </x:bottom>
    </x:border>
    <x:border>
      <x:left style="medium">
        <x:color indexed="8"/>
      </x:left>
      <x:right style="thin">
        <x:color indexed="13"/>
      </x:right>
      <x:top style="thin">
        <x:color indexed="13"/>
      </x:top>
      <x:bottom style="thin">
        <x:color indexed="8"/>
      </x:bottom>
    </x:border>
    <x:border>
      <x:left style="thin">
        <x:color indexed="13"/>
      </x:left>
      <x:right style="medium">
        <x:color indexed="8"/>
      </x:right>
      <x:top style="thin">
        <x:color indexed="13"/>
      </x:top>
      <x:bottom style="thin">
        <x:color indexed="8"/>
      </x:bottom>
    </x:border>
    <x:border>
      <x:left style="medium">
        <x:color indexed="8"/>
      </x:left>
      <x:right style="medium">
        <x:color indexed="8"/>
      </x:right>
      <x:top style="thin">
        <x:color indexed="8"/>
      </x:top>
      <x:bottom style="thin">
        <x:color indexed="13"/>
      </x:bottom>
    </x:border>
    <x:border>
      <x:left style="thin">
        <x:color indexed="13"/>
      </x:left>
      <x:right style="thin">
        <x:color indexed="8"/>
      </x:right>
      <x:top style="thin">
        <x:color indexed="13"/>
      </x:top>
      <x:bottom style="thin">
        <x:color indexed="8"/>
      </x:bottom>
    </x:border>
    <x:border>
      <x:left style="medium">
        <x:color indexed="8"/>
      </x:left>
      <x:right style="thin">
        <x:color indexed="8"/>
      </x:right>
      <x:top style="medium">
        <x:color indexed="8"/>
      </x:top>
      <x:bottom style="medium">
        <x:color indexed="8"/>
      </x:bottom>
    </x:border>
    <x:border>
      <x:left style="medium">
        <x:color indexed="8"/>
      </x:left>
      <x:right style="thin">
        <x:color indexed="8"/>
      </x:right>
      <x:top style="medium">
        <x:color indexed="8"/>
      </x:top>
      <x:bottom style="thin">
        <x:color indexed="8"/>
      </x:bottom>
    </x:border>
    <x:border>
      <x:left style="medium">
        <x:color indexed="8"/>
      </x:left>
      <x:right style="thin">
        <x:color indexed="8"/>
      </x:right>
      <x:top style="thin">
        <x:color indexed="8"/>
      </x:top>
      <x:bottom style="thin">
        <x:color indexed="8"/>
      </x:bottom>
    </x:border>
    <x:border>
      <x:left style="medium">
        <x:color indexed="8"/>
      </x:left>
      <x:right style="thin">
        <x:color indexed="8"/>
      </x:right>
      <x:top style="thin">
        <x:color indexed="8"/>
      </x:top>
      <x:bottom style="thin">
        <x:color indexed="13"/>
      </x:bottom>
    </x:border>
    <x:border>
      <x:left style="medium">
        <x:color indexed="8"/>
      </x:left>
      <x:right style="thin">
        <x:color indexed="8"/>
      </x:right>
      <x:top style="thin">
        <x:color indexed="13"/>
      </x:top>
      <x:bottom style="thin">
        <x:color indexed="13"/>
      </x:bottom>
    </x:border>
    <x:border>
      <x:left style="medium">
        <x:color indexed="8"/>
      </x:left>
      <x:right style="thin">
        <x:color indexed="8"/>
      </x:right>
      <x:top style="thin">
        <x:color indexed="13"/>
      </x:top>
    </x:border>
    <x:border>
      <x:left style="medium">
        <x:color indexed="8"/>
      </x:left>
      <x:right style="thin">
        <x:color indexed="8"/>
      </x:right>
      <x:bottom style="thin">
        <x:color indexed="8"/>
      </x:bottom>
    </x:border>
    <x:border>
      <x:left style="thin">
        <x:color indexed="8"/>
      </x:left>
      <x:right style="medium">
        <x:color indexed="8"/>
      </x:right>
      <x:top style="thin">
        <x:color indexed="8"/>
      </x:top>
      <x:bottom style="medium">
        <x:color indexed="8"/>
      </x:bottom>
    </x:border>
    <x:border>
      <x:left style="medium">
        <x:color indexed="8"/>
      </x:left>
      <x:right style="thin">
        <x:color indexed="8"/>
      </x:right>
      <x:top style="thin">
        <x:color indexed="8"/>
      </x:top>
      <x:bottom style="medium">
        <x:color indexed="8"/>
      </x:bottom>
    </x:border>
    <x:border>
      <x:left style="thin">
        <x:color indexed="8"/>
      </x:left>
      <x:right style="thin">
        <x:color indexed="8"/>
      </x:right>
      <x:top style="thin">
        <x:color indexed="8"/>
      </x:top>
      <x:bottom style="medium">
        <x:color indexed="8"/>
      </x:bottom>
    </x:border>
    <x:border>
      <x:left style="thin">
        <x:color indexed="8"/>
      </x:left>
      <x:right style="medium">
        <x:color indexed="8"/>
      </x:right>
      <x:top style="medium">
        <x:color indexed="8"/>
      </x:top>
      <x:bottom style="medium">
        <x:color indexed="8"/>
      </x:bottom>
    </x:border>
    <x:border>
      <x:left style="thin">
        <x:color indexed="8"/>
      </x:left>
      <x:right style="thin">
        <x:color indexed="8"/>
      </x:right>
      <x:top style="medium">
        <x:color indexed="8"/>
      </x:top>
      <x:bottom style="thin">
        <x:color indexed="8"/>
      </x:bottom>
    </x:border>
    <x:border>
      <x:left style="thin">
        <x:color indexed="8"/>
      </x:left>
      <x:right style="medium">
        <x:color indexed="8"/>
      </x:right>
      <x:top style="medium">
        <x:color indexed="8"/>
      </x:top>
      <x:bottom style="thin">
        <x:color indexed="8"/>
      </x:bottom>
    </x:border>
    <x:border>
      <x:right style="medium">
        <x:color indexed="8"/>
      </x:right>
      <x:top style="medium">
        <x:color indexed="8"/>
      </x:top>
    </x:border>
    <x:border>
      <x:left style="thin">
        <x:color indexed="8"/>
      </x:left>
      <x:right style="medium">
        <x:color indexed="8"/>
      </x:right>
      <x:top style="thin">
        <x:color indexed="8"/>
      </x:top>
      <x:bottom style="thin">
        <x:color indexed="8"/>
      </x:bottom>
    </x:border>
    <x:border>
      <x:left style="medium">
        <x:color indexed="8"/>
      </x:left>
      <x:right style="medium">
        <x:color indexed="8"/>
      </x:right>
      <x:top style="thin">
        <x:color indexed="8"/>
      </x:top>
      <x:bottom style="thin">
        <x:color indexed="8"/>
      </x:bottom>
    </x:border>
    <x:border>
      <x:left style="medium">
        <x:color indexed="8"/>
      </x:left>
      <x:right style="thin">
        <x:color indexed="8"/>
      </x:right>
      <x:top style="thin">
        <x:color indexed="13"/>
      </x:top>
      <x:bottom style="thin">
        <x:color indexed="8"/>
      </x:bottom>
    </x:border>
    <x:border>
      <x:left style="medium">
        <x:color indexed="8"/>
      </x:left>
      <x:right style="thin">
        <x:color indexed="8"/>
      </x:right>
      <x:top style="medium">
        <x:color indexed="8"/>
      </x:top>
      <x:bottom style="thick">
        <x:color indexed="8"/>
      </x:bottom>
    </x:border>
    <x:border>
      <x:left style="medium">
        <x:color indexed="8"/>
      </x:left>
      <x:right style="thin">
        <x:color indexed="8"/>
      </x:right>
      <x:top style="thick">
        <x:color indexed="8"/>
      </x:top>
      <x:bottom style="thin">
        <x:color indexed="13"/>
      </x:bottom>
    </x:border>
    <x:border>
      <x:left style="medium">
        <x:color indexed="8"/>
      </x:left>
      <x:right style="thin">
        <x:color indexed="8"/>
      </x:right>
      <x:top style="thin">
        <x:color indexed="13"/>
      </x:top>
      <x:bottom style="thick">
        <x:color indexed="8"/>
      </x:bottom>
    </x:border>
    <x:border>
      <x:left style="medium">
        <x:color indexed="8"/>
      </x:left>
      <x:right style="thin">
        <x:color indexed="8"/>
      </x:right>
      <x:top style="thick">
        <x:color indexed="8"/>
      </x:top>
      <x:bottom style="medium">
        <x:color indexed="8"/>
      </x:bottom>
    </x:border>
    <x:border>
      <x:left style="thin">
        <x:color indexed="13"/>
      </x:left>
      <x:right style="thin">
        <x:color indexed="8"/>
      </x:right>
      <x:top style="medium">
        <x:color indexed="8"/>
      </x:top>
      <x:bottom style="thin">
        <x:color indexed="13"/>
      </x:bottom>
    </x:border>
    <x:border>
      <x:left style="thin">
        <x:color indexed="13"/>
      </x:left>
      <x:right style="thin">
        <x:color indexed="8"/>
      </x:right>
      <x:top style="thin">
        <x:color indexed="8"/>
      </x:top>
      <x:bottom style="thin">
        <x:color indexed="13"/>
      </x:bottom>
    </x:border>
    <x:border>
      <x:left style="thin">
        <x:color indexed="13"/>
      </x:left>
      <x:bottom style="hair">
        <x:color indexed="48"/>
      </x:bottom>
    </x:border>
    <x:border>
      <x:bottom style="hair">
        <x:color indexed="48"/>
      </x:bottom>
    </x:border>
    <x:border>
      <x:left style="thin">
        <x:color indexed="13"/>
      </x:left>
      <x:top style="hair">
        <x:color indexed="48"/>
      </x:top>
    </x:border>
    <x:border>
      <x:top style="hair">
        <x:color indexed="48"/>
      </x:top>
      <x:bottom style="hair">
        <x:color indexed="48"/>
      </x:bottom>
    </x:border>
    <x:border>
      <x:top style="hair">
        <x:color indexed="48"/>
      </x:top>
    </x:border>
    <x:border>
      <x:top style="hair">
        <x:color indexed="48"/>
      </x:top>
      <x:bottom style="medium">
        <x:color indexed="8"/>
      </x:bottom>
    </x:border>
    <x:border>
      <x:left style="thin">
        <x:color indexed="13"/>
      </x:left>
      <x:right style="hair">
        <x:color indexed="48"/>
      </x:right>
    </x:border>
    <x:border>
      <x:left style="hair">
        <x:color indexed="48"/>
      </x:left>
      <x:right style="hair">
        <x:color indexed="48"/>
      </x:right>
      <x:top style="hair">
        <x:color indexed="48"/>
      </x:top>
      <x:bottom style="hair">
        <x:color indexed="48"/>
      </x:bottom>
    </x:border>
    <x:border>
      <x:left style="hair">
        <x:color indexed="48"/>
      </x:left>
      <x:right style="hair">
        <x:color indexed="48"/>
      </x:right>
    </x:border>
    <x:border>
      <x:left style="hair">
        <x:color indexed="48"/>
      </x:left>
    </x:border>
    <x:border>
      <x:left style="hair">
        <x:color indexed="48"/>
      </x:left>
      <x:top style="hair">
        <x:color indexed="48"/>
      </x:top>
    </x:border>
    <x:border>
      <x:right style="hair">
        <x:color indexed="48"/>
      </x:right>
      <x:top style="hair">
        <x:color indexed="48"/>
      </x:top>
    </x:border>
    <x:border>
      <x:right style="hair">
        <x:color indexed="48"/>
      </x:right>
    </x:border>
    <x:border>
      <x:left style="hair">
        <x:color indexed="48"/>
      </x:left>
      <x:right style="medium">
        <x:color indexed="8"/>
      </x:right>
    </x:border>
    <x:border>
      <x:left style="hair">
        <x:color indexed="48"/>
      </x:left>
      <x:bottom style="hair">
        <x:color indexed="48"/>
      </x:bottom>
    </x:border>
    <x:border>
      <x:right style="hair">
        <x:color indexed="48"/>
      </x:right>
      <x:bottom style="hair">
        <x:color indexed="48"/>
      </x:bottom>
    </x:border>
    <x:border>
      <x:top style="medium">
        <x:color indexed="8"/>
      </x:top>
    </x:border>
    <x:border>
      <x:left style="thin">
        <x:color indexed="13"/>
      </x:left>
      <x:top style="hair">
        <x:color indexed="48"/>
      </x:top>
      <x:bottom style="medium">
        <x:color indexed="8"/>
      </x:bottom>
    </x:border>
    <x:border>
      <x:left style="thin">
        <x:color indexed="13"/>
      </x:left>
      <x:top style="medium">
        <x:color indexed="8"/>
      </x:top>
      <x:bottom style="hair">
        <x:color indexed="48"/>
      </x:bottom>
    </x:border>
    <x:border>
      <x:top style="medium">
        <x:color indexed="8"/>
      </x:top>
      <x:bottom style="hair">
        <x:color indexed="48"/>
      </x:bottom>
    </x:border>
    <x:border>
      <x:right style="thin">
        <x:color indexed="13"/>
      </x:right>
      <x:top style="thin">
        <x:color indexed="13"/>
      </x:top>
      <x:bottom style="medium">
        <x:color indexed="8"/>
      </x:bottom>
    </x:border>
    <x:border>
      <x:right style="medium">
        <x:color indexed="8"/>
      </x:right>
    </x:border>
    <x:border>
      <x:right style="thin">
        <x:color indexed="13"/>
      </x:right>
      <x:top style="medium">
        <x:color indexed="8"/>
      </x:top>
      <x:bottom style="thin">
        <x:color indexed="13"/>
      </x:bottom>
    </x:border>
    <x:border>
      <x:left style="medium">
        <x:color indexed="8"/>
      </x:left>
      <x:top style="medium">
        <x:color indexed="8"/>
      </x:top>
    </x:border>
    <x:border>
      <x:left style="thin">
        <x:color indexed="13"/>
      </x:left>
      <x:bottom style="medium">
        <x:color indexed="8"/>
      </x:bottom>
    </x:border>
    <x:border>
      <x:right style="medium">
        <x:color indexed="8"/>
      </x:right>
      <x:bottom style="medium">
        <x:color indexed="8"/>
      </x:bottom>
    </x:border>
    <x:border>
      <x:left style="thin">
        <x:color indexed="13"/>
      </x:left>
      <x:top style="medium">
        <x:color indexed="8"/>
      </x:top>
    </x:border>
    <x:border>
      <x:left style="medium">
        <x:color indexed="8"/>
      </x:left>
      <x:bottom style="medium">
        <x:color indexed="8"/>
      </x:bottom>
    </x:border>
    <x:border>
      <x:left style="medium">
        <x:color indexed="8"/>
      </x:left>
      <x:right style="thin">
        <x:color indexed="13"/>
      </x:right>
      <x:top style="thin">
        <x:color indexed="13"/>
      </x:top>
    </x:border>
    <x:border>
      <x:left style="thin">
        <x:color indexed="13"/>
      </x:left>
      <x:top style="medium">
        <x:color indexed="8"/>
      </x:top>
      <x:bottom style="medium">
        <x:color indexed="8"/>
      </x:bottom>
    </x:border>
    <x:border>
      <x:left style="thin">
        <x:color indexed="13"/>
      </x:left>
      <x:top style="medium">
        <x:color indexed="8"/>
      </x:top>
      <x:bottom style="thin">
        <x:color indexed="13"/>
      </x:bottom>
    </x:border>
    <x:border>
      <x:right style="thin">
        <x:color indexed="13"/>
      </x:right>
      <x:top style="medium">
        <x:color indexed="8"/>
      </x:top>
      <x:bottom style="medium">
        <x:color indexed="8"/>
      </x:bottom>
    </x:border>
    <x:border>
      <x:left style="medium">
        <x:color indexed="8"/>
      </x:left>
      <x:right style="thin">
        <x:color indexed="13"/>
      </x:right>
      <x:top style="medium">
        <x:color indexed="8"/>
      </x:top>
    </x:border>
    <x:border>
      <x:left style="thin">
        <x:color indexed="13"/>
      </x:left>
      <x:right style="medium">
        <x:color indexed="8"/>
      </x:right>
      <x:top style="medium">
        <x:color indexed="8"/>
      </x:top>
    </x:border>
    <x:border>
      <x:right style="medium">
        <x:color indexed="8"/>
      </x:right>
      <x:top style="thin">
        <x:color indexed="8"/>
      </x:top>
      <x:bottom style="thin">
        <x:color indexed="8"/>
      </x:bottom>
    </x:border>
    <x:border>
      <x:right style="medium">
        <x:color indexed="8"/>
      </x:right>
      <x:bottom style="thin">
        <x:color indexed="8"/>
      </x:bottom>
    </x:border>
    <x:border>
      <x:left style="medium">
        <x:color indexed="8"/>
      </x:left>
      <x:top style="thin">
        <x:color indexed="8"/>
      </x:top>
      <x:bottom style="medium">
        <x:color indexed="8"/>
      </x:bottom>
    </x:border>
    <x:border>
      <x:top style="thin">
        <x:color indexed="8"/>
      </x:top>
      <x:bottom style="medium">
        <x:color indexed="8"/>
      </x:bottom>
    </x:border>
    <x:border>
      <x:right style="medium">
        <x:color indexed="8"/>
      </x:right>
      <x:top style="thin">
        <x:color indexed="8"/>
      </x:top>
      <x:bottom style="medium">
        <x:color indexed="8"/>
      </x:bottom>
    </x:border>
    <x:border>
      <x:left style="medium">
        <x:color indexed="8"/>
      </x:left>
      <x:right style="medium">
        <x:color indexed="8"/>
      </x:right>
      <x:bottom style="thin">
        <x:color indexed="13"/>
      </x:bottom>
    </x:border>
    <x:border>
      <x:left style="medium">
        <x:color indexed="8"/>
      </x:left>
      <x:right style="thin">
        <x:color indexed="13"/>
      </x:right>
    </x:border>
    <x:border>
      <x:left style="medium">
        <x:color indexed="8"/>
      </x:left>
      <x:right style="thin">
        <x:color indexed="13"/>
      </x:right>
      <x:bottom style="medium">
        <x:color indexed="8"/>
      </x:bottom>
    </x:border>
    <x:border>
      <x:left style="thin">
        <x:color indexed="13"/>
      </x:left>
      <x:right style="thin">
        <x:color indexed="13"/>
      </x:right>
      <x:bottom style="medium">
        <x:color indexed="8"/>
      </x:bottom>
    </x:border>
    <x:border>
      <x:left style="thin">
        <x:color indexed="13"/>
      </x:left>
      <x:right style="medium">
        <x:color indexed="8"/>
      </x:right>
      <x:bottom style="medium">
        <x:color indexed="8"/>
      </x:bottom>
    </x:border>
    <x:border>
      <x:left style="thin">
        <x:color indexed="13"/>
      </x:left>
      <x:right style="thin">
        <x:color indexed="13"/>
      </x:right>
      <x:top style="medium">
        <x:color indexed="8"/>
      </x:top>
    </x:border>
    <x:border>
      <x:left style="thin">
        <x:color indexed="13"/>
      </x:left>
      <x:top style="thin">
        <x:color indexed="13"/>
      </x:top>
      <x:bottom style="medium">
        <x:color indexed="8"/>
      </x:bottom>
    </x:border>
    <x:border>
      <x:left style="medium">
        <x:color indexed="8"/>
      </x:left>
      <x:top style="medium">
        <x:color indexed="8"/>
      </x:top>
      <x:bottom style="thin">
        <x:color indexed="8"/>
      </x:bottom>
    </x:border>
    <x:border>
      <x:top style="medium">
        <x:color indexed="8"/>
      </x:top>
      <x:bottom style="thin">
        <x:color indexed="8"/>
      </x:bottom>
    </x:border>
    <x:border>
      <x:right style="medium">
        <x:color indexed="8"/>
      </x:right>
      <x:top style="medium">
        <x:color indexed="8"/>
      </x:top>
      <x:bottom style="thin">
        <x:color indexed="8"/>
      </x:bottom>
    </x:border>
    <x:border>
      <x:right style="medium">
        <x:color indexed="8"/>
      </x:right>
      <x:top style="thin">
        <x:color indexed="8"/>
      </x:top>
    </x:border>
    <x:border>
      <x:right style="thin">
        <x:color indexed="58"/>
      </x:right>
    </x:border>
    <x:border>
      <x:left style="thin">
        <x:color indexed="58"/>
      </x:left>
    </x:border>
    <x:border>
      <x:right style="thin">
        <x:color indexed="59"/>
      </x:right>
    </x:border>
    <x:border>
      <x:left style="thin">
        <x:color indexed="59"/>
      </x:left>
      <x:right style="thin">
        <x:color indexed="59"/>
      </x:right>
    </x:border>
    <x:border>
      <x:left style="thin">
        <x:color indexed="59"/>
      </x:left>
    </x:border>
    <x:border>
      <x:left style="thin">
        <x:color indexed="58"/>
      </x:left>
      <x:right style="thin">
        <x:color indexed="58"/>
      </x:right>
    </x:border>
    <x:border>
      <x:right style="thin">
        <x:color indexed="58"/>
      </x:right>
      <x:bottom style="medium">
        <x:color indexed="8"/>
      </x:bottom>
    </x:border>
    <x:border>
      <x:left style="thin">
        <x:color indexed="58"/>
      </x:left>
      <x:bottom style="medium">
        <x:color indexed="8"/>
      </x:bottom>
    </x:border>
    <x:border>
      <x:left style="thin">
        <x:color indexed="58"/>
      </x:left>
      <x:right style="thin">
        <x:color indexed="58"/>
      </x:right>
      <x:bottom style="medium">
        <x:color indexed="8"/>
      </x:bottom>
    </x:border>
    <x:border>
      <x:right style="thin">
        <x:color indexed="58"/>
      </x:right>
      <x:top style="medium">
        <x:color indexed="8"/>
      </x:top>
    </x:border>
    <x:border>
      <x:left style="thin">
        <x:color indexed="58"/>
      </x:left>
      <x:top style="medium">
        <x:color indexed="8"/>
      </x:top>
    </x:border>
    <x:border>
      <x:left style="thin">
        <x:color indexed="58"/>
      </x:left>
      <x:right style="thin">
        <x:color indexed="58"/>
      </x:right>
      <x:top style="medium">
        <x:color indexed="8"/>
      </x:top>
    </x:border>
    <x:border>
      <x:right style="thin">
        <x:color indexed="58"/>
      </x:right>
      <x:bottom style="thin">
        <x:color indexed="8"/>
      </x:bottom>
    </x:border>
    <x:border>
      <x:left style="thin">
        <x:color indexed="58"/>
      </x:left>
      <x:bottom style="thin">
        <x:color indexed="8"/>
      </x:bottom>
    </x:border>
    <x:border>
      <x:left style="thin">
        <x:color indexed="58"/>
      </x:left>
      <x:right style="thin">
        <x:color indexed="58"/>
      </x:right>
      <x:bottom style="thin">
        <x:color indexed="8"/>
      </x:bottom>
    </x:border>
    <x:border>
      <x:right style="thin">
        <x:color indexed="58"/>
      </x:right>
      <x:top style="thin">
        <x:color indexed="8"/>
      </x:top>
    </x:border>
    <x:border>
      <x:left style="thin">
        <x:color indexed="58"/>
      </x:left>
      <x:top style="thin">
        <x:color indexed="8"/>
      </x:top>
    </x:border>
    <x:border>
      <x:left style="thin">
        <x:color indexed="58"/>
      </x:left>
      <x:right style="thin">
        <x:color indexed="58"/>
      </x:right>
      <x:top style="thin">
        <x:color indexed="8"/>
      </x:top>
    </x:border>
    <x:border>
      <x:left style="hair">
        <x:color indexed="8"/>
      </x:left>
      <x:right style="hair">
        <x:color indexed="8"/>
      </x:right>
      <x:top style="thin">
        <x:color indexed="8"/>
      </x:top>
      <x:bottom style="thin">
        <x:color indexed="8"/>
      </x:bottom>
    </x:border>
    <x:border>
      <x:left style="hair">
        <x:color indexed="8"/>
      </x:left>
      <x:right style="thin">
        <x:color indexed="8"/>
      </x:right>
      <x:top style="thin">
        <x:color indexed="8"/>
      </x:top>
      <x:bottom style="thin">
        <x:color indexed="8"/>
      </x:bottom>
    </x:border>
    <x:border>
      <x:right style="hair">
        <x:color indexed="8"/>
      </x:right>
      <x:top style="thin">
        <x:color indexed="8"/>
      </x:top>
      <x:bottom style="hair">
        <x:color indexed="8"/>
      </x:bottom>
    </x:border>
    <x:border>
      <x:left style="hair">
        <x:color indexed="8"/>
      </x:left>
      <x:right style="hair">
        <x:color indexed="8"/>
      </x:right>
      <x:top style="thin">
        <x:color indexed="8"/>
      </x:top>
      <x:bottom style="hair">
        <x:color indexed="8"/>
      </x:bottom>
    </x:border>
    <x:border>
      <x:left style="hair">
        <x:color indexed="8"/>
      </x:left>
      <x:top style="thin">
        <x:color indexed="8"/>
      </x:top>
      <x:bottom style="hair">
        <x:color indexed="8"/>
      </x:bottom>
    </x:border>
    <x:border>
      <x:right style="hair">
        <x:color indexed="8"/>
      </x:right>
      <x:top style="hair">
        <x:color indexed="8"/>
      </x:top>
      <x:bottom style="hair">
        <x:color indexed="8"/>
      </x:bottom>
    </x:border>
    <x:border>
      <x:left style="hair">
        <x:color indexed="8"/>
      </x:left>
      <x:right style="hair">
        <x:color indexed="8"/>
      </x:right>
      <x:top style="hair">
        <x:color indexed="8"/>
      </x:top>
      <x:bottom style="hair">
        <x:color indexed="8"/>
      </x:bottom>
    </x:border>
    <x:border>
      <x:left style="hair">
        <x:color indexed="8"/>
      </x:left>
      <x:top style="hair">
        <x:color indexed="8"/>
      </x:top>
      <x:bottom style="hair">
        <x:color indexed="8"/>
      </x:bottom>
    </x:border>
    <x:border>
      <x:left style="thin">
        <x:color indexed="13"/>
      </x:left>
      <x:top style="hair">
        <x:color indexed="8"/>
      </x:top>
      <x:bottom style="thin">
        <x:color indexed="8"/>
      </x:bottom>
    </x:border>
    <x:border>
      <x:left style="thin">
        <x:color indexed="13"/>
      </x:left>
      <x:top style="thin">
        <x:color indexed="8"/>
      </x:top>
      <x:bottom style="medium">
        <x:color indexed="8"/>
      </x:bottom>
    </x:border>
    <x:border>
      <x:left style="thin">
        <x:color indexed="13"/>
      </x:left>
      <x:bottom style="hair">
        <x:color indexed="33"/>
      </x:bottom>
    </x:border>
    <x:border>
      <x:left style="thin">
        <x:color indexed="13"/>
      </x:left>
      <x:top style="hair">
        <x:color indexed="33"/>
      </x:top>
      <x:bottom style="hair">
        <x:color indexed="33"/>
      </x:bottom>
    </x:border>
    <x:border>
      <x:left style="thin">
        <x:color indexed="13"/>
      </x:left>
      <x:top style="hair">
        <x:color indexed="33"/>
      </x:top>
    </x:border>
    <x:border>
      <x:left style="thin">
        <x:color indexed="8"/>
      </x:left>
      <x:right style="thin">
        <x:color indexed="8"/>
      </x:right>
      <x:top style="thin">
        <x:color indexed="8"/>
      </x:top>
    </x:border>
    <x:border>
      <x:right style="thin">
        <x:color indexed="13"/>
      </x:right>
      <x:top style="thin">
        <x:color indexed="8"/>
      </x:top>
    </x:border>
    <x:border>
      <x:right style="thin">
        <x:color indexed="13"/>
      </x:right>
      <x:bottom style="thin">
        <x:color indexed="8"/>
      </x:bottom>
    </x:border>
    <x:border>
      <x:right style="thin">
        <x:color indexed="13"/>
      </x:right>
      <x:top style="thin">
        <x:color indexed="8"/>
      </x:top>
      <x:bottom style="thin">
        <x:color indexed="8"/>
      </x:bottom>
    </x:border>
    <x:border>
      <x:bottom style="thick">
        <x:color rgb="FFB4C6E7"/>
      </x:bottom>
    </x:border>
    <x:border>
      <x:left style="thin">
        <x:color indexed="13"/>
      </x:left>
      <x:right style="thin">
        <x:color indexed="13"/>
      </x:right>
      <x:top style="thick">
        <x:color rgb="FFB4C6E7"/>
      </x:top>
      <x:bottom style="thin">
        <x:color indexed="13"/>
      </x:bottom>
    </x:border>
    <x:border>
      <x:left style="thin">
        <x:color indexed="13"/>
      </x:left>
      <x:right style="thin">
        <x:color indexed="13"/>
      </x:right>
      <x:top style="thick">
        <x:color rgb="FFB4C6E7"/>
      </x:top>
    </x:border>
    <x:border>
      <x:left style="thin">
        <x:color indexed="13"/>
      </x:left>
      <x:right style="thin">
        <x:color indexed="13"/>
      </x:right>
      <x:top style="thin">
        <x:color indexed="8"/>
      </x:top>
      <x:bottom style="thin">
        <x:color rgb="FFADB3BF"/>
      </x:bottom>
    </x:border>
    <x:border>
      <x:right style="thin">
        <x:color rgb="FFADB3BF"/>
      </x:right>
    </x:border>
    <x:border>
      <x:left style="thin">
        <x:color rgb="FFADB3BF"/>
      </x:left>
      <x:right style="thin">
        <x:color rgb="FFADB3BF"/>
      </x:right>
      <x:top style="thin">
        <x:color rgb="FFADB3BF"/>
      </x:top>
      <x:bottom style="thin">
        <x:color rgb="FFADB3BF"/>
      </x:bottom>
    </x:border>
    <x:border>
      <x:left style="thin">
        <x:color rgb="FFADB3BF"/>
      </x:left>
      <x:right style="thin">
        <x:color indexed="13"/>
      </x:right>
      <x:top style="thin">
        <x:color indexed="13"/>
      </x:top>
      <x:bottom style="thin">
        <x:color indexed="13"/>
      </x:bottom>
    </x:border>
    <x:border>
      <x:left style="thin">
        <x:color indexed="13"/>
      </x:left>
      <x:right style="thin">
        <x:color indexed="13"/>
      </x:right>
      <x:top style="thin">
        <x:color rgb="FFADB3BF"/>
      </x:top>
      <x:bottom style="thin">
        <x:color indexed="13"/>
      </x:bottom>
    </x:border>
    <x:border>
      <x:left style="thin">
        <x:color indexed="13"/>
      </x:left>
      <x:right style="thin">
        <x:color indexed="13"/>
      </x:right>
      <x:top style="thin">
        <x:color rgb="FFADB3BF"/>
      </x:top>
      <x:bottom style="thin">
        <x:color rgb="FFADB3BF"/>
      </x:bottom>
    </x:border>
    <x:border>
      <x:left style="thin">
        <x:color indexed="13"/>
      </x:left>
      <x:right style="thin">
        <x:color rgb="FFADB3BF"/>
      </x:right>
      <x:top style="thin">
        <x:color indexed="13"/>
      </x:top>
      <x:bottom style="thin">
        <x:color indexed="13"/>
      </x:bottom>
    </x:border>
    <x:border>
      <x:left style="thin">
        <x:color indexed="13"/>
      </x:left>
      <x:right style="thin">
        <x:color indexed="13"/>
      </x:right>
      <x:top style="thin">
        <x:color indexed="13"/>
      </x:top>
      <x:bottom style="thin">
        <x:color rgb="FFADB3BF"/>
      </x:bottom>
    </x:border>
    <x:border>
      <x:left style="thin">
        <x:color indexed="13"/>
      </x:left>
      <x:right style="thin">
        <x:color rgb="FFADB3BF"/>
      </x:right>
      <x:top style="thin">
        <x:color indexed="13"/>
      </x:top>
      <x:bottom style="thin">
        <x:color indexed="8"/>
      </x:bottom>
    </x:border>
    <x:border>
      <x:left style="thin">
        <x:color rgb="FFADB3BF"/>
      </x:left>
      <x:right style="thin">
        <x:color rgb="FFADB3BF"/>
      </x:right>
      <x:top style="thin">
        <x:color rgb="FFADB3BF"/>
      </x:top>
      <x:bottom style="thin">
        <x:color indexed="8"/>
      </x:bottom>
    </x:border>
    <x:border>
      <x:left style="thin">
        <x:color rgb="FFADB3BF"/>
      </x:left>
      <x:right style="thin">
        <x:color indexed="13"/>
      </x:right>
      <x:top style="thin">
        <x:color indexed="13"/>
      </x:top>
      <x:bottom style="thin">
        <x:color indexed="8"/>
      </x:bottom>
    </x:border>
    <x:border>
      <x:left style="thin">
        <x:color indexed="8"/>
      </x:left>
      <x:right style="thin">
        <x:color indexed="13"/>
      </x:right>
      <x:top style="thin">
        <x:color indexed="8"/>
      </x:top>
      <x:bottom style="thin">
        <x:color indexed="13"/>
      </x:bottom>
    </x:border>
    <x:border>
      <x:left style="thin">
        <x:color indexed="13"/>
      </x:left>
      <x:right style="thin">
        <x:color indexed="13"/>
      </x:right>
      <x:bottom style="thin">
        <x:color indexed="8"/>
      </x:bottom>
    </x:border>
    <x:border>
      <x:left style="thin">
        <x:color indexed="8"/>
      </x:left>
      <x:right style="thin">
        <x:color indexed="8"/>
      </x:right>
      <x:bottom style="thin">
        <x:color indexed="8"/>
      </x:bottom>
    </x:border>
    <x:border>
      <x:left style="thin">
        <x:color indexed="8"/>
      </x:left>
      <x:right style="thin">
        <x:color indexed="13"/>
      </x:right>
      <x:top style="thin">
        <x:color indexed="13"/>
      </x:top>
    </x:border>
    <x:border>
      <x:left style="thin">
        <x:color indexed="13"/>
      </x:left>
      <x:right style="thin">
        <x:color indexed="8"/>
      </x:right>
      <x:top style="thin">
        <x:color indexed="13"/>
      </x:top>
    </x:border>
    <x:border>
      <x:left style="thin">
        <x:color indexed="8"/>
      </x:left>
      <x:right style="thin">
        <x:color indexed="8"/>
      </x:right>
      <x:bottom style="medium">
        <x:color indexed="8"/>
      </x:bottom>
    </x:border>
    <x:border>
      <x:right style="thin">
        <x:color indexed="8"/>
      </x:right>
      <x:bottom style="medium">
        <x:color indexed="8"/>
      </x:bottom>
    </x:border>
    <x:border>
      <x:left style="thin">
        <x:color indexed="8"/>
      </x:left>
      <x:right style="thin">
        <x:color indexed="13"/>
      </x:right>
      <x:top style="thin">
        <x:color indexed="13"/>
      </x:top>
      <x:bottom style="medium">
        <x:color indexed="8"/>
      </x:bottom>
    </x:border>
    <x:border>
      <x:bottom style="thin">
        <x:color indexed="15"/>
      </x:bottom>
    </x:border>
    <x:border>
      <x:top style="thin">
        <x:color indexed="15"/>
      </x:top>
      <x:bottom style="thin">
        <x:color indexed="15"/>
      </x:bottom>
    </x:border>
    <x:border>
      <x:top style="thin">
        <x:color indexed="15"/>
      </x:top>
    </x:border>
    <x:border>
      <x:top style="thin">
        <x:color indexed="8"/>
      </x:top>
      <x:bottom style="thin">
        <x:color indexed="13"/>
      </x:bottom>
    </x:border>
    <x:border>
      <x:right style="thin">
        <x:color rgb="FFD9DCE1"/>
      </x:right>
    </x:border>
    <x:border>
      <x:left style="thin">
        <x:color rgb="FFD9DCE1"/>
      </x:left>
      <x:right style="thin">
        <x:color rgb="FFD9DCE1"/>
      </x:right>
    </x:border>
    <x:border>
      <x:left style="thin">
        <x:color rgb="FFD9DCE1"/>
      </x:left>
    </x:border>
    <x:border>
      <x:right style="thin">
        <x:color rgb="FFD9DCE1"/>
      </x:right>
      <x:bottom style="thin">
        <x:color indexed="8"/>
      </x:bottom>
    </x:border>
    <x:border>
      <x:left style="thin">
        <x:color rgb="FFD9DCE1"/>
      </x:left>
      <x:right style="thin">
        <x:color rgb="FFD9DCE1"/>
      </x:right>
      <x:bottom style="thin">
        <x:color indexed="8"/>
      </x:bottom>
    </x:border>
    <x:border>
      <x:left style="thin">
        <x:color rgb="FFD9DCE1"/>
      </x:left>
      <x:bottom style="thin">
        <x:color indexed="8"/>
      </x:bottom>
    </x:border>
    <x:border>
      <x:right style="thin">
        <x:color rgb="FFD9DCE1"/>
      </x:right>
      <x:top style="thin">
        <x:color indexed="8"/>
      </x:top>
    </x:border>
    <x:border>
      <x:left style="thin">
        <x:color rgb="FFD9DCE1"/>
      </x:left>
      <x:right style="thin">
        <x:color rgb="FFD9DCE1"/>
      </x:right>
      <x:top style="thin">
        <x:color indexed="8"/>
      </x:top>
    </x:border>
    <x:border>
      <x:left style="thin">
        <x:color rgb="FFD9DCE1"/>
      </x:left>
      <x:top style="thin">
        <x:color indexed="8"/>
      </x:top>
    </x:border>
    <x:border>
      <x:left style="thin">
        <x:color indexed="13"/>
      </x:left>
      <x:right style="thin">
        <x:color indexed="13"/>
      </x:right>
      <x:top style="thin">
        <x:color indexed="13"/>
      </x:top>
      <x:bottom style="thin">
        <x:color indexed="55"/>
      </x:bottom>
    </x:border>
    <x:border>
      <x:left style="thin">
        <x:color indexed="55"/>
      </x:left>
      <x:right style="thin">
        <x:color indexed="55"/>
      </x:right>
      <x:top style="thin">
        <x:color indexed="55"/>
      </x:top>
      <x:bottom style="thin">
        <x:color indexed="55"/>
      </x:bottom>
    </x:border>
    <x:border>
      <x:left style="thin">
        <x:color indexed="55"/>
      </x:left>
      <x:right style="thin">
        <x:color indexed="13"/>
      </x:right>
      <x:top style="thin">
        <x:color indexed="55"/>
      </x:top>
      <x:bottom style="thin">
        <x:color indexed="13"/>
      </x:bottom>
    </x:border>
    <x:border>
      <x:left style="thin">
        <x:color indexed="55"/>
      </x:left>
      <x:right style="thin">
        <x:color indexed="13"/>
      </x:right>
      <x:top style="thin">
        <x:color indexed="13"/>
      </x:top>
      <x:bottom style="thin">
        <x:color indexed="13"/>
      </x:bottom>
    </x:border>
    <x:border>
      <x:left style="thin">
        <x:color indexed="13"/>
      </x:left>
      <x:right style="thin">
        <x:color indexed="13"/>
      </x:right>
      <x:top style="thin">
        <x:color indexed="55"/>
      </x:top>
    </x:border>
    <x:border>
      <x:left style="thin">
        <x:color indexed="13"/>
      </x:left>
      <x:top style="thin">
        <x:color indexed="55"/>
      </x:top>
    </x:border>
    <x:border>
      <x:top style="thin">
        <x:color indexed="55"/>
      </x:top>
    </x:border>
    <x:border>
      <x:right style="thin">
        <x:color indexed="13"/>
      </x:right>
      <x:top style="thin">
        <x:color indexed="55"/>
      </x:top>
    </x:border>
    <x:border>
      <x:left style="thin">
        <x:color indexed="13"/>
      </x:left>
      <x:bottom style="thin">
        <x:color indexed="55"/>
      </x:bottom>
    </x:border>
    <x:border>
      <x:bottom style="thin">
        <x:color indexed="55"/>
      </x:bottom>
    </x:border>
    <x:border>
      <x:right style="thin">
        <x:color indexed="13"/>
      </x:right>
      <x:bottom style="thin">
        <x:color indexed="55"/>
      </x:bottom>
    </x:border>
    <x:border>
      <x:left style="thin">
        <x:color indexed="13"/>
      </x:left>
      <x:top style="thin">
        <x:color indexed="55"/>
      </x:top>
      <x:bottom style="thin">
        <x:color indexed="55"/>
      </x:bottom>
    </x:border>
    <x:border>
      <x:top style="thin">
        <x:color indexed="55"/>
      </x:top>
      <x:bottom style="thin">
        <x:color indexed="55"/>
      </x:bottom>
    </x:border>
    <x:border>
      <x:right style="thin">
        <x:color indexed="13"/>
      </x:right>
      <x:top style="thin">
        <x:color indexed="55"/>
      </x:top>
      <x:bottom style="thin">
        <x:color indexed="55"/>
      </x:bottom>
    </x:border>
    <x:border>
      <x:left style="thin">
        <x:color indexed="13"/>
      </x:left>
      <x:right style="thin">
        <x:color indexed="13"/>
      </x:right>
      <x:top style="thin">
        <x:color indexed="55"/>
      </x:top>
      <x:bottom style="thin">
        <x:color indexed="13"/>
      </x:bottom>
    </x:border>
    <x:border>
      <x:left style="thin">
        <x:color indexed="13"/>
      </x:left>
      <x:right style="thin">
        <x:color indexed="13"/>
      </x:right>
      <x:top style="thin">
        <x:color indexed="13"/>
      </x:top>
      <x:bottom style="thin">
        <x:color indexed="27"/>
      </x:bottom>
    </x:border>
    <x:border>
      <x:left style="thin">
        <x:color indexed="13"/>
      </x:left>
      <x:right style="thin">
        <x:color indexed="13"/>
      </x:right>
      <x:top style="thin">
        <x:color indexed="27"/>
      </x:top>
      <x:bottom style="thin">
        <x:color indexed="13"/>
      </x:bottom>
    </x:border>
    <x:border>
      <x:left style="thin">
        <x:color indexed="13"/>
      </x:left>
      <x:right style="thin">
        <x:color indexed="13"/>
      </x:right>
      <x:bottom style="thin">
        <x:color indexed="55"/>
      </x:bottom>
    </x:border>
    <x:border>
      <x:left style="thin">
        <x:color indexed="13"/>
      </x:left>
      <x:right style="thin">
        <x:color indexed="13"/>
      </x:right>
      <x:top style="thin">
        <x:color indexed="13"/>
      </x:top>
      <x:bottom style="thin">
        <x:color indexed="15"/>
      </x:bottom>
    </x:border>
    <x:border>
      <x:left style="thin">
        <x:color indexed="55"/>
      </x:left>
    </x:border>
    <x:border>
      <x:right style="thin">
        <x:color indexed="15"/>
      </x:right>
      <x:top style="thin">
        <x:color indexed="13"/>
      </x:top>
      <x:bottom style="thin">
        <x:color indexed="13"/>
      </x:bottom>
    </x:border>
    <x:border>
      <x:left style="thin">
        <x:color indexed="15"/>
      </x:left>
      <x:right style="thin">
        <x:color indexed="15"/>
      </x:right>
      <x:top style="thin">
        <x:color indexed="15"/>
      </x:top>
      <x:bottom style="thin">
        <x:color indexed="15"/>
      </x:bottom>
    </x:border>
    <x:border>
      <x:left style="thin">
        <x:color indexed="15"/>
      </x:left>
      <x:right style="thin">
        <x:color indexed="13"/>
      </x:right>
      <x:top style="thin">
        <x:color indexed="13"/>
      </x:top>
      <x:bottom style="thin">
        <x:color indexed="13"/>
      </x:bottom>
    </x:border>
    <x:border>
      <x:left style="thin">
        <x:color indexed="13"/>
      </x:left>
      <x:right style="thin">
        <x:color indexed="13"/>
      </x:right>
      <x:top style="thin">
        <x:color indexed="15"/>
      </x:top>
      <x:bottom style="thin">
        <x:color indexed="15"/>
      </x:bottom>
    </x:border>
    <x:border>
      <x:left style="thin">
        <x:color indexed="55"/>
      </x:left>
      <x:right style="thin">
        <x:color indexed="13"/>
      </x:right>
      <x:bottom style="thin">
        <x:color indexed="13"/>
      </x:bottom>
    </x:border>
    <x:border>
      <x:left style="thin">
        <x:color indexed="13"/>
      </x:left>
      <x:right style="thin">
        <x:color indexed="15"/>
      </x:right>
      <x:top style="thin">
        <x:color indexed="13"/>
      </x:top>
      <x:bottom style="thin">
        <x:color indexed="13"/>
      </x:bottom>
    </x:border>
    <x:border>
      <x:left style="thin">
        <x:color indexed="13"/>
      </x:left>
      <x:right style="thin">
        <x:color indexed="13"/>
      </x:right>
      <x:top style="thin">
        <x:color indexed="15"/>
      </x:top>
      <x:bottom style="thin">
        <x:color indexed="13"/>
      </x:bottom>
    </x:border>
    <x:border>
      <x:left style="thin">
        <x:color indexed="13"/>
      </x:left>
      <x:right style="thin">
        <x:color indexed="15"/>
      </x:right>
      <x:top style="thin">
        <x:color indexed="13"/>
      </x:top>
    </x:border>
    <x:border>
      <x:right style="thin">
        <x:color indexed="15"/>
      </x:right>
    </x:border>
    <x:border>
      <x:left style="thin">
        <x:color indexed="55"/>
      </x:left>
      <x:right style="thin">
        <x:color indexed="13"/>
      </x:right>
    </x:border>
    <x:border>
      <x:left style="thin">
        <x:color indexed="13"/>
      </x:left>
      <x:right style="thin">
        <x:color indexed="15"/>
      </x:right>
    </x:border>
    <x:border>
      <x:left style="thin">
        <x:color indexed="13"/>
      </x:left>
      <x:right style="thin">
        <x:color indexed="15"/>
      </x:right>
      <x:bottom style="thin">
        <x:color indexed="13"/>
      </x:bottom>
    </x:border>
    <x:border>
      <x:left style="thin">
        <x:color indexed="13"/>
      </x:left>
      <x:right style="thin">
        <x:color indexed="13"/>
      </x:right>
      <x:top style="thin">
        <x:color indexed="55"/>
      </x:top>
      <x:bottom style="thin">
        <x:color indexed="55"/>
      </x:bottom>
    </x:border>
    <x:border>
      <x:left style="thin">
        <x:color indexed="55"/>
      </x:left>
      <x:right style="thin">
        <x:color indexed="13"/>
      </x:right>
      <x:top style="thin">
        <x:color indexed="55"/>
      </x:top>
      <x:bottom style="thin">
        <x:color indexed="55"/>
      </x:bottom>
    </x:border>
    <x:border>
      <x:left style="thin">
        <x:color indexed="13"/>
      </x:left>
      <x:right style="thin">
        <x:color indexed="55"/>
      </x:right>
      <x:top style="thin">
        <x:color indexed="55"/>
      </x:top>
      <x:bottom style="thin">
        <x:color indexed="55"/>
      </x:bottom>
    </x:border>
    <x:border>
      <x:left style="thin">
        <x:color indexed="55"/>
      </x:left>
      <x:right style="thin">
        <x:color indexed="13"/>
      </x:right>
      <x:top style="thin">
        <x:color indexed="13"/>
      </x:top>
    </x:border>
    <x:border>
      <x:left style="thin">
        <x:color indexed="55"/>
      </x:left>
      <x:right style="thin">
        <x:color indexed="13"/>
      </x:right>
      <x:top style="thin">
        <x:color indexed="55"/>
      </x:top>
    </x:border>
    <x:border>
      <x:left style="thin">
        <x:color indexed="55"/>
      </x:left>
      <x:right style="thin">
        <x:color indexed="13"/>
      </x:right>
      <x:top style="thin">
        <x:color indexed="13"/>
      </x:top>
      <x:bottom style="thin">
        <x:color indexed="55"/>
      </x:bottom>
    </x:border>
    <x:border>
      <x:left style="thin">
        <x:color indexed="13"/>
      </x:left>
      <x:right style="thin">
        <x:color indexed="15"/>
      </x:right>
      <x:top style="thin">
        <x:color indexed="13"/>
      </x:top>
      <x:bottom style="thin">
        <x:color indexed="55"/>
      </x:bottom>
    </x:border>
    <x:border>
      <x:left style="thin">
        <x:color indexed="55"/>
      </x:left>
      <x:right style="thin">
        <x:color indexed="15"/>
      </x:right>
      <x:top style="thin">
        <x:color indexed="55"/>
      </x:top>
      <x:bottom style="thin">
        <x:color indexed="55"/>
      </x:bottom>
    </x:border>
    <x:border>
      <x:left style="thin">
        <x:color indexed="13"/>
      </x:left>
      <x:right style="thin">
        <x:color indexed="15"/>
      </x:right>
      <x:top style="thin">
        <x:color indexed="55"/>
      </x:top>
      <x:bottom style="thin">
        <x:color indexed="13"/>
      </x:bottom>
    </x:border>
    <x:border>
      <x:left style="thin">
        <x:color indexed="55"/>
      </x:left>
      <x:top style="thin">
        <x:color indexed="55"/>
      </x:top>
      <x:bottom style="thin">
        <x:color indexed="55"/>
      </x:bottom>
    </x:border>
    <x:border>
      <x:right style="thin">
        <x:color indexed="55"/>
      </x:right>
      <x:top style="thin">
        <x:color indexed="55"/>
      </x:top>
      <x:bottom style="thin">
        <x:color indexed="55"/>
      </x:bottom>
    </x:border>
    <x:border>
      <x:left style="thin">
        <x:color indexed="55"/>
      </x:left>
      <x:top style="thin">
        <x:color indexed="55"/>
      </x:top>
    </x:border>
    <x:border>
      <x:left style="thin">
        <x:color indexed="13"/>
      </x:left>
      <x:right style="thin">
        <x:color indexed="13"/>
      </x:right>
      <x:bottom style="thin">
        <x:color indexed="15"/>
      </x:bottom>
    </x:border>
    <x:border>
      <x:left style="thin">
        <x:color indexed="55"/>
      </x:left>
      <x:right style="thin">
        <x:color indexed="13"/>
      </x:right>
      <x:bottom style="thin">
        <x:color indexed="55"/>
      </x:bottom>
    </x:border>
    <x:border>
      <x:left style="thin">
        <x:color indexed="13"/>
      </x:left>
      <x:right style="thin">
        <x:color indexed="13"/>
      </x:right>
      <x:top style="thin">
        <x:color indexed="13"/>
      </x:top>
      <x:bottom style="thin">
        <x:color indexed="34"/>
      </x:bottom>
    </x:border>
    <x:border>
      <x:left style="thin">
        <x:color indexed="13"/>
      </x:left>
      <x:top style="thin">
        <x:color indexed="34"/>
      </x:top>
      <x:bottom style="thin">
        <x:color indexed="34"/>
      </x:bottom>
    </x:border>
    <x:border>
      <x:top style="thin">
        <x:color indexed="34"/>
      </x:top>
      <x:bottom style="thin">
        <x:color indexed="34"/>
      </x:bottom>
    </x:border>
    <x:border>
      <x:left style="thin">
        <x:color indexed="13"/>
      </x:left>
      <x:right style="thin">
        <x:color indexed="13"/>
      </x:right>
      <x:top style="thin">
        <x:color indexed="34"/>
      </x:top>
    </x:border>
    <x:border>
      <x:left style="thin">
        <x:color indexed="13"/>
      </x:left>
      <x:right style="thin">
        <x:color indexed="13"/>
      </x:right>
      <x:top style="thin">
        <x:color indexed="34"/>
      </x:top>
      <x:bottom style="thin">
        <x:color indexed="13"/>
      </x:bottom>
    </x:border>
    <x:border>
      <x:left style="thin">
        <x:color indexed="27"/>
      </x:left>
      <x:right style="thin">
        <x:color indexed="13"/>
      </x:right>
      <x:bottom style="thin">
        <x:color indexed="13"/>
      </x:bottom>
    </x:border>
    <x:border>
      <x:left style="thin">
        <x:color indexed="27"/>
      </x:left>
      <x:right style="thin">
        <x:color indexed="13"/>
      </x:right>
      <x:top style="thin">
        <x:color indexed="13"/>
      </x:top>
      <x:bottom style="thin">
        <x:color indexed="13"/>
      </x:bottom>
    </x:border>
    <x:border>
      <x:right style="medium">
        <x:color indexed="8"/>
      </x:right>
      <x:top style="medium">
        <x:color indexed="8"/>
      </x:top>
      <x:bottom style="thin">
        <x:color indexed="13"/>
      </x:bottom>
    </x:border>
    <x:border>
      <x:right style="medium">
        <x:color indexed="8"/>
      </x:right>
      <x:top style="thin">
        <x:color indexed="13"/>
      </x:top>
    </x:border>
    <x:border>
      <x:right style="medium">
        <x:color indexed="8"/>
      </x:right>
      <x:top style="thin">
        <x:color indexed="13"/>
      </x:top>
      <x:bottom style="medium">
        <x:color indexed="8"/>
      </x:bottom>
    </x:border>
    <x:border>
      <x:right style="hair">
        <x:color indexed="48"/>
      </x:right>
      <x:top style="hair">
        <x:color indexed="48"/>
      </x:top>
      <x:bottom style="hair">
        <x:color indexed="48"/>
      </x:bottom>
    </x:border>
    <x:border>
      <x:right style="thin">
        <x:color indexed="13"/>
      </x:right>
      <x:top style="medium">
        <x:color indexed="8"/>
      </x:top>
    </x:border>
    <x:border>
      <x:top style="thick">
        <x:color rgb="FFB4C6E7"/>
      </x:top>
    </x:border>
    <x:border>
      <x:right style="thin">
        <x:color indexed="13"/>
      </x:right>
      <x:top style="thick">
        <x:color rgb="FFB4C6E7"/>
      </x:top>
    </x:border>
    <x:border>
      <x:right style="thin">
        <x:color indexed="13"/>
      </x:right>
      <x:top style="thick">
        <x:color rgb="FFB4C6E7"/>
      </x:top>
      <x:bottom style="thin">
        <x:color indexed="13"/>
      </x:bottom>
    </x:border>
    <x:border>
      <x:top style="thin">
        <x:color indexed="13"/>
      </x:top>
      <x:bottom style="thin">
        <x:color indexed="55"/>
      </x:bottom>
    </x:border>
    <x:border>
      <x:right style="thin">
        <x:color indexed="13"/>
      </x:right>
      <x:top style="thin">
        <x:color indexed="13"/>
      </x:top>
      <x:bottom style="thin">
        <x:color indexed="55"/>
      </x:bottom>
    </x:border>
    <x:border>
      <x:left style="thin">
        <x:color rgb="FFB7B7B7"/>
      </x:left>
      <x:right style="thin">
        <x:color rgb="FFB7B7B7"/>
      </x:right>
      <x:top style="thin">
        <x:color rgb="FFB7B7B7"/>
      </x:top>
      <x:bottom style="thin">
        <x:color rgb="FFB7B7B7"/>
      </x:bottom>
    </x:border>
    <x:border>
      <x:top style="thin">
        <x:color rgb="FF000000"/>
      </x:top>
    </x:border>
    <x:border>
      <x:bottom style="hair">
        <x:color rgb="FFD9E2F3"/>
      </x:bottom>
    </x:border>
    <x:border>
      <x:left style="thin">
        <x:color rgb="FFBFBFBF"/>
      </x:left>
      <x:right style="thin">
        <x:color rgb="FFBFBFBF"/>
      </x:right>
      <x:top style="thin">
        <x:color rgb="FFBFBFBF"/>
      </x:top>
      <x:bottom style="thin">
        <x:color rgb="FFBFBFBF"/>
      </x:bottom>
    </x:border>
    <x:border>
      <x:left style="thin">
        <x:color rgb="FFD9D9D9"/>
      </x:left>
      <x:right style="thin">
        <x:color rgb="FFD9D9D9"/>
      </x:right>
      <x:top style="thin">
        <x:color rgb="FFD9D9D9"/>
      </x:top>
      <x:bottom style="thin">
        <x:color rgb="FFD9D9D9"/>
      </x:bottom>
    </x:border>
    <x:border>
      <x:top style="thin">
        <x:color rgb="FFBFBFBF"/>
      </x:top>
      <x:bottom style="thin">
        <x:color rgb="FFBFBFBF"/>
      </x:bottom>
    </x:border>
    <x:border>
      <x:right style="thin">
        <x:color rgb="FFBFBFBF"/>
      </x:right>
      <x:top style="thin">
        <x:color rgb="FFBFBFBF"/>
      </x:top>
      <x:bottom style="thin">
        <x:color rgb="FFBFBFBF"/>
      </x:bottom>
    </x:border>
    <x:border>
      <x:top style="thin">
        <x:color rgb="FF1F3864"/>
      </x:top>
      <x:bottom style="double">
        <x:color rgb="FF1F3864"/>
      </x:bottom>
    </x:border>
    <x:border>
      <x:bottom style="thin">
        <x:color rgb="FF000000"/>
      </x:bottom>
    </x:border>
  </x:borders>
  <x:cellStyleXfs count="2">
    <x:xf numFmtId="0" fontId="0" fillId="0" borderId="6" applyAlignment="1">
      <x:alignment vertical="bottom"/>
    </x:xf>
    <x:xf numFmtId="0" fontId="122" fillId="0" borderId="6"/>
  </x:cellStyleXfs>
  <x:cellXfs count="4553">
    <x:xf numFmtId="0" fontId="0" fillId="0" borderId="0" xfId="0" applyAlignment="1">
      <x:alignment vertical="bottom"/>
    </x:xf>
    <x:xf numFmtId="0" fontId="1" fillId="0" borderId="0" xfId="0" applyAlignment="1">
      <x:alignment horizontal="left" vertical="bottom" wrapText="1"/>
    </x:xf>
    <x:xf numFmtId="0" fontId="2" fillId="0" borderId="0" xfId="0" applyAlignment="1">
      <x:alignment horizontal="left" vertical="bottom"/>
    </x:xf>
    <x:xf numFmtId="0" fontId="1" fillId="2" borderId="0" xfId="0" applyAlignment="1">
      <x:alignment horizontal="left" vertical="bottom"/>
    </x:xf>
    <x:xf numFmtId="0" fontId="1" fillId="3" borderId="0" xfId="0" applyAlignment="1">
      <x:alignment horizontal="left" vertical="bottom"/>
    </x:xf>
    <x:xf numFmtId="0" fontId="4" fillId="3" borderId="0" xfId="0" applyAlignment="1">
      <x:alignment horizontal="left" vertical="bottom"/>
    </x:xf>
    <x:xf numFmtId="0" fontId="0" fillId="0" borderId="0" xfId="0" applyAlignment="1">
      <x:alignment vertical="bottom"/>
    </x:xf>
    <x:xf numFmtId="49" fontId="6" fillId="4" borderId="1" xfId="0" applyAlignment="1">
      <x:alignment horizontal="left" vertical="center"/>
    </x:xf>
    <x:xf numFmtId="14" fontId="6" fillId="4" borderId="2" xfId="0" applyAlignment="1">
      <x:alignment horizontal="left" vertical="center"/>
    </x:xf>
    <x:xf numFmtId="1" fontId="7" fillId="4" borderId="2" xfId="0" applyAlignment="1">
      <x:alignment horizontal="left" vertical="center"/>
    </x:xf>
    <x:xf numFmtId="1" fontId="7" fillId="4" borderId="2" xfId="0" applyAlignment="1">
      <x:alignment vertical="center"/>
    </x:xf>
    <x:xf numFmtId="1" fontId="0" fillId="4" borderId="2" xfId="0" applyAlignment="1">
      <x:alignment vertical="bottom"/>
    </x:xf>
    <x:xf numFmtId="0" fontId="7" fillId="4" borderId="2" xfId="0" applyAlignment="1">
      <x:alignment horizontal="right" vertical="center"/>
    </x:xf>
    <x:xf numFmtId="1" fontId="0" fillId="4" borderId="3" xfId="0" applyAlignment="1">
      <x:alignment vertical="bottom"/>
    </x:xf>
    <x:xf numFmtId="1" fontId="1" fillId="4" borderId="4" xfId="0" applyAlignment="1">
      <x:alignment horizontal="left" vertical="center"/>
    </x:xf>
    <x:xf numFmtId="14" fontId="1" fillId="4" borderId="5" xfId="0" applyAlignment="1">
      <x:alignment horizontal="left" vertical="center"/>
    </x:xf>
    <x:xf numFmtId="1" fontId="7" fillId="4" borderId="5" xfId="0" applyAlignment="1">
      <x:alignment horizontal="left" vertical="center"/>
    </x:xf>
    <x:xf numFmtId="1" fontId="7" fillId="4" borderId="5" xfId="0" applyAlignment="1">
      <x:alignment vertical="center"/>
    </x:xf>
    <x:xf numFmtId="1" fontId="7" fillId="4" borderId="6" xfId="0" applyAlignment="1">
      <x:alignment horizontal="left" vertical="center"/>
    </x:xf>
    <x:xf numFmtId="164" fontId="8" fillId="4" borderId="7" xfId="0" applyAlignment="1">
      <x:alignment horizontal="right" vertical="center"/>
    </x:xf>
    <x:xf numFmtId="49" fontId="7" fillId="5" borderId="8" xfId="0" applyAlignment="1">
      <x:alignment vertical="bottom"/>
    </x:xf>
    <x:xf numFmtId="49" fontId="7" fillId="5" borderId="9" xfId="0" applyAlignment="1">
      <x:alignment horizontal="left" vertical="bottom"/>
    </x:xf>
    <x:xf numFmtId="49" fontId="7" fillId="5" borderId="9" xfId="0" applyAlignment="1">
      <x:alignment vertical="bottom"/>
    </x:xf>
    <x:xf numFmtId="1" fontId="7" fillId="5" borderId="9" xfId="0" applyAlignment="1">
      <x:alignment vertical="bottom"/>
    </x:xf>
    <x:xf numFmtId="1" fontId="7" fillId="5" borderId="10" xfId="0" applyAlignment="1">
      <x:alignment vertical="bottom"/>
    </x:xf>
    <x:xf numFmtId="1" fontId="0" fillId="4" borderId="11" xfId="0" applyAlignment="1">
      <x:alignment vertical="bottom"/>
    </x:xf>
    <x:xf numFmtId="1" fontId="0" fillId="4" borderId="6" xfId="0" applyAlignment="1">
      <x:alignment vertical="bottom"/>
    </x:xf>
    <x:xf numFmtId="1" fontId="0" fillId="4" borderId="7" xfId="0" applyAlignment="1">
      <x:alignment vertical="bottom"/>
    </x:xf>
    <x:xf numFmtId="49" fontId="7" fillId="4" borderId="12" xfId="0" applyAlignment="1">
      <x:alignment vertical="top" wrapText="1"/>
    </x:xf>
    <x:xf numFmtId="14" fontId="7" fillId="4" borderId="13" xfId="0" applyAlignment="1">
      <x:alignment horizontal="left" vertical="top" wrapText="1"/>
    </x:xf>
    <x:xf numFmtId="49" fontId="7" fillId="4" borderId="13" xfId="0" applyAlignment="1">
      <x:alignment horizontal="left" vertical="top" wrapText="1"/>
    </x:xf>
    <x:xf numFmtId="1" fontId="7" fillId="4" borderId="13" xfId="0" applyAlignment="1">
      <x:alignment horizontal="left" vertical="top" wrapText="1"/>
    </x:xf>
    <x:xf numFmtId="49" fontId="7" fillId="4" borderId="14" xfId="0" applyAlignment="1">
      <x:alignment vertical="top" wrapText="1"/>
    </x:xf>
    <x:xf numFmtId="14" fontId="7" fillId="4" borderId="15" xfId="0" applyAlignment="1">
      <x:alignment horizontal="left" vertical="top" wrapText="1"/>
    </x:xf>
    <x:xf numFmtId="49" fontId="7" fillId="4" borderId="15" xfId="0" applyAlignment="1">
      <x:alignment horizontal="left" vertical="top" wrapText="1"/>
    </x:xf>
    <x:xf numFmtId="1" fontId="7" fillId="4" borderId="15" xfId="0" applyAlignment="1">
      <x:alignment horizontal="left" vertical="top" wrapText="1"/>
    </x:xf>
    <x:xf numFmtId="0" fontId="0" fillId="4" borderId="16" xfId="0" applyAlignment="1">
      <x:alignment vertical="bottom"/>
    </x:xf>
    <x:xf numFmtId="0" fontId="0" fillId="4" borderId="17" xfId="0" applyAlignment="1">
      <x:alignment vertical="bottom"/>
    </x:xf>
    <x:xf numFmtId="0" fontId="0" fillId="4" borderId="6" xfId="0" applyAlignment="1">
      <x:alignment vertical="bottom"/>
    </x:xf>
    <x:xf numFmtId="0" fontId="0" fillId="4" borderId="7" xfId="0" applyAlignment="1">
      <x:alignment vertical="bottom"/>
    </x:xf>
    <x:xf numFmtId="0" fontId="0" fillId="4" borderId="18" xfId="0" applyAlignment="1">
      <x:alignment vertical="bottom"/>
    </x:xf>
    <x:xf numFmtId="0" fontId="0" fillId="4" borderId="19" xfId="0" applyAlignment="1">
      <x:alignment vertical="bottom"/>
    </x:xf>
    <x:xf numFmtId="0" fontId="0" fillId="4" borderId="20" xfId="0" applyAlignment="1">
      <x:alignment vertical="bottom"/>
    </x:xf>
    <x:xf numFmtId="0" fontId="0" fillId="4" borderId="21" xfId="0" applyAlignment="1">
      <x:alignment vertical="bottom"/>
    </x:xf>
    <x:xf numFmtId="0" fontId="0" fillId="0" borderId="0" xfId="0" applyAlignment="1">
      <x:alignment vertical="bottom"/>
    </x:xf>
    <x:xf numFmtId="49" fontId="10" fillId="4" borderId="22" xfId="0" applyAlignment="1">
      <x:alignment horizontal="left" vertical="center"/>
    </x:xf>
    <x:xf numFmtId="1" fontId="10" fillId="4" borderId="22" xfId="0" applyAlignment="1">
      <x:alignment horizontal="left" vertical="center"/>
    </x:xf>
    <x:xf numFmtId="49" fontId="11" fillId="4" borderId="22" xfId="0" applyAlignment="1">
      <x:alignment vertical="bottom"/>
    </x:xf>
    <x:xf numFmtId="1" fontId="11" fillId="4" borderId="22" xfId="0" applyAlignment="1">
      <x:alignment vertical="bottom"/>
    </x:xf>
    <x:xf numFmtId="1" fontId="0" fillId="4" borderId="23" xfId="0" applyAlignment="1">
      <x:alignment vertical="bottom"/>
    </x:xf>
    <x:xf numFmtId="1" fontId="0" fillId="4" borderId="22" xfId="0" applyAlignment="1">
      <x:alignment vertical="bottom"/>
    </x:xf>
    <x:xf numFmtId="49" fontId="12" fillId="6" borderId="18" xfId="0" applyAlignment="1">
      <x:alignment horizontal="left" vertical="center"/>
    </x:xf>
    <x:xf numFmtId="49" fontId="12" fillId="6" borderId="6" xfId="0" applyAlignment="1">
      <x:alignment horizontal="right" vertical="bottom"/>
    </x:xf>
    <x:xf numFmtId="1" fontId="0" fillId="4" borderId="24" xfId="0" applyAlignment="1">
      <x:alignment vertical="bottom"/>
    </x:xf>
    <x:xf numFmtId="49" fontId="12" fillId="6" borderId="6" xfId="0" applyAlignment="1">
      <x:alignment horizontal="left" vertical="center"/>
    </x:xf>
    <x:xf numFmtId="1" fontId="12" fillId="6" borderId="6" xfId="0" applyAlignment="1">
      <x:alignment horizontal="left" vertical="center"/>
    </x:xf>
    <x:xf numFmtId="1" fontId="12" fillId="6" borderId="7" xfId="0" applyAlignment="1">
      <x:alignment horizontal="left" vertical="center"/>
    </x:xf>
    <x:xf numFmtId="49" fontId="7" fillId="4" borderId="25" xfId="0" applyAlignment="1">
      <x:alignment vertical="bottom"/>
    </x:xf>
    <x:xf numFmtId="165" fontId="13" fillId="4" borderId="25" xfId="0" applyAlignment="1">
      <x:alignment vertical="bottom"/>
    </x:xf>
    <x:xf numFmtId="166" fontId="0" fillId="4" borderId="25" xfId="0" applyAlignment="1">
      <x:alignment vertical="bottom"/>
    </x:xf>
    <x:xf numFmtId="165" fontId="0" fillId="4" borderId="25" xfId="0" applyAlignment="1">
      <x:alignment vertical="bottom"/>
    </x:xf>
    <x:xf numFmtId="167" fontId="7" fillId="4" borderId="25" xfId="0" applyAlignment="1">
      <x:alignment horizontal="right" vertical="bottom"/>
    </x:xf>
    <x:xf numFmtId="167" fontId="13" fillId="4" borderId="25" xfId="0" applyAlignment="1">
      <x:alignment horizontal="right" vertical="bottom"/>
    </x:xf>
    <x:xf numFmtId="168" fontId="13" fillId="4" borderId="25" xfId="0" applyAlignment="1">
      <x:alignment horizontal="right" vertical="bottom"/>
    </x:xf>
    <x:xf numFmtId="49" fontId="7" fillId="4" borderId="22" xfId="0" applyAlignment="1">
      <x:alignment vertical="bottom"/>
    </x:xf>
    <x:xf numFmtId="165" fontId="14" fillId="4" borderId="22" xfId="0" applyAlignment="1">
      <x:alignment vertical="bottom"/>
    </x:xf>
    <x:xf numFmtId="166" fontId="0" fillId="4" borderId="22" xfId="0" applyAlignment="1">
      <x:alignment vertical="bottom"/>
    </x:xf>
    <x:xf numFmtId="165" fontId="0" fillId="4" borderId="22" xfId="0" applyAlignment="1">
      <x:alignment vertical="bottom"/>
    </x:xf>
    <x:xf numFmtId="169" fontId="7" fillId="4" borderId="22" xfId="0" applyAlignment="1">
      <x:alignment horizontal="right" vertical="bottom"/>
    </x:xf>
    <x:xf numFmtId="169" fontId="13" fillId="4" borderId="22" xfId="0" applyAlignment="1">
      <x:alignment horizontal="right" vertical="bottom"/>
    </x:xf>
    <x:xf numFmtId="170" fontId="13" fillId="4" borderId="22" xfId="0" applyAlignment="1">
      <x:alignment horizontal="right" vertical="bottom"/>
    </x:xf>
    <x:xf numFmtId="165" fontId="0" fillId="4" borderId="22" xfId="0" applyAlignment="1">
      <x:alignment horizontal="right" vertical="bottom"/>
    </x:xf>
    <x:xf numFmtId="49" fontId="7" fillId="4" borderId="23" xfId="0" applyAlignment="1">
      <x:alignment vertical="bottom"/>
    </x:xf>
    <x:xf numFmtId="165" fontId="13" fillId="4" borderId="23" xfId="0" applyAlignment="1">
      <x:alignment vertical="bottom"/>
    </x:xf>
    <x:xf numFmtId="166" fontId="0" fillId="4" borderId="23" xfId="0" applyAlignment="1">
      <x:alignment vertical="bottom"/>
    </x:xf>
    <x:xf numFmtId="165" fontId="0" fillId="4" borderId="23" xfId="0" applyAlignment="1">
      <x:alignment vertical="bottom"/>
    </x:xf>
    <x:xf numFmtId="171" fontId="7" fillId="4" borderId="22" xfId="0" applyAlignment="1">
      <x:alignment horizontal="right" vertical="bottom"/>
    </x:xf>
    <x:xf numFmtId="171" fontId="13" fillId="4" borderId="22" xfId="0" applyAlignment="1">
      <x:alignment horizontal="right" vertical="bottom"/>
    </x:xf>
    <x:xf numFmtId="49" fontId="7" fillId="7" borderId="18" xfId="0" applyAlignment="1">
      <x:alignment vertical="bottom"/>
    </x:xf>
    <x:xf numFmtId="165" fontId="7" fillId="7" borderId="6" xfId="0" applyAlignment="1">
      <x:alignment vertical="bottom"/>
    </x:xf>
    <x:xf numFmtId="166" fontId="7" fillId="7" borderId="6" xfId="0" applyAlignment="1">
      <x:alignment vertical="bottom"/>
    </x:xf>
    <x:xf numFmtId="1" fontId="0" fillId="4" borderId="26" xfId="0" applyAlignment="1">
      <x:alignment vertical="bottom"/>
    </x:xf>
    <x:xf numFmtId="1" fontId="0" fillId="4" borderId="25" xfId="0" applyAlignment="1">
      <x:alignment vertical="bottom"/>
    </x:xf>
    <x:xf numFmtId="172" fontId="7" fillId="4" borderId="22" xfId="0" applyAlignment="1">
      <x:alignment horizontal="right" vertical="bottom"/>
    </x:xf>
    <x:xf numFmtId="172" fontId="13" fillId="4" borderId="22" xfId="0" applyAlignment="1">
      <x:alignment horizontal="right" vertical="bottom"/>
    </x:xf>
    <x:xf numFmtId="1" fontId="0" fillId="4" borderId="27" xfId="0" applyAlignment="1">
      <x:alignment vertical="bottom"/>
    </x:xf>
    <x:xf numFmtId="10" fontId="13" fillId="4" borderId="25" xfId="0" applyAlignment="1">
      <x:alignment horizontal="right" vertical="bottom"/>
    </x:xf>
    <x:xf numFmtId="173" fontId="13" fillId="4" borderId="25" xfId="0" applyAlignment="1">
      <x:alignment horizontal="right" vertical="bottom"/>
    </x:xf>
    <x:xf numFmtId="49" fontId="7" fillId="4" borderId="22" xfId="0" applyAlignment="1">
      <x:alignment horizontal="right" vertical="bottom"/>
    </x:xf>
    <x:xf numFmtId="174" fontId="7" fillId="4" borderId="25" xfId="0" applyAlignment="1">
      <x:alignment horizontal="right" vertical="bottom"/>
    </x:xf>
    <x:xf numFmtId="175" fontId="0" fillId="4" borderId="25" xfId="0" applyAlignment="1">
      <x:alignment horizontal="right" vertical="bottom"/>
    </x:xf>
    <x:xf numFmtId="176" fontId="0" fillId="4" borderId="22" xfId="0" applyAlignment="1">
      <x:alignment horizontal="right" vertical="bottom"/>
    </x:xf>
    <x:xf numFmtId="165" fontId="13" fillId="4" borderId="22" xfId="0" applyAlignment="1">
      <x:alignment vertical="bottom"/>
    </x:xf>
    <x:xf numFmtId="10" fontId="7" fillId="4" borderId="22" xfId="0" applyAlignment="1">
      <x:alignment horizontal="right" vertical="bottom"/>
    </x:xf>
    <x:xf numFmtId="10" fontId="13" fillId="4" borderId="22" xfId="0" applyAlignment="1">
      <x:alignment horizontal="right" vertical="bottom"/>
    </x:xf>
    <x:xf numFmtId="176" fontId="7" fillId="4" borderId="22" xfId="0" applyAlignment="1">
      <x:alignment horizontal="right" vertical="bottom"/>
    </x:xf>
    <x:xf numFmtId="176" fontId="13" fillId="4" borderId="22" xfId="0" applyAlignment="1">
      <x:alignment horizontal="right" vertical="bottom"/>
    </x:xf>
    <x:xf numFmtId="49" fontId="7" fillId="4" borderId="25" xfId="0" applyAlignment="1">
      <x:alignment horizontal="center" vertical="bottom"/>
    </x:xf>
    <x:xf numFmtId="170" fontId="7" fillId="4" borderId="22" xfId="0" applyAlignment="1">
      <x:alignment horizontal="center" vertical="bottom"/>
    </x:xf>
    <x:xf numFmtId="1" fontId="0" fillId="4" borderId="28" xfId="0" applyAlignment="1">
      <x:alignment vertical="bottom"/>
    </x:xf>
    <x:xf numFmtId="1" fontId="7" fillId="4" borderId="25" xfId="0" applyAlignment="1">
      <x:alignment vertical="bottom"/>
    </x:xf>
    <x:xf numFmtId="1" fontId="7" fillId="4" borderId="22" xfId="0" applyAlignment="1">
      <x:alignment horizontal="center" vertical="bottom"/>
    </x:xf>
    <x:xf numFmtId="170" fontId="0" fillId="4" borderId="22" xfId="0" applyAlignment="1">
      <x:alignment vertical="bottom"/>
    </x:xf>
    <x:xf numFmtId="49" fontId="3" fillId="4" borderId="23" xfId="0" applyAlignment="1">
      <x:alignment vertical="bottom"/>
    </x:xf>
    <x:xf numFmtId="9" fontId="0" fillId="4" borderId="23" xfId="0" applyAlignment="1">
      <x:alignment vertical="bottom"/>
    </x:xf>
    <x:xf numFmtId="165" fontId="7" fillId="7" borderId="7" xfId="0" applyAlignment="1">
      <x:alignment vertical="bottom"/>
    </x:xf>
    <x:xf numFmtId="49" fontId="7" fillId="4" borderId="28" xfId="0" applyAlignment="1">
      <x:alignment vertical="bottom"/>
    </x:xf>
    <x:xf numFmtId="165" fontId="0" fillId="4" borderId="28" xfId="0" applyAlignment="1">
      <x:alignment vertical="bottom"/>
    </x:xf>
    <x:xf numFmtId="2" fontId="0" fillId="4" borderId="25" xfId="0" applyAlignment="1">
      <x:alignment vertical="bottom"/>
    </x:xf>
    <x:xf numFmtId="49" fontId="15" fillId="4" borderId="25" xfId="0" applyAlignment="1">
      <x:alignment vertical="bottom"/>
    </x:xf>
    <x:xf numFmtId="165" fontId="7" fillId="4" borderId="22" xfId="0" applyAlignment="1">
      <x:alignment vertical="bottom"/>
    </x:xf>
    <x:xf numFmtId="49" fontId="15" fillId="4" borderId="22" xfId="0" applyAlignment="1">
      <x:alignment vertical="bottom"/>
    </x:xf>
    <x:xf numFmtId="177" fontId="7" fillId="4" borderId="22" xfId="0" applyAlignment="1">
      <x:alignment vertical="bottom"/>
    </x:xf>
    <x:xf numFmtId="49" fontId="0" fillId="4" borderId="22" xfId="0" applyAlignment="1">
      <x:alignment vertical="bottom"/>
    </x:xf>
    <x:xf numFmtId="170" fontId="1" fillId="4" borderId="22" xfId="0" applyAlignment="1">
      <x:alignment vertical="bottom"/>
    </x:xf>
    <x:xf numFmtId="10" fontId="0" fillId="4" borderId="25" xfId="0" applyAlignment="1">
      <x:alignment vertical="bottom"/>
    </x:xf>
    <x:xf numFmtId="49" fontId="1" fillId="7" borderId="18" xfId="0" applyAlignment="1">
      <x:alignment vertical="bottom"/>
    </x:xf>
    <x:xf numFmtId="170" fontId="1" fillId="7" borderId="6" xfId="0" applyAlignment="1">
      <x:alignment vertical="bottom"/>
    </x:xf>
    <x:xf numFmtId="1" fontId="15" fillId="4" borderId="22" xfId="0" applyAlignment="1">
      <x:alignment vertical="bottom"/>
    </x:xf>
    <x:xf numFmtId="0" fontId="0" fillId="0" borderId="0" xfId="0" applyAlignment="1">
      <x:alignment vertical="bottom"/>
    </x:xf>
    <x:xf numFmtId="49" fontId="16" fillId="8" borderId="1" xfId="0" applyAlignment="1">
      <x:alignment horizontal="center" vertical="center"/>
    </x:xf>
    <x:xf numFmtId="1" fontId="16" fillId="8" borderId="2" xfId="0" applyAlignment="1">
      <x:alignment horizontal="center" vertical="center"/>
    </x:xf>
    <x:xf numFmtId="1" fontId="16" fillId="8" borderId="3" xfId="0" applyAlignment="1">
      <x:alignment horizontal="center" vertical="center"/>
    </x:xf>
    <x:xf numFmtId="49" fontId="17" fillId="4" borderId="25" xfId="0" applyAlignment="1">
      <x:alignment horizontal="center" vertical="center"/>
    </x:xf>
    <x:xf numFmtId="1" fontId="17" fillId="4" borderId="25" xfId="0" applyAlignment="1">
      <x:alignment horizontal="center" vertical="center"/>
    </x:xf>
    <x:xf numFmtId="0" fontId="0" fillId="4" borderId="23" xfId="0" applyAlignment="1">
      <x:alignment vertical="bottom"/>
    </x:xf>
    <x:xf numFmtId="49" fontId="18" fillId="9" borderId="18" xfId="0" applyAlignment="1">
      <x:alignment vertical="bottom"/>
    </x:xf>
    <x:xf numFmtId="1" fontId="18" fillId="9" borderId="6" xfId="0" applyAlignment="1">
      <x:alignment vertical="bottom"/>
    </x:xf>
    <x:xf numFmtId="1" fontId="18" fillId="9" borderId="7" xfId="0" applyAlignment="1">
      <x:alignment vertical="bottom"/>
    </x:xf>
    <x:xf numFmtId="0" fontId="0" fillId="4" borderId="25" xfId="0" applyAlignment="1">
      <x:alignment vertical="bottom"/>
    </x:xf>
    <x:xf numFmtId="0" fontId="0" fillId="4" borderId="29" xfId="0" applyAlignment="1">
      <x:alignment vertical="bottom"/>
    </x:xf>
    <x:xf numFmtId="49" fontId="7" fillId="4" borderId="29" xfId="0" applyAlignment="1">
      <x:alignment vertical="bottom"/>
    </x:xf>
    <x:xf numFmtId="0" fontId="0" fillId="4" borderId="30" xfId="0" applyAlignment="1">
      <x:alignment vertical="bottom"/>
    </x:xf>
    <x:xf numFmtId="49" fontId="12" fillId="8" borderId="31" xfId="0" applyAlignment="1">
      <x:alignment horizontal="center" vertical="center"/>
    </x:xf>
    <x:xf numFmtId="49" fontId="0" fillId="4" borderId="31" xfId="0" applyAlignment="1">
      <x:alignment vertical="bottom"/>
    </x:xf>
    <x:xf numFmtId="165" fontId="0" fillId="4" borderId="31" xfId="0" applyAlignment="1">
      <x:alignment horizontal="right" vertical="center"/>
    </x:xf>
    <x:xf numFmtId="0" fontId="0" fillId="4" borderId="31" xfId="0" applyAlignment="1">
      <x:alignment horizontal="center" vertical="center"/>
    </x:xf>
    <x:xf numFmtId="0" fontId="0" fillId="4" borderId="32" xfId="0" applyAlignment="1">
      <x:alignment vertical="bottom"/>
    </x:xf>
    <x:xf numFmtId="1" fontId="18" fillId="9" borderId="33" xfId="0" applyAlignment="1">
      <x:alignment vertical="bottom"/>
    </x:xf>
    <x:xf numFmtId="1" fontId="18" fillId="9" borderId="34" xfId="0" applyAlignment="1">
      <x:alignment vertical="bottom"/>
    </x:xf>
    <x:xf numFmtId="0" fontId="0" fillId="4" borderId="35" xfId="0" applyAlignment="1">
      <x:alignment vertical="bottom"/>
    </x:xf>
    <x:xf numFmtId="1" fontId="12" fillId="8" borderId="31" xfId="0" applyAlignment="1">
      <x:alignment horizontal="center" vertical="center"/>
    </x:xf>
    <x:xf numFmtId="178" fontId="0" fillId="4" borderId="31" xfId="0" applyAlignment="1">
      <x:alignment horizontal="right" vertical="center"/>
    </x:xf>
    <x:xf numFmtId="1" fontId="0" fillId="4" borderId="31" xfId="0" applyAlignment="1">
      <x:alignment vertical="bottom"/>
    </x:xf>
    <x:xf numFmtId="170" fontId="0" fillId="4" borderId="31" xfId="0" applyAlignment="1">
      <x:alignment horizontal="right" vertical="center"/>
    </x:xf>
    <x:xf numFmtId="10" fontId="0" fillId="4" borderId="31" xfId="0" applyAlignment="1">
      <x:alignment horizontal="right" vertical="center"/>
    </x:xf>
    <x:xf numFmtId="49" fontId="3" fillId="4" borderId="25" xfId="0" applyAlignment="1">
      <x:alignment vertical="bottom"/>
    </x:xf>
    <x:xf numFmtId="1" fontId="3" fillId="4" borderId="25" xfId="0" applyAlignment="1">
      <x:alignment vertical="bottom"/>
    </x:xf>
    <x:xf numFmtId="0" fontId="0" fillId="4" borderId="22" xfId="0" applyAlignment="1">
      <x:alignment vertical="bottom"/>
    </x:xf>
    <x:xf numFmtId="49" fontId="3" fillId="4" borderId="22" xfId="0" applyAlignment="1">
      <x:alignment vertical="bottom"/>
    </x:xf>
    <x:xf numFmtId="1" fontId="3" fillId="4" borderId="22" xfId="0" applyAlignment="1">
      <x:alignment vertical="bottom"/>
    </x:xf>
    <x:xf numFmtId="0" fontId="0" fillId="0" borderId="0" xfId="0" applyAlignment="1">
      <x:alignment vertical="bottom"/>
    </x:xf>
    <x:xf numFmtId="49" fontId="6" fillId="4" borderId="36" xfId="0" applyAlignment="1">
      <x:alignment horizontal="left" vertical="top"/>
    </x:xf>
    <x:xf numFmtId="1" fontId="0" fillId="4" borderId="37" xfId="0" applyAlignment="1">
      <x:alignment vertical="bottom"/>
    </x:xf>
    <x:xf numFmtId="179" fontId="0" fillId="4" borderId="37" xfId="0" applyAlignment="1">
      <x:alignment vertical="bottom"/>
    </x:xf>
    <x:xf numFmtId="180" fontId="20" fillId="10" borderId="37" xfId="0" applyAlignment="1">
      <x:alignment horizontal="right" vertical="center"/>
    </x:xf>
    <x:xf numFmtId="181" fontId="0" fillId="4" borderId="2" xfId="0" applyAlignment="1">
      <x:alignment vertical="bottom"/>
    </x:xf>
    <x:xf numFmtId="49" fontId="21" fillId="4" borderId="38" xfId="0" applyAlignment="1">
      <x:alignment horizontal="left" vertical="center"/>
    </x:xf>
    <x:xf numFmtId="1" fontId="0" fillId="4" borderId="39" xfId="0" applyAlignment="1">
      <x:alignment vertical="bottom"/>
    </x:xf>
    <x:xf numFmtId="179" fontId="0" fillId="4" borderId="39" xfId="0" applyAlignment="1">
      <x:alignment vertical="bottom"/>
    </x:xf>
    <x:xf numFmtId="49" fontId="0" fillId="4" borderId="6" xfId="0" applyAlignment="1">
      <x:alignment vertical="center"/>
    </x:xf>
    <x:xf numFmtId="49" fontId="0" fillId="4" borderId="18" xfId="0" applyAlignment="1">
      <x:alignment vertical="bottom"/>
    </x:xf>
    <x:xf numFmtId="1" fontId="0" fillId="4" borderId="4" xfId="0" applyAlignment="1">
      <x:alignment vertical="bottom"/>
    </x:xf>
    <x:xf numFmtId="1" fontId="0" fillId="4" borderId="5" xfId="0" applyAlignment="1">
      <x:alignment vertical="bottom"/>
    </x:xf>
    <x:xf numFmtId="49" fontId="12" fillId="9" borderId="40" xfId="0" applyAlignment="1">
      <x:alignment vertical="bottom"/>
    </x:xf>
    <x:xf numFmtId="1" fontId="12" fillId="9" borderId="39" xfId="0" applyAlignment="1">
      <x:alignment vertical="bottom"/>
    </x:xf>
    <x:xf numFmtId="1" fontId="12" fillId="9" borderId="41" xfId="0" applyAlignment="1">
      <x:alignment vertical="bottom"/>
    </x:xf>
    <x:xf numFmtId="1" fontId="0" fillId="4" borderId="42" xfId="0" applyAlignment="1">
      <x:alignment vertical="bottom"/>
    </x:xf>
    <x:xf numFmtId="1" fontId="0" fillId="9" borderId="39" xfId="0" applyAlignment="1">
      <x:alignment vertical="bottom"/>
    </x:xf>
    <x:xf numFmtId="1" fontId="0" fillId="9" borderId="41" xfId="0" applyAlignment="1">
      <x:alignment vertical="bottom"/>
    </x:xf>
    <x:xf numFmtId="49" fontId="0" fillId="4" borderId="43" xfId="0" applyAlignment="1">
      <x:alignment vertical="bottom"/>
    </x:xf>
    <x:xf numFmtId="1" fontId="0" fillId="4" borderId="44" xfId="0" applyAlignment="1">
      <x:alignment vertical="bottom"/>
    </x:xf>
    <x:xf numFmtId="49" fontId="20" fillId="4" borderId="44" xfId="0" applyAlignment="1">
      <x:alignment horizontal="left" vertical="center"/>
    </x:xf>
    <x:xf numFmtId="49" fontId="0" fillId="4" borderId="44" xfId="0" applyAlignment="1">
      <x:alignment vertical="center"/>
    </x:xf>
    <x:xf numFmtId="1" fontId="0" fillId="4" borderId="44" xfId="0" applyAlignment="1">
      <x:alignment vertical="center"/>
    </x:xf>
    <x:xf numFmtId="2" fontId="20" fillId="4" borderId="45" xfId="0" applyAlignment="1">
      <x:alignment horizontal="left" vertical="center"/>
    </x:xf>
    <x:xf numFmtId="1" fontId="20" fillId="4" borderId="11" xfId="0" applyAlignment="1">
      <x:alignment vertical="bottom"/>
    </x:xf>
    <x:xf numFmtId="1" fontId="0" fillId="4" borderId="46" xfId="0" applyAlignment="1">
      <x:alignment vertical="bottom"/>
    </x:xf>
    <x:xf numFmtId="49" fontId="0" fillId="4" borderId="47" xfId="0" applyAlignment="1">
      <x:alignment vertical="bottom"/>
    </x:xf>
    <x:xf numFmtId="1" fontId="0" fillId="4" borderId="15" xfId="0" applyAlignment="1">
      <x:alignment vertical="bottom"/>
    </x:xf>
    <x:xf numFmtId="49" fontId="20" fillId="4" borderId="15" xfId="0" applyAlignment="1">
      <x:alignment horizontal="left" vertical="center"/>
    </x:xf>
    <x:xf numFmtId="49" fontId="0" fillId="4" borderId="15" xfId="0" applyAlignment="1">
      <x:alignment vertical="center"/>
    </x:xf>
    <x:xf numFmtId="1" fontId="0" fillId="4" borderId="15" xfId="0" applyAlignment="1">
      <x:alignment vertical="center"/>
    </x:xf>
    <x:xf numFmtId="1" fontId="20" fillId="4" borderId="48" xfId="0" applyAlignment="1">
      <x:alignment horizontal="left" vertical="center"/>
    </x:xf>
    <x:xf numFmtId="1" fontId="20" fillId="4" borderId="15" xfId="0" applyAlignment="1">
      <x:alignment horizontal="left" vertical="bottom"/>
    </x:xf>
    <x:xf numFmtId="49" fontId="7" fillId="4" borderId="15" xfId="0" applyAlignment="1">
      <x:alignment horizontal="left" vertical="center"/>
    </x:xf>
    <x:xf numFmtId="1" fontId="7" fillId="4" borderId="15" xfId="0" applyAlignment="1">
      <x:alignment horizontal="left" vertical="center"/>
    </x:xf>
    <x:xf numFmtId="3" fontId="20" fillId="4" borderId="48" xfId="0" applyAlignment="1">
      <x:alignment horizontal="left" vertical="center"/>
    </x:xf>
    <x:xf numFmtId="1" fontId="0" fillId="4" borderId="49" xfId="0" applyAlignment="1">
      <x:alignment vertical="bottom"/>
    </x:xf>
    <x:xf numFmtId="1" fontId="0" fillId="4" borderId="17" xfId="0" applyAlignment="1">
      <x:alignment vertical="bottom"/>
    </x:xf>
    <x:xf numFmtId="1" fontId="22" fillId="4" borderId="17" xfId="0" applyAlignment="1">
      <x:alignment vertical="bottom"/>
    </x:xf>
    <x:xf numFmtId="1" fontId="20" fillId="4" borderId="50" xfId="0" applyAlignment="1">
      <x:alignment vertical="bottom"/>
    </x:xf>
    <x:xf numFmtId="1" fontId="0" fillId="4" borderId="51" xfId="0" applyAlignment="1">
      <x:alignment vertical="bottom"/>
    </x:xf>
    <x:xf numFmtId="1" fontId="22" fillId="4" borderId="6" xfId="0" applyAlignment="1">
      <x:alignment vertical="bottom"/>
    </x:xf>
    <x:xf numFmtId="1" fontId="0" fillId="4" borderId="50" xfId="0" applyAlignment="1">
      <x:alignment vertical="bottom"/>
    </x:xf>
    <x:xf numFmtId="1" fontId="22" fillId="4" borderId="5" xfId="0" applyAlignment="1">
      <x:alignment vertical="bottom"/>
    </x:xf>
    <x:xf numFmtId="49" fontId="0" fillId="4" borderId="52" xfId="0" applyAlignment="1">
      <x:alignment vertical="center"/>
    </x:xf>
    <x:xf numFmtId="1" fontId="0" fillId="4" borderId="52" xfId="0" applyAlignment="1">
      <x:alignment vertical="center"/>
    </x:xf>
    <x:xf numFmtId="1" fontId="0" fillId="4" borderId="52" xfId="0" applyAlignment="1">
      <x:alignment vertical="bottom"/>
    </x:xf>
    <x:xf numFmtId="3" fontId="20" fillId="4" borderId="53" xfId="0" applyAlignment="1">
      <x:alignment horizontal="left" vertical="center"/>
    </x:xf>
    <x:xf numFmtId="1" fontId="0" fillId="4" borderId="54" xfId="0" applyAlignment="1">
      <x:alignment vertical="bottom"/>
    </x:xf>
    <x:xf numFmtId="1" fontId="0" fillId="4" borderId="9" xfId="0" applyAlignment="1">
      <x:alignment vertical="bottom"/>
    </x:xf>
    <x:xf numFmtId="49" fontId="0" fillId="5" borderId="11" xfId="0" applyAlignment="1">
      <x:alignment vertical="bottom"/>
    </x:xf>
    <x:xf numFmtId="1" fontId="0" fillId="5" borderId="6" xfId="0" applyAlignment="1">
      <x:alignment vertical="bottom"/>
    </x:xf>
    <x:xf numFmtId="49" fontId="7" fillId="5" borderId="6" xfId="0" applyAlignment="1">
      <x:alignment horizontal="center" vertical="bottom"/>
    </x:xf>
    <x:xf numFmtId="1" fontId="0" fillId="5" borderId="46" xfId="0" applyAlignment="1">
      <x:alignment vertical="bottom"/>
    </x:xf>
    <x:xf numFmtId="49" fontId="23" fillId="4" borderId="6" xfId="0" applyAlignment="1">
      <x:alignment horizontal="left" vertical="bottom"/>
    </x:xf>
    <x:xf numFmtId="1" fontId="7" fillId="4" borderId="44" xfId="0" applyAlignment="1">
      <x:alignment horizontal="center" vertical="bottom"/>
    </x:xf>
    <x:xf numFmtId="174" fontId="20" fillId="4" borderId="44" xfId="0" applyAlignment="1">
      <x:alignment horizontal="center" vertical="bottom"/>
    </x:xf>
    <x:xf numFmtId="174" fontId="7" fillId="4" borderId="44" xfId="0" applyAlignment="1">
      <x:alignment horizontal="center" vertical="bottom"/>
    </x:xf>
    <x:xf numFmtId="182" fontId="23" fillId="4" borderId="6" xfId="0" applyAlignment="1">
      <x:alignment horizontal="left" vertical="bottom"/>
    </x:xf>
    <x:xf numFmtId="1" fontId="23" fillId="4" borderId="6" xfId="0" applyAlignment="1">
      <x:alignment horizontal="left" vertical="bottom"/>
    </x:xf>
    <x:xf numFmtId="181" fontId="23" fillId="4" borderId="6" xfId="0" applyAlignment="1">
      <x:alignment horizontal="left" vertical="bottom"/>
    </x:xf>
    <x:xf numFmtId="1" fontId="20" fillId="4" borderId="15" xfId="0" applyAlignment="1">
      <x:alignment horizontal="center" vertical="bottom"/>
    </x:xf>
    <x:xf numFmtId="174" fontId="7" fillId="4" borderId="15" xfId="0" applyAlignment="1">
      <x:alignment horizontal="center" vertical="bottom"/>
    </x:xf>
    <x:xf numFmtId="1" fontId="7" fillId="4" borderId="15" xfId="0" applyAlignment="1">
      <x:alignment horizontal="center" vertical="bottom"/>
    </x:xf>
    <x:xf numFmtId="49" fontId="0" fillId="4" borderId="55" xfId="0" applyAlignment="1">
      <x:alignment vertical="bottom"/>
    </x:xf>
    <x:xf numFmtId="182" fontId="20" fillId="10" borderId="52" xfId="0" applyAlignment="1">
      <x:alignment horizontal="center" vertical="bottom"/>
    </x:xf>
    <x:xf numFmtId="174" fontId="7" fillId="4" borderId="52" xfId="0" applyAlignment="1">
      <x:alignment horizontal="center" vertical="bottom"/>
    </x:xf>
    <x:xf numFmtId="1" fontId="7" fillId="4" borderId="52" xfId="0" applyAlignment="1">
      <x:alignment horizontal="center" vertical="bottom"/>
    </x:xf>
    <x:xf numFmtId="1" fontId="22" fillId="4" borderId="9" xfId="0" applyAlignment="1">
      <x:alignment horizontal="center" vertical="bottom"/>
    </x:xf>
    <x:xf numFmtId="174" fontId="7" fillId="4" borderId="9" xfId="0" applyAlignment="1">
      <x:alignment horizontal="center" vertical="bottom"/>
    </x:xf>
    <x:xf numFmtId="1" fontId="7" fillId="4" borderId="9" xfId="0" applyAlignment="1">
      <x:alignment horizontal="center" vertical="bottom"/>
    </x:xf>
    <x:xf numFmtId="1" fontId="12" fillId="9" borderId="39" xfId="0" applyAlignment="1">
      <x:alignment vertical="center"/>
    </x:xf>
    <x:xf numFmtId="183" fontId="12" fillId="9" borderId="39" xfId="0" applyAlignment="1">
      <x:alignment horizontal="center" vertical="center"/>
    </x:xf>
    <x:xf numFmtId="183" fontId="12" fillId="9" borderId="41" xfId="0" applyAlignment="1">
      <x:alignment horizontal="center" vertical="center"/>
    </x:xf>
    <x:xf numFmtId="1" fontId="23" fillId="4" borderId="6" xfId="0" applyAlignment="1">
      <x:alignment vertical="bottom"/>
    </x:xf>
    <x:xf numFmtId="1" fontId="23" fillId="4" borderId="7" xfId="0" applyAlignment="1">
      <x:alignment vertical="bottom"/>
    </x:xf>
    <x:xf numFmtId="1" fontId="12" fillId="9" borderId="11" xfId="0" applyAlignment="1">
      <x:alignment vertical="bottom"/>
    </x:xf>
    <x:xf numFmtId="1" fontId="12" fillId="9" borderId="6" xfId="0" applyAlignment="1">
      <x:alignment vertical="bottom"/>
    </x:xf>
    <x:xf numFmtId="1" fontId="12" fillId="9" borderId="6" xfId="0" applyAlignment="1">
      <x:alignment vertical="center"/>
    </x:xf>
    <x:xf numFmtId="49" fontId="12" fillId="9" borderId="6" xfId="0" applyAlignment="1">
      <x:alignment horizontal="center" vertical="center"/>
    </x:xf>
    <x:xf numFmtId="183" fontId="12" fillId="9" borderId="6" xfId="0" applyAlignment="1">
      <x:alignment horizontal="center" vertical="center"/>
    </x:xf>
    <x:xf numFmtId="183" fontId="12" fillId="9" borderId="46" xfId="0" applyAlignment="1">
      <x:alignment horizontal="center" vertical="center"/>
    </x:xf>
    <x:xf numFmtId="1" fontId="0" fillId="5" borderId="11" xfId="0" applyAlignment="1">
      <x:alignment vertical="bottom"/>
    </x:xf>
    <x:xf numFmtId="1" fontId="7" fillId="5" borderId="6" xfId="0" applyAlignment="1">
      <x:alignment horizontal="right" vertical="bottom"/>
    </x:xf>
    <x:xf numFmtId="1" fontId="7" fillId="5" borderId="46" xfId="0" applyAlignment="1">
      <x:alignment horizontal="center" vertical="bottom"/>
    </x:xf>
    <x:xf numFmtId="1" fontId="7" fillId="5" borderId="11" xfId="0" applyAlignment="1">
      <x:alignment horizontal="center" vertical="bottom"/>
    </x:xf>
    <x:xf numFmtId="1" fontId="7" fillId="5" borderId="6" xfId="0" applyAlignment="1">
      <x:alignment horizontal="center" vertical="bottom"/>
    </x:xf>
    <x:xf numFmtId="1" fontId="0" fillId="5" borderId="50" xfId="0" applyAlignment="1">
      <x:alignment vertical="bottom"/>
    </x:xf>
    <x:xf numFmtId="1" fontId="7" fillId="5" borderId="5" xfId="0" applyAlignment="1">
      <x:alignment horizontal="right" vertical="bottom"/>
    </x:xf>
    <x:xf numFmtId="1" fontId="0" fillId="5" borderId="5" xfId="0" applyAlignment="1">
      <x:alignment vertical="bottom"/>
    </x:xf>
    <x:xf numFmtId="1" fontId="7" fillId="5" borderId="51" xfId="0" applyAlignment="1">
      <x:alignment horizontal="center" vertical="bottom"/>
    </x:xf>
    <x:xf numFmtId="1" fontId="7" fillId="5" borderId="50" xfId="0" applyAlignment="1">
      <x:alignment horizontal="center" vertical="bottom"/>
    </x:xf>
    <x:xf numFmtId="1" fontId="7" fillId="5" borderId="5" xfId="0" applyAlignment="1">
      <x:alignment horizontal="center" vertical="bottom"/>
    </x:xf>
    <x:xf numFmtId="49" fontId="0" fillId="5" borderId="40" xfId="0" applyAlignment="1">
      <x:alignment vertical="bottom"/>
    </x:xf>
    <x:xf numFmtId="1" fontId="0" fillId="5" borderId="39" xfId="0" applyAlignment="1">
      <x:alignment vertical="bottom"/>
    </x:xf>
    <x:xf numFmtId="49" fontId="0" fillId="5" borderId="39" xfId="0" applyAlignment="1">
      <x:alignment vertical="bottom"/>
    </x:xf>
    <x:xf numFmtId="1" fontId="7" fillId="5" borderId="39" xfId="0" applyAlignment="1">
      <x:alignment horizontal="left" vertical="center"/>
    </x:xf>
    <x:xf numFmtId="49" fontId="7" fillId="5" borderId="41" xfId="0" applyAlignment="1">
      <x:alignment horizontal="center" vertical="bottom"/>
    </x:xf>
    <x:xf numFmtId="49" fontId="7" fillId="5" borderId="40" xfId="0" applyAlignment="1">
      <x:alignment horizontal="left" vertical="center"/>
    </x:xf>
    <x:xf numFmtId="1" fontId="0" fillId="5" borderId="39" xfId="0" applyAlignment="1">
      <x:alignment vertical="center"/>
    </x:xf>
    <x:xf numFmtId="1" fontId="0" fillId="5" borderId="41" xfId="0" applyAlignment="1">
      <x:alignment vertical="center"/>
    </x:xf>
    <x:xf numFmtId="1" fontId="23" fillId="4" borderId="6" xfId="0" applyAlignment="1">
      <x:alignment vertical="center"/>
    </x:xf>
    <x:xf numFmtId="49" fontId="0" fillId="4" borderId="11" xfId="0" applyAlignment="1">
      <x:alignment vertical="bottom"/>
    </x:xf>
    <x:xf numFmtId="1" fontId="7" fillId="4" borderId="6" xfId="0" applyAlignment="1">
      <x:alignment horizontal="right" vertical="bottom"/>
    </x:xf>
    <x:xf numFmtId="49" fontId="20" fillId="4" borderId="6" xfId="0" applyAlignment="1">
      <x:alignment vertical="bottom"/>
    </x:xf>
    <x:xf numFmtId="170" fontId="22" fillId="4" borderId="6" xfId="0" applyAlignment="1">
      <x:alignment horizontal="left" vertical="bottom"/>
    </x:xf>
    <x:xf numFmtId="9" fontId="20" fillId="4" borderId="46" xfId="0" applyAlignment="1">
      <x:alignment horizontal="right" vertical="bottom"/>
    </x:xf>
    <x:xf numFmtId="170" fontId="20" fillId="4" borderId="11" xfId="0" applyAlignment="1">
      <x:alignment horizontal="center" vertical="bottom"/>
    </x:xf>
    <x:xf numFmtId="170" fontId="20" fillId="4" borderId="6" xfId="0" applyAlignment="1">
      <x:alignment horizontal="center" vertical="bottom"/>
    </x:xf>
    <x:xf numFmtId="170" fontId="20" fillId="4" borderId="46" xfId="0" applyAlignment="1">
      <x:alignment horizontal="center" vertical="bottom"/>
    </x:xf>
    <x:xf numFmtId="49" fontId="7" fillId="4" borderId="43" xfId="0" applyAlignment="1">
      <x:alignment horizontal="left" vertical="bottom"/>
    </x:xf>
    <x:xf numFmtId="1" fontId="7" fillId="4" borderId="44" xfId="0" applyAlignment="1">
      <x:alignment horizontal="right" vertical="bottom"/>
    </x:xf>
    <x:xf numFmtId="1" fontId="22" fillId="4" borderId="44" xfId="0" applyAlignment="1">
      <x:alignment vertical="bottom"/>
    </x:xf>
    <x:xf numFmtId="170" fontId="22" fillId="4" borderId="44" xfId="0" applyAlignment="1">
      <x:alignment horizontal="left" vertical="bottom"/>
    </x:xf>
    <x:xf numFmtId="9" fontId="22" fillId="4" borderId="45" xfId="0" applyAlignment="1">
      <x:alignment horizontal="right" vertical="bottom"/>
    </x:xf>
    <x:xf numFmtId="170" fontId="7" fillId="4" borderId="43" xfId="0" applyAlignment="1">
      <x:alignment horizontal="center" vertical="bottom"/>
    </x:xf>
    <x:xf numFmtId="170" fontId="7" fillId="4" borderId="44" xfId="0" applyAlignment="1">
      <x:alignment horizontal="center" vertical="bottom"/>
    </x:xf>
    <x:xf numFmtId="170" fontId="7" fillId="4" borderId="45" xfId="0" applyAlignment="1">
      <x:alignment horizontal="center" vertical="bottom"/>
    </x:xf>
    <x:xf numFmtId="49" fontId="0" fillId="4" borderId="49" xfId="0" applyAlignment="1">
      <x:alignment vertical="bottom"/>
    </x:xf>
    <x:xf numFmtId="1" fontId="7" fillId="4" borderId="17" xfId="0" applyAlignment="1">
      <x:alignment horizontal="right" vertical="bottom"/>
    </x:xf>
    <x:xf numFmtId="49" fontId="20" fillId="4" borderId="17" xfId="0" applyAlignment="1">
      <x:alignment vertical="bottom"/>
    </x:xf>
    <x:xf numFmtId="170" fontId="22" fillId="4" borderId="17" xfId="0" applyAlignment="1">
      <x:alignment horizontal="left" vertical="bottom"/>
    </x:xf>
    <x:xf numFmtId="178" fontId="20" fillId="4" borderId="56" xfId="0" applyAlignment="1">
      <x:alignment horizontal="right" vertical="bottom"/>
    </x:xf>
    <x:xf numFmtId="178" fontId="20" fillId="4" borderId="49" xfId="0" applyAlignment="1">
      <x:alignment horizontal="center" vertical="bottom"/>
    </x:xf>
    <x:xf numFmtId="178" fontId="20" fillId="4" borderId="17" xfId="0" applyAlignment="1">
      <x:alignment horizontal="center" vertical="bottom"/>
    </x:xf>
    <x:xf numFmtId="178" fontId="20" fillId="4" borderId="56" xfId="0" applyAlignment="1">
      <x:alignment horizontal="center" vertical="bottom"/>
    </x:xf>
    <x:xf numFmtId="10" fontId="0" fillId="4" borderId="11" xfId="0" applyAlignment="1">
      <x:alignment vertical="bottom"/>
    </x:xf>
    <x:xf numFmtId="178" fontId="7" fillId="4" borderId="56" xfId="0" applyAlignment="1">
      <x:alignment horizontal="right" vertical="bottom"/>
    </x:xf>
    <x:xf numFmtId="178" fontId="7" fillId="4" borderId="49" xfId="0" applyAlignment="1">
      <x:alignment horizontal="center" vertical="bottom"/>
    </x:xf>
    <x:xf numFmtId="178" fontId="7" fillId="4" borderId="17" xfId="0" applyAlignment="1">
      <x:alignment horizontal="center" vertical="bottom"/>
    </x:xf>
    <x:xf numFmtId="178" fontId="7" fillId="4" borderId="56" xfId="0" applyAlignment="1">
      <x:alignment horizontal="center" vertical="bottom"/>
    </x:xf>
    <x:xf numFmtId="49" fontId="7" fillId="4" borderId="11" xfId="0" applyAlignment="1">
      <x:alignment horizontal="left" vertical="bottom"/>
    </x:xf>
    <x:xf numFmtId="184" fontId="7" fillId="4" borderId="46" xfId="0" applyAlignment="1">
      <x:alignment horizontal="right" vertical="bottom"/>
    </x:xf>
    <x:xf numFmtId="170" fontId="7" fillId="4" borderId="11" xfId="0" applyAlignment="1">
      <x:alignment horizontal="center" vertical="bottom"/>
    </x:xf>
    <x:xf numFmtId="170" fontId="7" fillId="4" borderId="6" xfId="0" applyAlignment="1">
      <x:alignment horizontal="center" vertical="bottom"/>
    </x:xf>
    <x:xf numFmtId="170" fontId="7" fillId="4" borderId="46" xfId="0" applyAlignment="1">
      <x:alignment horizontal="center" vertical="bottom"/>
    </x:xf>
    <x:xf numFmtId="1" fontId="0" fillId="4" borderId="11" xfId="0" applyAlignment="1">
      <x:alignment vertical="center"/>
    </x:xf>
    <x:xf numFmtId="184" fontId="22" fillId="4" borderId="46" xfId="0" applyAlignment="1">
      <x:alignment horizontal="center" vertical="bottom"/>
    </x:xf>
    <x:xf numFmtId="9" fontId="22" fillId="4" borderId="11" xfId="0" applyAlignment="1">
      <x:alignment horizontal="center" vertical="bottom"/>
    </x:xf>
    <x:xf numFmtId="9" fontId="22" fillId="4" borderId="6" xfId="0" applyAlignment="1">
      <x:alignment horizontal="center" vertical="bottom"/>
    </x:xf>
    <x:xf numFmtId="9" fontId="22" fillId="4" borderId="6" xfId="0" applyAlignment="1">
      <x:alignment horizontal="center" vertical="center"/>
    </x:xf>
    <x:xf numFmtId="9" fontId="22" fillId="4" borderId="46" xfId="0" applyAlignment="1">
      <x:alignment horizontal="center" vertical="center"/>
    </x:xf>
    <x:xf numFmtId="0" fontId="24" fillId="5" borderId="6" xfId="0" applyAlignment="1">
      <x:alignment vertical="bottom"/>
    </x:xf>
    <x:xf numFmtId="49" fontId="0" fillId="5" borderId="6" xfId="0" applyAlignment="1">
      <x:alignment vertical="bottom"/>
    </x:xf>
    <x:xf numFmtId="49" fontId="7" fillId="5" borderId="46" xfId="0" applyAlignment="1">
      <x:alignment horizontal="center" vertical="bottom"/>
    </x:xf>
    <x:xf numFmtId="49" fontId="7" fillId="5" borderId="11" xfId="0" applyAlignment="1">
      <x:alignment horizontal="left" vertical="bottom"/>
    </x:xf>
    <x:xf numFmtId="1" fontId="0" fillId="5" borderId="6" xfId="0" applyAlignment="1">
      <x:alignment vertical="center"/>
    </x:xf>
    <x:xf numFmtId="1" fontId="0" fillId="5" borderId="46" xfId="0" applyAlignment="1">
      <x:alignment vertical="center"/>
    </x:xf>
    <x:xf numFmtId="49" fontId="20" fillId="4" borderId="43" xfId="0" applyAlignment="1">
      <x:alignment vertical="center"/>
    </x:xf>
    <x:xf numFmtId="1" fontId="20" fillId="4" borderId="44" xfId="0" applyAlignment="1">
      <x:alignment vertical="bottom"/>
    </x:xf>
    <x:xf numFmtId="49" fontId="20" fillId="4" borderId="44" xfId="0" applyAlignment="1">
      <x:alignment vertical="bottom"/>
    </x:xf>
    <x:xf numFmtId="1" fontId="24" fillId="4" borderId="44" xfId="0" applyAlignment="1">
      <x:alignment horizontal="left" vertical="bottom"/>
    </x:xf>
    <x:xf numFmtId="184" fontId="22" fillId="11" borderId="45" xfId="0" applyAlignment="1">
      <x:alignment horizontal="center" vertical="bottom"/>
    </x:xf>
    <x:xf numFmtId="9" fontId="22" fillId="11" borderId="43" xfId="0" applyAlignment="1">
      <x:alignment horizontal="center" vertical="bottom"/>
    </x:xf>
    <x:xf numFmtId="9" fontId="22" fillId="11" borderId="44" xfId="0" applyAlignment="1">
      <x:alignment horizontal="center" vertical="bottom"/>
    </x:xf>
    <x:xf numFmtId="9" fontId="22" fillId="11" borderId="44" xfId="0" applyAlignment="1">
      <x:alignment horizontal="center" vertical="center"/>
    </x:xf>
    <x:xf numFmtId="9" fontId="22" fillId="11" borderId="45" xfId="0" applyAlignment="1">
      <x:alignment horizontal="center" vertical="center"/>
    </x:xf>
    <x:xf numFmtId="184" fontId="23" fillId="4" borderId="6" xfId="0" applyAlignment="1">
      <x:alignment vertical="bottom"/>
    </x:xf>
    <x:xf numFmtId="49" fontId="23" fillId="4" borderId="6" xfId="0" applyAlignment="1">
      <x:alignment vertical="center"/>
    </x:xf>
    <x:xf numFmtId="49" fontId="20" fillId="4" borderId="47" xfId="0" applyAlignment="1">
      <x:alignment vertical="center"/>
    </x:xf>
    <x:xf numFmtId="1" fontId="20" fillId="4" borderId="15" xfId="0" applyAlignment="1">
      <x:alignment vertical="bottom"/>
    </x:xf>
    <x:xf numFmtId="49" fontId="20" fillId="4" borderId="15" xfId="0" applyAlignment="1">
      <x:alignment vertical="bottom"/>
    </x:xf>
    <x:xf numFmtId="1" fontId="24" fillId="4" borderId="15" xfId="0" applyAlignment="1">
      <x:alignment horizontal="left" vertical="bottom"/>
    </x:xf>
    <x:xf numFmtId="178" fontId="20" fillId="4" borderId="48" xfId="0" applyAlignment="1">
      <x:alignment horizontal="right" vertical="bottom"/>
    </x:xf>
    <x:xf numFmtId="170" fontId="20" fillId="4" borderId="47" xfId="0" applyAlignment="1">
      <x:alignment horizontal="center" vertical="bottom"/>
    </x:xf>
    <x:xf numFmtId="170" fontId="20" fillId="4" borderId="15" xfId="0" applyAlignment="1">
      <x:alignment horizontal="center" vertical="bottom"/>
    </x:xf>
    <x:xf numFmtId="170" fontId="20" fillId="4" borderId="15" xfId="0" applyAlignment="1">
      <x:alignment horizontal="center" vertical="center"/>
    </x:xf>
    <x:xf numFmtId="170" fontId="20" fillId="4" borderId="48" xfId="0" applyAlignment="1">
      <x:alignment horizontal="center" vertical="center"/>
    </x:xf>
    <x:xf numFmtId="176" fontId="20" fillId="4" borderId="48" xfId="0" applyAlignment="1">
      <x:alignment horizontal="right" vertical="bottom"/>
    </x:xf>
    <x:xf numFmtId="1" fontId="24" fillId="4" borderId="17" xfId="0" applyAlignment="1">
      <x:alignment horizontal="left" vertical="bottom"/>
    </x:xf>
    <x:xf numFmtId="1" fontId="0" fillId="4" borderId="56" xfId="0" applyAlignment="1">
      <x:alignment vertical="bottom"/>
    </x:xf>
    <x:xf numFmtId="1" fontId="0" fillId="4" borderId="17" xfId="0" applyAlignment="1">
      <x:alignment vertical="center"/>
    </x:xf>
    <x:xf numFmtId="1" fontId="0" fillId="4" borderId="56" xfId="0" applyAlignment="1">
      <x:alignment vertical="center"/>
    </x:xf>
    <x:xf numFmtId="1" fontId="24" fillId="5" borderId="6" xfId="0" applyAlignment="1">
      <x:alignment vertical="bottom"/>
    </x:xf>
    <x:xf numFmtId="1" fontId="24" fillId="5" borderId="6" xfId="0" applyAlignment="1">
      <x:alignment horizontal="left" vertical="bottom"/>
    </x:xf>
    <x:xf numFmtId="0" fontId="0" fillId="4" borderId="43" xfId="0" applyAlignment="1">
      <x:alignment vertical="bottom"/>
    </x:xf>
    <x:xf numFmtId="9" fontId="20" fillId="4" borderId="45" xfId="0" applyAlignment="1">
      <x:alignment horizontal="right" vertical="bottom"/>
    </x:xf>
    <x:xf numFmtId="9" fontId="20" fillId="4" borderId="43" xfId="0" applyAlignment="1">
      <x:alignment horizontal="center" vertical="bottom"/>
    </x:xf>
    <x:xf numFmtId="9" fontId="20" fillId="4" borderId="44" xfId="0" applyAlignment="1">
      <x:alignment horizontal="center" vertical="center"/>
    </x:xf>
    <x:xf numFmtId="9" fontId="20" fillId="4" borderId="45" xfId="0" applyAlignment="1">
      <x:alignment horizontal="center" vertical="center"/>
    </x:xf>
    <x:xf numFmtId="0" fontId="0" fillId="4" borderId="47" xfId="0" applyAlignment="1">
      <x:alignment vertical="bottom"/>
    </x:xf>
    <x:xf numFmtId="9" fontId="20" fillId="4" borderId="48" xfId="0" applyAlignment="1">
      <x:alignment horizontal="right" vertical="bottom"/>
    </x:xf>
    <x:xf numFmtId="9" fontId="20" fillId="4" borderId="47" xfId="0" applyAlignment="1">
      <x:alignment horizontal="center" vertical="bottom"/>
    </x:xf>
    <x:xf numFmtId="9" fontId="20" fillId="4" borderId="15" xfId="0" applyAlignment="1">
      <x:alignment horizontal="center" vertical="center"/>
    </x:xf>
    <x:xf numFmtId="9" fontId="20" fillId="4" borderId="48" xfId="0" applyAlignment="1">
      <x:alignment horizontal="center" vertical="center"/>
    </x:xf>
    <x:xf numFmtId="0" fontId="20" fillId="4" borderId="15" xfId="0" applyAlignment="1">
      <x:alignment vertical="bottom"/>
    </x:xf>
    <x:xf numFmtId="9" fontId="22" fillId="4" borderId="56" xfId="0" applyAlignment="1">
      <x:alignment horizontal="right" vertical="bottom"/>
    </x:xf>
    <x:xf numFmtId="9" fontId="22" fillId="4" borderId="49" xfId="0" applyAlignment="1">
      <x:alignment horizontal="center" vertical="bottom"/>
    </x:xf>
    <x:xf numFmtId="9" fontId="22" fillId="4" borderId="17" xfId="0" applyAlignment="1">
      <x:alignment horizontal="center" vertical="center"/>
    </x:xf>
    <x:xf numFmtId="9" fontId="22" fillId="4" borderId="56" xfId="0" applyAlignment="1">
      <x:alignment horizontal="center" vertical="center"/>
    </x:xf>
    <x:xf numFmtId="49" fontId="20" fillId="4" borderId="57" xfId="0" applyAlignment="1">
      <x:alignment horizontal="left" vertical="center"/>
    </x:xf>
    <x:xf numFmtId="1" fontId="20" fillId="4" borderId="58" xfId="0" applyAlignment="1">
      <x:alignment vertical="bottom"/>
    </x:xf>
    <x:xf numFmtId="49" fontId="20" fillId="4" borderId="58" xfId="0" applyAlignment="1">
      <x:alignment horizontal="left" vertical="center"/>
    </x:xf>
    <x:xf numFmtId="170" fontId="20" fillId="4" borderId="59" xfId="0" applyAlignment="1">
      <x:alignment horizontal="right" vertical="center"/>
    </x:xf>
    <x:xf numFmtId="170" fontId="20" fillId="4" borderId="57" xfId="0" applyAlignment="1">
      <x:alignment horizontal="center" vertical="bottom"/>
    </x:xf>
    <x:xf numFmtId="170" fontId="20" fillId="4" borderId="58" xfId="0" applyAlignment="1">
      <x:alignment horizontal="center" vertical="center"/>
    </x:xf>
    <x:xf numFmtId="49" fontId="20" fillId="4" borderId="60" xfId="0" applyAlignment="1">
      <x:alignment horizontal="left" vertical="center"/>
    </x:xf>
    <x:xf numFmtId="1" fontId="20" fillId="4" borderId="61" xfId="0" applyAlignment="1">
      <x:alignment vertical="bottom"/>
    </x:xf>
    <x:xf numFmtId="49" fontId="20" fillId="4" borderId="61" xfId="0" applyAlignment="1">
      <x:alignment horizontal="left" vertical="center"/>
    </x:xf>
    <x:xf numFmtId="170" fontId="20" fillId="4" borderId="62" xfId="0" applyAlignment="1">
      <x:alignment horizontal="right" vertical="center"/>
    </x:xf>
    <x:xf numFmtId="170" fontId="20" fillId="4" borderId="60" xfId="0" applyAlignment="1">
      <x:alignment horizontal="center" vertical="bottom"/>
    </x:xf>
    <x:xf numFmtId="170" fontId="20" fillId="4" borderId="61" xfId="0" applyAlignment="1">
      <x:alignment horizontal="center" vertical="center"/>
    </x:xf>
    <x:xf numFmtId="170" fontId="20" fillId="4" borderId="62" xfId="0" applyAlignment="1">
      <x:alignment horizontal="center" vertical="center"/>
    </x:xf>
    <x:xf numFmtId="170" fontId="20" fillId="4" borderId="63" xfId="0" applyAlignment="1">
      <x:alignment horizontal="center" vertical="center"/>
    </x:xf>
    <x:xf numFmtId="1" fontId="0" fillId="4" borderId="64" xfId="0" applyAlignment="1">
      <x:alignment vertical="bottom"/>
    </x:xf>
    <x:xf numFmtId="49" fontId="20" fillId="4" borderId="65" xfId="0" applyAlignment="1">
      <x:alignment horizontal="left" vertical="center"/>
    </x:xf>
    <x:xf numFmtId="1" fontId="20" fillId="4" borderId="66" xfId="0" applyAlignment="1">
      <x:alignment vertical="bottom"/>
    </x:xf>
    <x:xf numFmtId="49" fontId="20" fillId="4" borderId="66" xfId="0" applyAlignment="1">
      <x:alignment horizontal="left" vertical="center"/>
    </x:xf>
    <x:xf numFmtId="1" fontId="24" fillId="4" borderId="52" xfId="0" applyAlignment="1">
      <x:alignment horizontal="left" vertical="bottom"/>
    </x:xf>
    <x:xf numFmtId="170" fontId="20" fillId="4" borderId="67" xfId="0" applyAlignment="1">
      <x:alignment horizontal="right" vertical="center"/>
    </x:xf>
    <x:xf numFmtId="170" fontId="20" fillId="4" borderId="65" xfId="0" applyAlignment="1">
      <x:alignment horizontal="center" vertical="bottom"/>
    </x:xf>
    <x:xf numFmtId="170" fontId="20" fillId="4" borderId="66" xfId="0" applyAlignment="1">
      <x:alignment horizontal="center" vertical="center"/>
    </x:xf>
    <x:xf numFmtId="170" fontId="20" fillId="4" borderId="67" xfId="0" applyAlignment="1">
      <x:alignment horizontal="center" vertical="center"/>
    </x:xf>
    <x:xf numFmtId="1" fontId="7" fillId="4" borderId="40" xfId="0" applyAlignment="1">
      <x:alignment horizontal="left" vertical="center"/>
    </x:xf>
    <x:xf numFmtId="1" fontId="22" fillId="4" borderId="39" xfId="0" applyAlignment="1">
      <x:alignment horizontal="left" vertical="center"/>
    </x:xf>
    <x:xf numFmtId="1" fontId="24" fillId="4" borderId="39" xfId="0" applyAlignment="1">
      <x:alignment horizontal="left" vertical="bottom"/>
    </x:xf>
    <x:xf numFmtId="170" fontId="22" fillId="4" borderId="41" xfId="0" applyAlignment="1">
      <x:alignment horizontal="right" vertical="center"/>
    </x:xf>
    <x:xf numFmtId="170" fontId="22" fillId="4" borderId="40" xfId="0" applyAlignment="1">
      <x:alignment horizontal="center" vertical="bottom"/>
    </x:xf>
    <x:xf numFmtId="170" fontId="22" fillId="4" borderId="39" xfId="0" applyAlignment="1">
      <x:alignment horizontal="center" vertical="center"/>
    </x:xf>
    <x:xf numFmtId="170" fontId="22" fillId="4" borderId="41" xfId="0" applyAlignment="1">
      <x:alignment horizontal="center" vertical="center"/>
    </x:xf>
    <x:xf numFmtId="170" fontId="20" fillId="4" borderId="59" xfId="0" applyAlignment="1">
      <x:alignment horizontal="center" vertical="center"/>
    </x:xf>
    <x:xf numFmtId="10" fontId="20" fillId="4" borderId="62" xfId="0" applyAlignment="1">
      <x:alignment horizontal="right" vertical="center"/>
    </x:xf>
    <x:xf numFmtId="10" fontId="20" fillId="4" borderId="60" xfId="0" applyAlignment="1">
      <x:alignment horizontal="center" vertical="bottom"/>
    </x:xf>
    <x:xf numFmtId="10" fontId="20" fillId="4" borderId="61" xfId="0" applyAlignment="1">
      <x:alignment horizontal="center" vertical="center"/>
    </x:xf>
    <x:xf numFmtId="10" fontId="20" fillId="4" borderId="62" xfId="0" applyAlignment="1">
      <x:alignment horizontal="center" vertical="center"/>
    </x:xf>
    <x:xf numFmtId="1" fontId="22" fillId="4" borderId="68" xfId="0" applyAlignment="1">
      <x:alignment horizontal="left" vertical="center"/>
    </x:xf>
    <x:xf numFmtId="1" fontId="0" fillId="4" borderId="69" xfId="0" applyAlignment="1">
      <x:alignment vertical="bottom"/>
    </x:xf>
    <x:xf numFmtId="0" fontId="22" fillId="4" borderId="69" xfId="0" applyAlignment="1">
      <x:alignment horizontal="left" vertical="center"/>
    </x:xf>
    <x:xf numFmtId="170" fontId="22" fillId="4" borderId="70" xfId="0" applyAlignment="1">
      <x:alignment horizontal="right" vertical="center"/>
    </x:xf>
    <x:xf numFmtId="170" fontId="22" fillId="4" borderId="68" xfId="0" applyAlignment="1">
      <x:alignment horizontal="center" vertical="bottom"/>
    </x:xf>
    <x:xf numFmtId="170" fontId="22" fillId="4" borderId="69" xfId="0" applyAlignment="1">
      <x:alignment horizontal="center" vertical="center"/>
    </x:xf>
    <x:xf numFmtId="170" fontId="22" fillId="4" borderId="70" xfId="0" applyAlignment="1">
      <x:alignment horizontal="center" vertical="center"/>
    </x:xf>
    <x:xf numFmtId="1" fontId="22" fillId="5" borderId="6" xfId="0" applyAlignment="1">
      <x:alignment vertical="bottom"/>
    </x:xf>
    <x:xf numFmtId="9" fontId="22" fillId="5" borderId="6" xfId="0" applyAlignment="1">
      <x:alignment horizontal="center" vertical="center"/>
    </x:xf>
    <x:xf numFmtId="9" fontId="22" fillId="5" borderId="46" xfId="0" applyAlignment="1">
      <x:alignment horizontal="center" vertical="center"/>
    </x:xf>
    <x:xf numFmtId="49" fontId="0" fillId="4" borderId="57" xfId="0" applyAlignment="1">
      <x:alignment vertical="bottom"/>
    </x:xf>
    <x:xf numFmtId="1" fontId="0" fillId="4" borderId="58" xfId="0" applyAlignment="1">
      <x:alignment vertical="bottom"/>
    </x:xf>
    <x:xf numFmtId="0" fontId="0" fillId="4" borderId="58" xfId="0" applyAlignment="1">
      <x:alignment vertical="bottom"/>
    </x:xf>
    <x:xf numFmtId="179" fontId="7" fillId="4" borderId="59" xfId="0" applyAlignment="1">
      <x:alignment horizontal="right" vertical="bottom"/>
    </x:xf>
    <x:xf numFmtId="49" fontId="0" fillId="4" borderId="60" xfId="0" applyAlignment="1">
      <x:alignment vertical="bottom"/>
    </x:xf>
    <x:xf numFmtId="1" fontId="0" fillId="4" borderId="61" xfId="0" applyAlignment="1">
      <x:alignment vertical="bottom"/>
    </x:xf>
    <x:xf numFmtId="49" fontId="20" fillId="4" borderId="61" xfId="0" applyAlignment="1">
      <x:alignment vertical="bottom"/>
    </x:xf>
    <x:xf numFmtId="179" fontId="24" fillId="4" borderId="62" xfId="0" applyAlignment="1">
      <x:alignment vertical="bottom"/>
    </x:xf>
    <x:xf numFmtId="170" fontId="24" fillId="4" borderId="61" xfId="0" applyAlignment="1">
      <x:alignment horizontal="center" vertical="center"/>
    </x:xf>
    <x:xf numFmtId="170" fontId="24" fillId="4" borderId="62" xfId="0" applyAlignment="1">
      <x:alignment horizontal="center" vertical="center"/>
    </x:xf>
    <x:xf numFmtId="179" fontId="20" fillId="4" borderId="62" xfId="0" applyAlignment="1">
      <x:alignment vertical="bottom"/>
    </x:xf>
    <x:xf numFmtId="49" fontId="0" fillId="4" borderId="65" xfId="0" applyAlignment="1">
      <x:alignment vertical="bottom"/>
    </x:xf>
    <x:xf numFmtId="1" fontId="0" fillId="4" borderId="66" xfId="0" applyAlignment="1">
      <x:alignment vertical="bottom"/>
    </x:xf>
    <x:xf numFmtId="49" fontId="20" fillId="4" borderId="66" xfId="0" applyAlignment="1">
      <x:alignment vertical="bottom"/>
    </x:xf>
    <x:xf numFmtId="170" fontId="20" fillId="4" borderId="67" xfId="0" applyAlignment="1">
      <x:alignment horizontal="right" vertical="bottom"/>
    </x:xf>
    <x:xf numFmtId="1" fontId="0" fillId="4" borderId="40" xfId="0" applyAlignment="1">
      <x:alignment vertical="bottom"/>
    </x:xf>
    <x:xf numFmtId="1" fontId="0" fillId="4" borderId="39" xfId="0" applyAlignment="1">
      <x:alignment vertical="center"/>
    </x:xf>
    <x:xf numFmtId="1" fontId="0" fillId="4" borderId="41" xfId="0" applyAlignment="1">
      <x:alignment vertical="center"/>
    </x:xf>
    <x:xf numFmtId="1" fontId="0" fillId="4" borderId="6" xfId="0" applyAlignment="1">
      <x:alignment vertical="center"/>
    </x:xf>
    <x:xf numFmtId="185" fontId="20" fillId="4" borderId="11" xfId="0" applyAlignment="1">
      <x:alignment horizontal="left" vertical="bottom"/>
    </x:xf>
    <x:xf numFmtId="1" fontId="20" fillId="4" borderId="6" xfId="0" applyAlignment="1">
      <x:alignment vertical="bottom"/>
    </x:xf>
    <x:xf numFmtId="1" fontId="20" fillId="4" borderId="6" xfId="0" applyAlignment="1">
      <x:alignment vertical="center"/>
    </x:xf>
    <x:xf numFmtId="1" fontId="20" fillId="4" borderId="46" xfId="0" applyAlignment="1">
      <x:alignment vertical="center"/>
    </x:xf>
    <x:xf numFmtId="49" fontId="18" fillId="12" borderId="11" xfId="0" applyAlignment="1">
      <x:alignment horizontal="left" vertical="bottom"/>
    </x:xf>
    <x:xf numFmtId="49" fontId="7" fillId="10" borderId="11" xfId="0" applyAlignment="1">
      <x:alignment horizontal="left" vertical="bottom"/>
    </x:xf>
    <x:xf numFmtId="49" fontId="0" fillId="10" borderId="6" xfId="0" applyAlignment="1">
      <x:alignment vertical="bottom"/>
    </x:xf>
    <x:xf numFmtId="49" fontId="20" fillId="4" borderId="11" xfId="0" applyAlignment="1">
      <x:alignment horizontal="left" vertical="bottom"/>
    </x:xf>
    <x:xf numFmtId="176" fontId="20" fillId="4" borderId="6" xfId="0" applyAlignment="1">
      <x:alignment vertical="bottom"/>
    </x:xf>
    <x:xf numFmtId="178" fontId="0" fillId="4" borderId="6" xfId="0" applyAlignment="1">
      <x:alignment vertical="bottom"/>
    </x:xf>
    <x:xf numFmtId="185" fontId="20" fillId="4" borderId="11" xfId="0" applyAlignment="1">
      <x:alignment vertical="bottom"/>
    </x:xf>
    <x:xf numFmtId="49" fontId="15" fillId="4" borderId="11" xfId="0" applyAlignment="1">
      <x:alignment vertical="bottom"/>
    </x:xf>
    <x:xf numFmtId="49" fontId="15" fillId="4" borderId="50" xfId="0" applyAlignment="1">
      <x:alignment vertical="bottom"/>
    </x:xf>
    <x:xf numFmtId="1" fontId="20" fillId="4" borderId="5" xfId="0" applyAlignment="1">
      <x:alignment vertical="bottom"/>
    </x:xf>
    <x:xf numFmtId="1" fontId="20" fillId="4" borderId="5" xfId="0" applyAlignment="1">
      <x:alignment vertical="center"/>
    </x:xf>
    <x:xf numFmtId="1" fontId="20" fillId="4" borderId="51" xfId="0" applyAlignment="1">
      <x:alignment vertical="center"/>
    </x:xf>
    <x:xf numFmtId="1" fontId="0" fillId="4" borderId="5" xfId="0" applyAlignment="1">
      <x:alignment vertical="center"/>
    </x:xf>
    <x:xf numFmtId="49" fontId="7" fillId="4" borderId="11" xfId="0" applyAlignment="1">
      <x:alignment horizontal="left" vertical="center"/>
    </x:xf>
    <x:xf numFmtId="1" fontId="7" fillId="4" borderId="6" xfId="0" applyAlignment="1">
      <x:alignment horizontal="center" vertical="center"/>
    </x:xf>
    <x:xf numFmtId="179" fontId="3" fillId="4" borderId="6" xfId="0" applyAlignment="1">
      <x:alignment vertical="center"/>
    </x:xf>
    <x:xf numFmtId="49" fontId="7" fillId="4" borderId="6" xfId="0" applyAlignment="1">
      <x:alignment horizontal="left" vertical="center"/>
    </x:xf>
    <x:xf numFmtId="179" fontId="0" fillId="4" borderId="6" xfId="0" applyAlignment="1">
      <x:alignment vertical="center"/>
    </x:xf>
    <x:xf numFmtId="1" fontId="0" fillId="4" borderId="46" xfId="0" applyAlignment="1">
      <x:alignment vertical="center"/>
    </x:xf>
    <x:xf numFmtId="49" fontId="0" fillId="4" borderId="6" xfId="0" applyAlignment="1">
      <x:alignment vertical="bottom"/>
    </x:xf>
    <x:xf numFmtId="10" fontId="0" fillId="4" borderId="6" xfId="0" applyAlignment="1">
      <x:alignment vertical="center"/>
    </x:xf>
    <x:xf numFmtId="179" fontId="20" fillId="4" borderId="6" xfId="0" applyAlignment="1">
      <x:alignment vertical="center"/>
    </x:xf>
    <x:xf numFmtId="10" fontId="20" fillId="4" borderId="5" xfId="0" applyAlignment="1">
      <x:alignment horizontal="right" vertical="center"/>
    </x:xf>
    <x:xf numFmtId="49" fontId="20" fillId="10" borderId="6" xfId="0" applyAlignment="1">
      <x:alignment horizontal="right" vertical="center"/>
    </x:xf>
    <x:xf numFmtId="1" fontId="20" fillId="10" borderId="6" xfId="0" applyAlignment="1">
      <x:alignment horizontal="right" vertical="center"/>
    </x:xf>
    <x:xf numFmtId="10" fontId="0" fillId="4" borderId="9" xfId="0" applyAlignment="1">
      <x:alignment vertical="center"/>
    </x:xf>
    <x:xf numFmtId="179" fontId="3" fillId="4" borderId="39" xfId="0" applyAlignment="1">
      <x:alignment vertical="center"/>
    </x:xf>
    <x:xf numFmtId="9" fontId="20" fillId="4" borderId="5" xfId="0" applyAlignment="1">
      <x:alignment horizontal="right" vertical="center"/>
    </x:xf>
    <x:xf numFmtId="1" fontId="20" fillId="4" borderId="6" xfId="0" applyAlignment="1">
      <x:alignment horizontal="right" vertical="center"/>
    </x:xf>
    <x:xf numFmtId="49" fontId="7" fillId="4" borderId="50" xfId="0" applyAlignment="1">
      <x:alignment horizontal="left" vertical="center"/>
    </x:xf>
    <x:xf numFmtId="1" fontId="7" fillId="4" borderId="5" xfId="0" applyAlignment="1">
      <x:alignment horizontal="center" vertical="center"/>
    </x:xf>
    <x:xf numFmtId="179" fontId="0" fillId="4" borderId="9" xfId="0" applyAlignment="1">
      <x:alignment vertical="center"/>
    </x:xf>
    <x:xf numFmtId="1" fontId="0" fillId="4" borderId="51" xfId="0" applyAlignment="1">
      <x:alignment vertical="center"/>
    </x:xf>
    <x:xf numFmtId="1" fontId="0" fillId="4" borderId="38" xfId="0" applyAlignment="1">
      <x:alignment vertical="bottom"/>
    </x:xf>
    <x:xf numFmtId="49" fontId="0" fillId="5" borderId="11" xfId="0" applyAlignment="1">
      <x:alignment vertical="center"/>
    </x:xf>
    <x:xf numFmtId="1" fontId="0" fillId="5" borderId="71" xfId="0" applyAlignment="1">
      <x:alignment vertical="center"/>
    </x:xf>
    <x:xf numFmtId="49" fontId="0" fillId="5" borderId="72" xfId="0" applyAlignment="1">
      <x:alignment vertical="bottom"/>
    </x:xf>
    <x:xf numFmtId="49" fontId="0" fillId="5" borderId="6" xfId="0" applyAlignment="1">
      <x:alignment vertical="center"/>
    </x:xf>
    <x:xf numFmtId="49" fontId="0" fillId="4" borderId="11" xfId="0" applyAlignment="1">
      <x:alignment vertical="center"/>
    </x:xf>
    <x:xf numFmtId="10" fontId="20" fillId="4" borderId="71" xfId="0" applyAlignment="1">
      <x:alignment horizontal="left" vertical="center"/>
    </x:xf>
    <x:xf numFmtId="1" fontId="20" fillId="4" borderId="72" xfId="0" applyAlignment="1">
      <x:alignment vertical="bottom"/>
    </x:xf>
    <x:xf numFmtId="0" fontId="0" fillId="4" borderId="6" xfId="0" applyAlignment="1">
      <x:alignment vertical="center"/>
    </x:xf>
    <x:xf numFmtId="177" fontId="20" fillId="4" borderId="71" xfId="0" applyAlignment="1">
      <x:alignment horizontal="left" vertical="center"/>
    </x:xf>
    <x:xf numFmtId="0" fontId="0" fillId="4" borderId="5" xfId="0" applyAlignment="1">
      <x:alignment vertical="center"/>
    </x:xf>
    <x:xf numFmtId="179" fontId="0" fillId="4" borderId="5" xfId="0" applyAlignment="1">
      <x:alignment vertical="center"/>
    </x:xf>
    <x:xf numFmtId="49" fontId="20" fillId="4" borderId="72" xfId="0" applyAlignment="1">
      <x:alignment vertical="bottom"/>
    </x:xf>
    <x:xf numFmtId="49" fontId="0" fillId="4" borderId="39" xfId="0" applyAlignment="1">
      <x:alignment vertical="center"/>
    </x:xf>
    <x:xf numFmtId="177" fontId="0" fillId="4" borderId="39" xfId="0" applyAlignment="1">
      <x:alignment vertical="center"/>
    </x:xf>
    <x:xf numFmtId="49" fontId="0" fillId="4" borderId="5" xfId="0" applyAlignment="1">
      <x:alignment vertical="center"/>
    </x:xf>
    <x:xf numFmtId="179" fontId="23" fillId="4" borderId="5" xfId="0" applyAlignment="1">
      <x:alignment horizontal="right" vertical="center"/>
    </x:xf>
    <x:xf numFmtId="49" fontId="0" fillId="4" borderId="40" xfId="0" applyAlignment="1">
      <x:alignment vertical="center"/>
    </x:xf>
    <x:xf numFmtId="10" fontId="0" fillId="4" borderId="39" xfId="0" applyAlignment="1">
      <x:alignment vertical="center"/>
    </x:xf>
    <x:xf numFmtId="179" fontId="0" fillId="4" borderId="41" xfId="0" applyAlignment="1">
      <x:alignment vertical="center"/>
    </x:xf>
    <x:xf numFmtId="3" fontId="20" fillId="4" borderId="71" xfId="0" applyAlignment="1">
      <x:alignment horizontal="left" vertical="bottom"/>
    </x:xf>
    <x:xf numFmtId="179" fontId="0" fillId="4" borderId="46" xfId="0" applyAlignment="1">
      <x:alignment vertical="center"/>
    </x:xf>
    <x:xf numFmtId="9" fontId="20" fillId="4" borderId="71" xfId="0" applyAlignment="1">
      <x:alignment horizontal="left" vertical="center"/>
    </x:xf>
    <x:xf numFmtId="49" fontId="0" fillId="4" borderId="50" xfId="0" applyAlignment="1">
      <x:alignment vertical="center"/>
    </x:xf>
    <x:xf numFmtId="0" fontId="0" fillId="4" borderId="51" xfId="0" applyAlignment="1">
      <x:alignment vertical="center"/>
    </x:xf>
    <x:xf numFmtId="49" fontId="0" fillId="4" borderId="50" xfId="0" applyAlignment="1">
      <x:alignment vertical="bottom"/>
    </x:xf>
    <x:xf numFmtId="3" fontId="7" fillId="4" borderId="73" xfId="0" applyAlignment="1">
      <x:alignment horizontal="left" vertical="bottom"/>
    </x:xf>
    <x:xf numFmtId="1" fontId="20" fillId="4" borderId="74" xfId="0" applyAlignment="1">
      <x:alignment vertical="bottom"/>
    </x:xf>
    <x:xf numFmtId="0" fontId="23" fillId="4" borderId="39" xfId="0" applyAlignment="1">
      <x:alignment horizontal="right" vertical="center"/>
    </x:xf>
    <x:xf numFmtId="49" fontId="0" fillId="4" borderId="40" xfId="0" applyAlignment="1">
      <x:alignment vertical="bottom"/>
    </x:xf>
    <x:xf numFmtId="1" fontId="22" fillId="10" borderId="75" xfId="0" applyAlignment="1">
      <x:alignment vertical="bottom"/>
    </x:xf>
    <x:xf numFmtId="1" fontId="22" fillId="4" borderId="76" xfId="0" applyAlignment="1">
      <x:alignment vertical="bottom"/>
    </x:xf>
    <x:xf numFmtId="1" fontId="0" fillId="4" borderId="41" xfId="0" applyAlignment="1">
      <x:alignment vertical="bottom"/>
    </x:xf>
    <x:xf numFmtId="10" fontId="22" fillId="10" borderId="73" xfId="0" applyAlignment="1">
      <x:alignment vertical="bottom"/>
    </x:xf>
    <x:xf numFmtId="1" fontId="22" fillId="4" borderId="74" xfId="0" applyAlignment="1">
      <x:alignment vertical="bottom"/>
    </x:xf>
    <x:xf numFmtId="186" fontId="7" fillId="4" borderId="75" xfId="0" applyAlignment="1">
      <x:alignment horizontal="left" vertical="bottom"/>
    </x:xf>
    <x:xf numFmtId="49" fontId="20" fillId="4" borderId="76" xfId="0" applyAlignment="1">
      <x:alignment vertical="bottom"/>
    </x:xf>
    <x:xf numFmtId="187" fontId="0" fillId="4" borderId="11" xfId="0" applyAlignment="1">
      <x:alignment vertical="bottom"/>
    </x:xf>
    <x:xf numFmtId="9" fontId="20" fillId="4" borderId="6" xfId="0" applyAlignment="1">
      <x:alignment horizontal="left" vertical="center"/>
    </x:xf>
    <x:xf numFmtId="186" fontId="7" fillId="4" borderId="71" xfId="0" applyAlignment="1">
      <x:alignment horizontal="left" vertical="bottom"/>
    </x:xf>
    <x:xf numFmtId="1" fontId="20" fillId="4" borderId="72" xfId="0" applyAlignment="1">
      <x:alignment vertical="center"/>
    </x:xf>
    <x:xf numFmtId="187" fontId="0" fillId="4" borderId="50" xfId="0" applyAlignment="1">
      <x:alignment vertical="bottom"/>
    </x:xf>
    <x:xf numFmtId="9" fontId="7" fillId="4" borderId="5" xfId="0" applyAlignment="1">
      <x:alignment horizontal="left" vertical="bottom"/>
    </x:xf>
    <x:xf numFmtId="186" fontId="7" fillId="4" borderId="73" xfId="0" applyAlignment="1">
      <x:alignment horizontal="left" vertical="bottom"/>
    </x:xf>
    <x:xf numFmtId="1" fontId="20" fillId="4" borderId="74" xfId="0" applyAlignment="1">
      <x:alignment vertical="center"/>
    </x:xf>
    <x:xf numFmtId="10" fontId="20" fillId="4" borderId="75" xfId="0" applyAlignment="1">
      <x:alignment horizontal="left" vertical="bottom"/>
    </x:xf>
    <x:xf numFmtId="1" fontId="22" fillId="4" borderId="76" xfId="0" applyAlignment="1">
      <x:alignment vertical="center"/>
    </x:xf>
    <x:xf numFmtId="10" fontId="22" fillId="4" borderId="73" xfId="0" applyAlignment="1">
      <x:alignment horizontal="center" vertical="bottom"/>
    </x:xf>
    <x:xf numFmtId="1" fontId="22" fillId="4" borderId="74" xfId="0" applyAlignment="1">
      <x:alignment vertical="center"/>
    </x:xf>
    <x:xf numFmtId="0" fontId="22" fillId="4" borderId="5" xfId="0" applyAlignment="1">
      <x:alignment horizontal="right" vertical="center"/>
    </x:xf>
    <x:xf numFmtId="1" fontId="0" fillId="4" borderId="8" xfId="0" applyAlignment="1">
      <x:alignment vertical="bottom"/>
    </x:xf>
    <x:xf numFmtId="188" fontId="0" fillId="4" borderId="6" xfId="0" applyAlignment="1">
      <x:alignment vertical="bottom"/>
    </x:xf>
    <x:xf numFmtId="49" fontId="0" fillId="5" borderId="40" xfId="0" applyAlignment="1">
      <x:alignment vertical="center"/>
    </x:xf>
    <x:xf numFmtId="1" fontId="0" fillId="5" borderId="75" xfId="0" applyAlignment="1">
      <x:alignment vertical="center"/>
    </x:xf>
    <x:xf numFmtId="49" fontId="0" fillId="5" borderId="76" xfId="0" applyAlignment="1">
      <x:alignment vertical="bottom"/>
    </x:xf>
    <x:xf numFmtId="1" fontId="0" fillId="5" borderId="41" xfId="0" applyAlignment="1">
      <x:alignment vertical="bottom"/>
    </x:xf>
    <x:xf numFmtId="177" fontId="7" fillId="4" borderId="71" xfId="0" applyAlignment="1">
      <x:alignment horizontal="left" vertical="center"/>
    </x:xf>
    <x:xf numFmtId="1" fontId="22" fillId="4" borderId="72" xfId="0" applyAlignment="1">
      <x:alignment horizontal="center" vertical="bottom"/>
    </x:xf>
    <x:xf numFmtId="1" fontId="22" fillId="4" borderId="72" xfId="0" applyAlignment="1">
      <x:alignment vertical="center"/>
    </x:xf>
    <x:xf numFmtId="2" fontId="20" fillId="4" borderId="71" xfId="0" applyAlignment="1">
      <x:alignment horizontal="left" vertical="center"/>
    </x:xf>
    <x:xf numFmtId="1" fontId="20" fillId="4" borderId="73" xfId="0" applyAlignment="1">
      <x:alignment horizontal="left" vertical="center"/>
    </x:xf>
    <x:xf numFmtId="10" fontId="20" fillId="4" borderId="75" xfId="0" applyAlignment="1">
      <x:alignment horizontal="left" vertical="center"/>
    </x:xf>
    <x:xf numFmtId="2" fontId="22" fillId="4" borderId="73" xfId="0" applyAlignment="1">
      <x:alignment horizontal="left" vertical="center"/>
    </x:xf>
    <x:xf numFmtId="49" fontId="0" fillId="4" borderId="8" xfId="0" applyAlignment="1">
      <x:alignment vertical="bottom"/>
    </x:xf>
    <x:xf numFmtId="49" fontId="20" fillId="4" borderId="77" xfId="0" applyAlignment="1">
      <x:alignment horizontal="left" vertical="bottom"/>
    </x:xf>
    <x:xf numFmtId="1" fontId="22" fillId="4" borderId="78" xfId="0" applyAlignment="1">
      <x:alignment vertical="center"/>
    </x:xf>
    <x:xf numFmtId="1" fontId="0" fillId="4" borderId="10" xfId="0" applyAlignment="1">
      <x:alignment vertical="bottom"/>
    </x:xf>
    <x:xf numFmtId="49" fontId="20" fillId="10" borderId="39" xfId="0" applyAlignment="1">
      <x:alignment horizontal="right" vertical="center"/>
    </x:xf>
    <x:xf numFmtId="1" fontId="22" fillId="10" borderId="75" xfId="0" applyAlignment="1">
      <x:alignment horizontal="right" vertical="center"/>
    </x:xf>
    <x:xf numFmtId="3" fontId="0" fillId="4" borderId="71" xfId="0" applyAlignment="1">
      <x:alignment vertical="center"/>
    </x:xf>
    <x:xf numFmtId="3" fontId="0" fillId="4" borderId="73" xfId="0" applyAlignment="1">
      <x:alignment vertical="center"/>
    </x:xf>
    <x:xf numFmtId="49" fontId="0" fillId="10" borderId="8" xfId="0" applyAlignment="1">
      <x:alignment vertical="center"/>
    </x:xf>
    <x:xf numFmtId="1" fontId="0" fillId="10" borderId="9" xfId="0" applyAlignment="1">
      <x:alignment vertical="center"/>
    </x:xf>
    <x:xf numFmtId="1" fontId="0" fillId="10" borderId="10" xfId="0" applyAlignment="1">
      <x:alignment vertical="center"/>
    </x:xf>
    <x:xf numFmtId="179" fontId="0" fillId="4" borderId="6" xfId="0" applyAlignment="1">
      <x:alignment vertical="bottom"/>
    </x:xf>
    <x:xf numFmtId="10" fontId="20" fillId="4" borderId="39" xfId="0" applyAlignment="1">
      <x:alignment horizontal="left" vertical="center"/>
    </x:xf>
    <x:xf numFmtId="189" fontId="20" fillId="4" borderId="39" xfId="0" applyAlignment="1">
      <x:alignment vertical="center"/>
    </x:xf>
    <x:xf numFmtId="179" fontId="20" fillId="4" borderId="39" xfId="0" applyAlignment="1">
      <x:alignment horizontal="left" vertical="center"/>
    </x:xf>
    <x:xf numFmtId="10" fontId="20" fillId="4" borderId="6" xfId="0" applyAlignment="1">
      <x:alignment horizontal="left" vertical="bottom"/>
    </x:xf>
    <x:xf numFmtId="176" fontId="20" fillId="4" borderId="5" xfId="0" applyAlignment="1">
      <x:alignment horizontal="left" vertical="center"/>
    </x:xf>
    <x:xf numFmtId="190" fontId="0" fillId="4" borderId="9" xfId="0" applyAlignment="1">
      <x:alignment vertical="center"/>
    </x:xf>
    <x:xf numFmtId="1" fontId="0" fillId="4" borderId="9" xfId="0" applyAlignment="1">
      <x:alignment vertical="center"/>
    </x:xf>
    <x:xf numFmtId="49" fontId="0" fillId="10" borderId="8" xfId="0" applyAlignment="1">
      <x:alignment vertical="bottom"/>
    </x:xf>
    <x:xf numFmtId="1" fontId="0" fillId="10" borderId="9" xfId="0" applyAlignment="1">
      <x:alignment vertical="bottom"/>
    </x:xf>
    <x:xf numFmtId="1" fontId="0" fillId="10" borderId="10" xfId="0" applyAlignment="1">
      <x:alignment vertical="bottom"/>
    </x:xf>
    <x:xf numFmtId="14" fontId="7" fillId="4" borderId="39" xfId="0" applyAlignment="1">
      <x:alignment horizontal="left" vertical="center"/>
    </x:xf>
    <x:xf numFmtId="188" fontId="7" fillId="4" borderId="41" xfId="0" applyAlignment="1">
      <x:alignment horizontal="left" vertical="center"/>
    </x:xf>
    <x:xf numFmtId="10" fontId="20" fillId="4" borderId="46" xfId="0" applyAlignment="1">
      <x:alignment horizontal="left" vertical="center"/>
    </x:xf>
    <x:xf numFmtId="10" fontId="20" fillId="4" borderId="6" xfId="0" applyAlignment="1">
      <x:alignment horizontal="left" vertical="center"/>
    </x:xf>
    <x:xf numFmtId="10" fontId="20" fillId="4" borderId="51" xfId="0" applyAlignment="1">
      <x:alignment horizontal="left" vertical="center"/>
    </x:xf>
    <x:xf numFmtId="0" fontId="0" fillId="4" borderId="38" xfId="0" applyAlignment="1">
      <x:alignment vertical="bottom"/>
    </x:xf>
    <x:xf numFmtId="0" fontId="0" fillId="4" borderId="39" xfId="0" applyAlignment="1">
      <x:alignment vertical="bottom"/>
    </x:xf>
    <x:xf numFmtId="0" fontId="0" fillId="0" borderId="0" xfId="0" applyAlignment="1">
      <x:alignment vertical="bottom"/>
    </x:xf>
    <x:xf numFmtId="1" fontId="7" fillId="4" borderId="37" xfId="0" applyAlignment="1">
      <x:alignment vertical="top"/>
    </x:xf>
    <x:xf numFmtId="1" fontId="0" fillId="4" borderId="37" xfId="0" applyAlignment="1">
      <x:alignment vertical="top"/>
    </x:xf>
    <x:xf numFmtId="1" fontId="0" fillId="4" borderId="37" xfId="0" applyAlignment="1">
      <x:alignment vertical="center"/>
    </x:xf>
    <x:xf numFmtId="1" fontId="7" fillId="4" borderId="37" xfId="0" applyAlignment="1">
      <x:alignment horizontal="right" vertical="top"/>
    </x:xf>
    <x:xf numFmtId="1" fontId="7" fillId="4" borderId="37" xfId="0" applyAlignment="1">
      <x:alignment horizontal="right" vertical="center"/>
    </x:xf>
    <x:xf numFmtId="49" fontId="15" fillId="4" borderId="79" xfId="0" applyAlignment="1">
      <x:alignment horizontal="right" vertical="bottom"/>
    </x:xf>
    <x:xf numFmtId="1" fontId="0" fillId="4" borderId="80" xfId="0" applyAlignment="1">
      <x:alignment vertical="bottom"/>
    </x:xf>
    <x:xf numFmtId="1" fontId="0" fillId="4" borderId="81" xfId="0" applyAlignment="1">
      <x:alignment vertical="center"/>
    </x:xf>
    <x:xf numFmtId="49" fontId="11" fillId="4" borderId="38" xfId="0" applyAlignment="1">
      <x:alignment horizontal="left" vertical="center"/>
    </x:xf>
    <x:xf numFmtId="1" fontId="7" fillId="4" borderId="39" xfId="0" applyAlignment="1">
      <x:alignment vertical="center"/>
    </x:xf>
    <x:xf numFmtId="1" fontId="7" fillId="4" borderId="39" xfId="0" applyAlignment="1">
      <x:alignment horizontal="right" vertical="bottom"/>
    </x:xf>
    <x:xf numFmtId="1" fontId="7" fillId="4" borderId="18" xfId="0" applyAlignment="1">
      <x:alignment vertical="bottom"/>
    </x:xf>
    <x:xf numFmtId="1" fontId="7" fillId="4" borderId="6" xfId="0" applyAlignment="1">
      <x:alignment vertical="center"/>
    </x:xf>
    <x:xf numFmtId="1" fontId="7" fillId="4" borderId="18" xfId="0" applyAlignment="1">
      <x:alignment horizontal="left" vertical="center"/>
    </x:xf>
    <x:xf numFmtId="49" fontId="12" fillId="13" borderId="18" xfId="0" applyAlignment="1">
      <x:alignment vertical="center"/>
    </x:xf>
    <x:xf numFmtId="1" fontId="12" fillId="13" borderId="6" xfId="0" applyAlignment="1">
      <x:alignment vertical="center"/>
    </x:xf>
    <x:xf numFmtId="49" fontId="12" fillId="13" borderId="6" xfId="0" applyAlignment="1">
      <x:alignment horizontal="right" vertical="center"/>
    </x:xf>
    <x:xf numFmtId="49" fontId="12" fillId="13" borderId="6" xfId="0" applyAlignment="1">
      <x:alignment horizontal="left" vertical="center"/>
    </x:xf>
    <x:xf numFmtId="1" fontId="12" fillId="13" borderId="6" xfId="0" applyAlignment="1">
      <x:alignment horizontal="left" vertical="center"/>
    </x:xf>
    <x:xf numFmtId="49" fontId="12" fillId="13" borderId="6" xfId="0" applyAlignment="1">
      <x:alignment vertical="center"/>
    </x:xf>
    <x:xf numFmtId="1" fontId="12" fillId="13" borderId="6" xfId="0" applyAlignment="1">
      <x:alignment horizontal="center" vertical="center"/>
    </x:xf>
    <x:xf numFmtId="49" fontId="7" fillId="4" borderId="18" xfId="0" applyAlignment="1">
      <x:alignment horizontal="left" vertical="center"/>
    </x:xf>
    <x:xf numFmtId="170" fontId="7" fillId="4" borderId="6" xfId="0" applyAlignment="1">
      <x:alignment vertical="center"/>
    </x:xf>
    <x:xf numFmtId="191" fontId="0" fillId="4" borderId="6" xfId="0" applyAlignment="1">
      <x:alignment vertical="center"/>
    </x:xf>
    <x:xf numFmtId="184" fontId="7" fillId="4" borderId="6" xfId="0" applyAlignment="1">
      <x:alignment vertical="center"/>
    </x:xf>
    <x:xf numFmtId="192" fontId="0" fillId="4" borderId="6" xfId="0" applyAlignment="1">
      <x:alignment vertical="center"/>
    </x:xf>
    <x:xf numFmtId="49" fontId="7" fillId="4" borderId="6" xfId="0" applyAlignment="1">
      <x:alignment horizontal="right" vertical="center"/>
    </x:xf>
    <x:xf numFmtId="193" fontId="0" fillId="4" borderId="6" xfId="0" applyAlignment="1">
      <x:alignment vertical="center"/>
    </x:xf>
    <x:xf numFmtId="170" fontId="0" fillId="4" borderId="6" xfId="0" applyAlignment="1">
      <x:alignment vertical="center"/>
    </x:xf>
    <x:xf numFmtId="194" fontId="0" fillId="4" borderId="6" xfId="0" applyAlignment="1">
      <x:alignment vertical="center"/>
    </x:xf>
    <x:xf numFmtId="49" fontId="12" fillId="14" borderId="6" xfId="0" applyAlignment="1">
      <x:alignment vertical="center"/>
    </x:xf>
    <x:xf numFmtId="49" fontId="15" fillId="4" borderId="6" xfId="0" applyAlignment="1">
      <x:alignment vertical="bottom"/>
    </x:xf>
    <x:xf numFmtId="184" fontId="0" fillId="4" borderId="6" xfId="0" applyAlignment="1">
      <x:alignment vertical="center"/>
    </x:xf>
    <x:xf numFmtId="195" fontId="0" fillId="4" borderId="6" xfId="0" applyAlignment="1">
      <x:alignment vertical="center"/>
    </x:xf>
    <x:xf numFmtId="9" fontId="7" fillId="15" borderId="6" xfId="0" applyAlignment="1">
      <x:alignment vertical="center"/>
    </x:xf>
    <x:xf numFmtId="49" fontId="7" fillId="7" borderId="18" xfId="0" applyAlignment="1">
      <x:alignment horizontal="left" vertical="center"/>
    </x:xf>
    <x:xf numFmtId="1" fontId="7" fillId="7" borderId="6" xfId="0" applyAlignment="1">
      <x:alignment vertical="center"/>
    </x:xf>
    <x:xf numFmtId="191" fontId="0" fillId="7" borderId="6" xfId="0" applyAlignment="1">
      <x:alignment vertical="center"/>
    </x:xf>
    <x:xf numFmtId="184" fontId="7" fillId="7" borderId="6" xfId="0" applyAlignment="1">
      <x:alignment vertical="center"/>
    </x:xf>
    <x:xf numFmtId="179" fontId="0" fillId="7" borderId="6" xfId="0" applyAlignment="1">
      <x:alignment vertical="center"/>
    </x:xf>
    <x:xf numFmtId="1" fontId="0" fillId="4" borderId="18" xfId="0" applyAlignment="1">
      <x:alignment vertical="center"/>
    </x:xf>
    <x:xf numFmtId="196" fontId="0" fillId="4" borderId="6" xfId="0" applyAlignment="1">
      <x:alignment vertical="center"/>
    </x:xf>
    <x:xf numFmtId="9" fontId="0" fillId="4" borderId="6" xfId="0" applyAlignment="1">
      <x:alignment vertical="center"/>
    </x:xf>
    <x:xf numFmtId="179" fontId="7" fillId="4" borderId="6" xfId="0" applyAlignment="1">
      <x:alignment horizontal="right" vertical="center"/>
    </x:xf>
    <x:xf numFmtId="0" fontId="7" fillId="4" borderId="18" xfId="0" applyAlignment="1">
      <x:alignment horizontal="left" vertical="center"/>
    </x:xf>
    <x:xf numFmtId="197" fontId="7" fillId="4" borderId="6" xfId="0" applyAlignment="1">
      <x:alignment horizontal="right" vertical="center"/>
    </x:xf>
    <x:xf numFmtId="0" fontId="7" fillId="4" borderId="6" xfId="0" applyAlignment="1">
      <x:alignment horizontal="right" vertical="center"/>
    </x:xf>
    <x:xf numFmtId="174" fontId="0" fillId="4" borderId="6" xfId="0" applyAlignment="1">
      <x:alignment vertical="center"/>
    </x:xf>
    <x:xf numFmtId="198" fontId="7" fillId="4" borderId="6" xfId="0" applyAlignment="1">
      <x:alignment horizontal="center" vertical="center"/>
    </x:xf>
    <x:xf numFmtId="197" fontId="0" fillId="4" borderId="6" xfId="0" applyAlignment="1">
      <x:alignment vertical="center"/>
    </x:xf>
    <x:xf numFmtId="176" fontId="0" fillId="4" borderId="6" xfId="0" applyAlignment="1">
      <x:alignment vertical="center"/>
    </x:xf>
    <x:xf numFmtId="184" fontId="0" fillId="4" borderId="28" xfId="0" applyAlignment="1">
      <x:alignment vertical="center"/>
    </x:xf>
    <x:xf numFmtId="179" fontId="0" fillId="4" borderId="28" xfId="0" applyAlignment="1">
      <x:alignment vertical="center"/>
    </x:xf>
    <x:xf numFmtId="10" fontId="7" fillId="4" borderId="6" xfId="0" applyAlignment="1">
      <x:alignment horizontal="right" vertical="center"/>
    </x:xf>
    <x:xf numFmtId="197" fontId="7" fillId="4" borderId="6" xfId="0" applyAlignment="1">
      <x:alignment horizontal="right" vertical="bottom"/>
    </x:xf>
    <x:xf numFmtId="176" fontId="7" fillId="4" borderId="6" xfId="0" applyAlignment="1">
      <x:alignment horizontal="right" vertical="center"/>
    </x:xf>
    <x:xf numFmtId="49" fontId="7" fillId="4" borderId="6" xfId="0" applyAlignment="1">
      <x:alignment horizontal="center" vertical="bottom"/>
    </x:xf>
    <x:xf numFmtId="49" fontId="25" fillId="4" borderId="6" xfId="0" applyAlignment="1">
      <x:alignment vertical="center"/>
    </x:xf>
    <x:xf numFmtId="1" fontId="0" fillId="16" borderId="7" xfId="0" applyAlignment="1">
      <x:alignment vertical="center"/>
    </x:xf>
    <x:xf numFmtId="10" fontId="8" fillId="4" borderId="6" xfId="0" applyAlignment="1">
      <x:alignment vertical="center"/>
    </x:xf>
    <x:xf numFmtId="170" fontId="7" fillId="4" borderId="6" xfId="0" applyAlignment="1">
      <x:alignment horizontal="center" vertical="center"/>
    </x:xf>
    <x:xf numFmtId="1" fontId="0" fillId="4" borderId="7" xfId="0" applyAlignment="1">
      <x:alignment vertical="center"/>
    </x:xf>
    <x:xf numFmtId="1" fontId="0" fillId="7" borderId="6" xfId="0" applyAlignment="1">
      <x:alignment vertical="center"/>
    </x:xf>
    <x:xf numFmtId="1" fontId="7" fillId="4" borderId="18" xfId="0" applyAlignment="1">
      <x:alignment vertical="center"/>
    </x:xf>
    <x:xf numFmtId="1" fontId="24" fillId="4" borderId="6" xfId="0" applyAlignment="1">
      <x:alignment horizontal="center" vertical="center"/>
    </x:xf>
    <x:xf numFmtId="179" fontId="24" fillId="4" borderId="6" xfId="0" applyAlignment="1">
      <x:alignment horizontal="center" vertical="center"/>
    </x:xf>
    <x:xf numFmtId="49" fontId="12" fillId="13" borderId="18" xfId="0" applyAlignment="1">
      <x:alignment horizontal="left" vertical="center"/>
    </x:xf>
    <x:xf numFmtId="199" fontId="12" fillId="13" borderId="6" xfId="0" applyAlignment="1">
      <x:alignment horizontal="center" vertical="center"/>
    </x:xf>
    <x:xf numFmtId="1" fontId="12" fillId="13" borderId="18" xfId="0" applyAlignment="1">
      <x:alignment horizontal="left" vertical="center"/>
    </x:xf>
    <x:xf numFmtId="170" fontId="7" fillId="4" borderId="6" xfId="0" applyAlignment="1">
      <x:alignment horizontal="right" vertical="center"/>
    </x:xf>
    <x:xf numFmtId="1" fontId="23" fillId="4" borderId="6" xfId="0" applyAlignment="1">
      <x:alignment horizontal="left" vertical="center"/>
    </x:xf>
    <x:xf numFmtId="49" fontId="0" fillId="4" borderId="7" xfId="0" applyAlignment="1">
      <x:alignment vertical="center"/>
    </x:xf>
    <x:xf numFmtId="1" fontId="0" fillId="4" borderId="28" xfId="0" applyAlignment="1">
      <x:alignment vertical="center"/>
    </x:xf>
    <x:xf numFmtId="10" fontId="0" fillId="4" borderId="28" xfId="0" applyAlignment="1">
      <x:alignment vertical="center"/>
    </x:xf>
    <x:xf numFmtId="184" fontId="7" fillId="4" borderId="6" xfId="0" applyAlignment="1">
      <x:alignment horizontal="center" vertical="center"/>
    </x:xf>
    <x:xf numFmtId="1" fontId="22" fillId="4" borderId="6" xfId="0" applyAlignment="1">
      <x:alignment horizontal="right" vertical="center"/>
    </x:xf>
    <x:xf numFmtId="9" fontId="7" fillId="4" borderId="6" xfId="0" applyAlignment="1">
      <x:alignment horizontal="right" vertical="center"/>
    </x:xf>
    <x:xf numFmtId="1" fontId="23" fillId="4" borderId="7" xfId="0" applyAlignment="1">
      <x:alignment vertical="center"/>
    </x:xf>
    <x:xf numFmtId="1" fontId="23" fillId="4" borderId="28" xfId="0" applyAlignment="1">
      <x:alignment vertical="center"/>
    </x:xf>
    <x:xf numFmtId="1" fontId="0" fillId="7" borderId="28" xfId="0" applyAlignment="1">
      <x:alignment vertical="center"/>
    </x:xf>
    <x:xf numFmtId="179" fontId="7" fillId="4" borderId="6" xfId="0" applyAlignment="1">
      <x:alignment horizontal="left" vertical="center"/>
    </x:xf>
    <x:xf numFmtId="1" fontId="7" fillId="7" borderId="6" xfId="0" applyAlignment="1">
      <x:alignment horizontal="left" vertical="center"/>
    </x:xf>
    <x:xf numFmtId="179" fontId="7" fillId="7" borderId="6" xfId="0" applyAlignment="1">
      <x:alignment horizontal="left" vertical="center"/>
    </x:xf>
    <x:xf numFmtId="49" fontId="7" fillId="4" borderId="18" xfId="0" applyAlignment="1">
      <x:alignment vertical="center"/>
    </x:xf>
    <x:xf numFmtId="1" fontId="23" fillId="4" borderId="7" xfId="0" applyAlignment="1">
      <x:alignment horizontal="left" vertical="center"/>
    </x:xf>
    <x:xf numFmtId="1" fontId="23" fillId="4" borderId="28" xfId="0" applyAlignment="1">
      <x:alignment horizontal="left" vertical="center"/>
    </x:xf>
    <x:xf numFmtId="179" fontId="7" fillId="4" borderId="6" xfId="0" applyAlignment="1">
      <x:alignment horizontal="center" vertical="center"/>
    </x:xf>
    <x:xf numFmtId="179" fontId="7" fillId="4" borderId="6" xfId="0" applyAlignment="1">
      <x:alignment vertical="center"/>
    </x:xf>
    <x:xf numFmtId="10" fontId="7" fillId="4" borderId="6" xfId="0" applyAlignment="1">
      <x:alignment vertical="center"/>
    </x:xf>
    <x:xf numFmtId="170" fontId="7" fillId="7" borderId="6" xfId="0" applyAlignment="1">
      <x:alignment horizontal="right" vertical="center"/>
    </x:xf>
    <x:xf numFmtId="184" fontId="0" fillId="7" borderId="6" xfId="0" applyAlignment="1">
      <x:alignment vertical="center"/>
    </x:xf>
    <x:xf numFmtId="1" fontId="0" fillId="4" borderId="18" xfId="0" applyAlignment="1">
      <x:alignment vertical="bottom"/>
    </x:xf>
    <x:xf numFmtId="49" fontId="26" fillId="4" borderId="18" xfId="0" applyAlignment="1">
      <x:alignment horizontal="left" vertical="top"/>
    </x:xf>
    <x:xf numFmtId="1" fontId="0" fillId="4" borderId="6" xfId="0" applyAlignment="1">
      <x:alignment vertical="top"/>
    </x:xf>
    <x:xf numFmtId="179" fontId="7" fillId="4" borderId="6" xfId="0" applyAlignment="1">
      <x:alignment horizontal="center" vertical="top"/>
    </x:xf>
    <x:xf numFmtId="179" fontId="0" fillId="4" borderId="6" xfId="0" applyAlignment="1">
      <x:alignment vertical="top"/>
    </x:xf>
    <x:xf numFmtId="1" fontId="7" fillId="4" borderId="6" xfId="0" applyAlignment="1">
      <x:alignment horizontal="center" vertical="top"/>
    </x:xf>
    <x:xf numFmtId="1" fontId="0" fillId="4" borderId="19" xfId="0" applyAlignment="1">
      <x:alignment vertical="bottom"/>
    </x:xf>
    <x:xf numFmtId="1" fontId="0" fillId="4" borderId="20" xfId="0" applyAlignment="1">
      <x:alignment vertical="bottom"/>
    </x:xf>
    <x:xf numFmtId="1" fontId="0" fillId="4" borderId="21" xfId="0" applyAlignment="1">
      <x:alignment vertical="bottom"/>
    </x:xf>
    <x:xf numFmtId="0" fontId="0" fillId="0" borderId="0" xfId="0" applyAlignment="1">
      <x:alignment vertical="bottom"/>
    </x:xf>
    <x:xf numFmtId="0" fontId="0" fillId="0" borderId="22" xfId="0" applyAlignment="1">
      <x:alignment vertical="bottom"/>
    </x:xf>
    <x:xf numFmtId="9" fontId="1" fillId="4" borderId="22" xfId="0" applyAlignment="1">
      <x:alignment horizontal="center" vertical="bottom"/>
    </x:xf>
    <x:xf numFmtId="49" fontId="1" fillId="4" borderId="22" xfId="0" applyAlignment="1">
      <x:alignment horizontal="center" vertical="bottom"/>
    </x:xf>
    <x:xf numFmtId="49" fontId="1" fillId="4" borderId="23" xfId="0" applyAlignment="1">
      <x:alignment horizontal="center" vertical="bottom"/>
    </x:xf>
    <x:xf numFmtId="1" fontId="1" fillId="4" borderId="23" xfId="0" applyAlignment="1">
      <x:alignment horizontal="center" vertical="bottom"/>
    </x:xf>
    <x:xf numFmtId="0" fontId="0" fillId="4" borderId="82" xfId="0" applyAlignment="1">
      <x:alignment vertical="bottom"/>
    </x:xf>
    <x:xf numFmtId="1" fontId="7" fillId="4" borderId="22" xfId="0" applyAlignment="1">
      <x:alignment vertical="bottom"/>
    </x:xf>
    <x:xf numFmtId="1" fontId="1" fillId="4" borderId="22" xfId="0" applyAlignment="1">
      <x:alignment horizontal="center" vertical="bottom"/>
    </x:xf>
    <x:xf numFmtId="1" fontId="1" fillId="4" borderId="27" xfId="0" applyAlignment="1">
      <x:alignment horizontal="center" vertical="bottom"/>
    </x:xf>
    <x:xf numFmtId="1" fontId="27" fillId="17" borderId="6" xfId="0" applyAlignment="1">
      <x:alignment horizontal="center" vertical="bottom"/>
    </x:xf>
    <x:xf numFmtId="0" fontId="0" fillId="4" borderId="83" xfId="0" applyAlignment="1">
      <x:alignment vertical="bottom"/>
    </x:xf>
    <x:xf numFmtId="1" fontId="1" fillId="18" borderId="84" xfId="0" applyAlignment="1">
      <x:alignment horizontal="center" vertical="bottom"/>
    </x:xf>
    <x:xf numFmtId="49" fontId="1" fillId="4" borderId="85" xfId="0" applyAlignment="1">
      <x:alignment vertical="bottom"/>
    </x:xf>
    <x:xf numFmtId="1" fontId="1" fillId="4" borderId="22" xfId="0" applyAlignment="1">
      <x:alignment vertical="bottom"/>
    </x:xf>
    <x:xf numFmtId="1" fontId="27" fillId="4" borderId="25" xfId="0" applyAlignment="1">
      <x:alignment horizontal="center" vertical="bottom"/>
    </x:xf>
    <x:xf numFmtId="0" fontId="0" fillId="4" borderId="86" xfId="0" applyAlignment="1">
      <x:alignment vertical="bottom"/>
    </x:xf>
    <x:xf numFmtId="9" fontId="26" fillId="19" borderId="18" xfId="0" applyAlignment="1">
      <x:alignment horizontal="center" vertical="bottom"/>
    </x:xf>
    <x:xf numFmtId="9" fontId="26" fillId="19" borderId="6" xfId="0" applyAlignment="1">
      <x:alignment horizontal="center" vertical="bottom"/>
    </x:xf>
    <x:xf numFmtId="0" fontId="0" fillId="4" borderId="2" xfId="0" applyAlignment="1">
      <x:alignment vertical="bottom"/>
    </x:xf>
    <x:xf numFmtId="200" fontId="28" fillId="4" borderId="5" xfId="0" applyAlignment="1">
      <x:alignment vertical="bottom"/>
    </x:xf>
    <x:xf numFmtId="0" fontId="0" fillId="4" borderId="3" xfId="0" applyAlignment="1">
      <x:alignment vertical="bottom"/>
    </x:xf>
    <x:xf numFmtId="200" fontId="1" fillId="4" borderId="23" xfId="0" applyAlignment="1">
      <x:alignment vertical="bottom"/>
    </x:xf>
    <x:xf numFmtId="1" fontId="26" fillId="20" borderId="46" xfId="0" applyAlignment="1">
      <x:alignment vertical="bottom"/>
    </x:xf>
    <x:xf numFmtId="49" fontId="1" fillId="21" borderId="87" xfId="0" applyAlignment="1">
      <x:alignment horizontal="center" vertical="bottom"/>
    </x:xf>
    <x:xf numFmtId="1" fontId="1" fillId="20" borderId="88" xfId="0" applyAlignment="1">
      <x:alignment horizontal="center" vertical="bottom"/>
    </x:xf>
    <x:xf numFmtId="1" fontId="1" fillId="20" borderId="6" xfId="0" applyAlignment="1">
      <x:alignment horizontal="center" vertical="bottom"/>
    </x:xf>
    <x:xf numFmtId="1" fontId="26" fillId="20" borderId="6" xfId="0" applyAlignment="1">
      <x:alignment horizontal="center" vertical="bottom"/>
    </x:xf>
    <x:xf numFmtId="1" fontId="26" fillId="22" borderId="6" xfId="0" applyAlignment="1">
      <x:alignment horizontal="center" vertical="bottom"/>
    </x:xf>
    <x:xf numFmtId="49" fontId="0" fillId="20" borderId="6" xfId="0" applyAlignment="1">
      <x:alignment horizontal="center" vertical="bottom"/>
    </x:xf>
    <x:xf numFmtId="0" fontId="0" fillId="4" borderId="26" xfId="0" applyAlignment="1">
      <x:alignment vertical="bottom"/>
    </x:xf>
    <x:xf numFmtId="0" fontId="0" fillId="4" borderId="28" xfId="0" applyAlignment="1">
      <x:alignment vertical="bottom"/>
    </x:xf>
    <x:xf numFmtId="1" fontId="27" fillId="4" borderId="89" xfId="0" applyAlignment="1">
      <x:alignment horizontal="center" vertical="bottom"/>
    </x:xf>
    <x:xf numFmtId="49" fontId="27" fillId="17" borderId="84" xfId="0" applyAlignment="1">
      <x:alignment horizontal="center" vertical="bottom"/>
    </x:xf>
    <x:xf numFmtId="49" fontId="27" fillId="17" borderId="90" xfId="0" applyAlignment="1">
      <x:alignment horizontal="center" vertical="bottom"/>
    </x:xf>
    <x:xf numFmtId="1" fontId="27" fillId="22" borderId="6" xfId="0" applyAlignment="1">
      <x:alignment vertical="bottom"/>
    </x:xf>
    <x:xf numFmtId="49" fontId="27" fillId="4" borderId="21" xfId="0" applyAlignment="1">
      <x:alignment horizontal="center" vertical="bottom"/>
    </x:xf>
    <x:xf numFmtId="49" fontId="27" fillId="4" borderId="25" xfId="0" applyAlignment="1">
      <x:alignment horizontal="center" vertical="bottom"/>
    </x:xf>
    <x:xf numFmtId="49" fontId="26" fillId="4" borderId="22" xfId="0" applyAlignment="1">
      <x:alignment horizontal="center" vertical="bottom"/>
    </x:xf>
    <x:xf numFmtId="0" fontId="0" fillId="4" borderId="27" xfId="0" applyAlignment="1">
      <x:alignment vertical="bottom"/>
    </x:xf>
    <x:xf numFmtId="49" fontId="27" fillId="23" borderId="6" xfId="0" applyAlignment="1">
      <x:alignment vertical="bottom" wrapText="1"/>
    </x:xf>
    <x:xf numFmtId="1" fontId="29" fillId="4" borderId="26" xfId="0" applyAlignment="1">
      <x:alignment horizontal="center" vertical="bottom"/>
    </x:xf>
    <x:xf numFmtId="200" fontId="29" fillId="4" borderId="86" xfId="0" applyAlignment="1">
      <x:alignment vertical="bottom"/>
    </x:xf>
    <x:xf numFmtId="200" fontId="29" fillId="4" borderId="25" xfId="0" applyAlignment="1">
      <x:alignment horizontal="center" vertical="bottom"/>
    </x:xf>
    <x:xf numFmtId="200" fontId="29" fillId="4" borderId="19" xfId="0" applyAlignment="1">
      <x:alignment horizontal="center" vertical="bottom"/>
    </x:xf>
    <x:xf numFmtId="200" fontId="29" fillId="22" borderId="6" xfId="0" applyAlignment="1">
      <x:alignment horizontal="center" vertical="bottom"/>
    </x:xf>
    <x:xf numFmtId="200" fontId="27" fillId="4" borderId="26" xfId="0" applyAlignment="1">
      <x:alignment horizontal="center" vertical="bottom"/>
    </x:xf>
    <x:xf numFmtId="200" fontId="27" fillId="4" borderId="22" xfId="0" applyAlignment="1">
      <x:alignment horizontal="center" vertical="bottom"/>
    </x:xf>
    <x:xf numFmtId="1" fontId="29" fillId="4" borderId="22" xfId="0" applyAlignment="1">
      <x:alignment horizontal="center" vertical="bottom"/>
    </x:xf>
    <x:xf numFmtId="1" fontId="29" fillId="0" borderId="22" xfId="0" applyAlignment="1">
      <x:alignment vertical="bottom"/>
    </x:xf>
    <x:xf numFmtId="1" fontId="26" fillId="4" borderId="27" xfId="0" applyAlignment="1">
      <x:alignment vertical="bottom"/>
    </x:xf>
    <x:xf numFmtId="49" fontId="27" fillId="23" borderId="6" xfId="0" applyAlignment="1">
      <x:alignment vertical="bottom"/>
    </x:xf>
    <x:xf numFmtId="1" fontId="27" fillId="4" borderId="26" xfId="0" applyAlignment="1">
      <x:alignment horizontal="center" vertical="bottom"/>
    </x:xf>
    <x:xf numFmtId="200" fontId="27" fillId="4" borderId="22" xfId="0" applyAlignment="1">
      <x:alignment vertical="bottom"/>
    </x:xf>
    <x:xf numFmtId="200" fontId="27" fillId="4" borderId="27" xfId="0" applyAlignment="1">
      <x:alignment horizontal="center" vertical="bottom"/>
    </x:xf>
    <x:xf numFmtId="200" fontId="27" fillId="22" borderId="6" xfId="0" applyAlignment="1">
      <x:alignment horizontal="center" vertical="bottom"/>
    </x:xf>
    <x:xf numFmtId="1" fontId="27" fillId="4" borderId="22" xfId="0" applyAlignment="1">
      <x:alignment vertical="bottom"/>
    </x:xf>
    <x:xf numFmtId="1" fontId="27" fillId="0" borderId="22" xfId="0" applyAlignment="1">
      <x:alignment vertical="bottom"/>
    </x:xf>
    <x:xf numFmtId="49" fontId="30" fillId="4" borderId="22" xfId="0" applyAlignment="1">
      <x:alignment horizontal="center" vertical="bottom"/>
    </x:xf>
    <x:xf numFmtId="0" fontId="0" fillId="4" borderId="1" xfId="0" applyAlignment="1">
      <x:alignment vertical="bottom"/>
    </x:xf>
    <x:xf numFmtId="49" fontId="27" fillId="24" borderId="6" xfId="0" applyAlignment="1">
      <x:alignment vertical="bottom"/>
    </x:xf>
    <x:xf numFmtId="200" fontId="27" fillId="4" borderId="23" xfId="0" applyAlignment="1">
      <x:alignment vertical="bottom"/>
    </x:xf>
    <x:xf numFmtId="200" fontId="29" fillId="4" borderId="1" xfId="0" applyAlignment="1">
      <x:alignment horizontal="center" vertical="bottom"/>
    </x:xf>
    <x:xf numFmtId="1" fontId="29" fillId="4" borderId="22" xfId="0" applyAlignment="1">
      <x:alignment vertical="bottom"/>
    </x:xf>
    <x:xf numFmtId="9" fontId="1" fillId="19" borderId="18" xfId="0" applyAlignment="1">
      <x:alignment horizontal="center" vertical="bottom"/>
    </x:xf>
    <x:xf numFmtId="9" fontId="1" fillId="19" borderId="6" xfId="0" applyAlignment="1">
      <x:alignment horizontal="center" vertical="bottom"/>
    </x:xf>
    <x:xf numFmtId="49" fontId="1" fillId="4" borderId="24" xfId="0" applyAlignment="1">
      <x:alignment horizontal="center" vertical="bottom"/>
    </x:xf>
    <x:xf numFmtId="9" fontId="1" fillId="18" borderId="6" xfId="0" applyAlignment="1">
      <x:alignment horizontal="center" vertical="bottom"/>
    </x:xf>
    <x:xf numFmtId="49" fontId="27" fillId="18" borderId="6" xfId="0" applyAlignment="1">
      <x:alignment vertical="bottom"/>
    </x:xf>
    <x:xf numFmtId="1" fontId="27" fillId="4" borderId="24" xfId="0" applyAlignment="1">
      <x:alignment horizontal="center" vertical="bottom"/>
    </x:xf>
    <x:xf numFmtId="200" fontId="27" fillId="18" borderId="6" xfId="0" applyAlignment="1">
      <x:alignment vertical="bottom"/>
    </x:xf>
    <x:xf numFmtId="200" fontId="27" fillId="4" borderId="2" xfId="0" applyAlignment="1">
      <x:alignment horizontal="center" vertical="bottom"/>
    </x:xf>
    <x:xf numFmtId="200" fontId="29" fillId="18" borderId="6" xfId="0" applyAlignment="1">
      <x:alignment horizontal="center" vertical="bottom"/>
    </x:xf>
    <x:xf numFmtId="200" fontId="26" fillId="4" borderId="25" xfId="0" applyAlignment="1">
      <x:alignment vertical="bottom"/>
    </x:xf>
    <x:xf numFmtId="200" fontId="26" fillId="4" borderId="19" xfId="0" applyAlignment="1">
      <x:alignment vertical="bottom"/>
    </x:xf>
    <x:xf numFmtId="200" fontId="27" fillId="4" borderId="19" xfId="0" applyAlignment="1">
      <x:alignment horizontal="center" vertical="bottom"/>
    </x:xf>
    <x:xf numFmtId="200" fontId="27" fillId="17" borderId="6" xfId="0" applyAlignment="1">
      <x:alignment horizontal="center" vertical="bottom"/>
    </x:xf>
    <x:xf numFmtId="200" fontId="27" fillId="4" borderId="20" xfId="0" applyAlignment="1">
      <x:alignment horizontal="center" vertical="bottom"/>
    </x:xf>
    <x:xf numFmtId="49" fontId="27" fillId="4" borderId="28" xfId="0" applyAlignment="1">
      <x:alignment vertical="bottom"/>
    </x:xf>
    <x:xf numFmtId="1" fontId="27" fillId="4" borderId="22" xfId="0" applyAlignment="1">
      <x:alignment horizontal="center" vertical="bottom"/>
    </x:xf>
    <x:xf numFmtId="200" fontId="27" fillId="4" borderId="25" xfId="0" applyAlignment="1">
      <x:alignment horizontal="center" vertical="bottom"/>
    </x:xf>
    <x:xf numFmtId="49" fontId="27" fillId="4" borderId="25" xfId="0" applyAlignment="1">
      <x:alignment vertical="bottom"/>
    </x:xf>
    <x:xf numFmtId="49" fontId="27" fillId="4" borderId="23" xfId="0" applyAlignment="1">
      <x:alignment vertical="bottom"/>
    </x:xf>
    <x:xf numFmtId="1" fontId="27" fillId="4" borderId="3" xfId="0" applyAlignment="1">
      <x:alignment horizontal="center" vertical="bottom"/>
    </x:xf>
    <x:xf numFmtId="1" fontId="27" fillId="4" borderId="22" xfId="0" applyAlignment="1">
      <x:alignment vertical="center"/>
    </x:xf>
    <x:xf numFmtId="1" fontId="29" fillId="18" borderId="6" xfId="0" applyAlignment="1">
      <x:alignment horizontal="center" vertical="bottom"/>
    </x:xf>
    <x:xf numFmtId="200" fontId="27" fillId="4" borderId="26" xfId="0" applyAlignment="1">
      <x:alignment vertical="bottom"/>
    </x:xf>
    <x:xf numFmtId="200" fontId="29" fillId="4" borderId="27" xfId="0" applyAlignment="1">
      <x:alignment horizontal="center" vertical="bottom"/>
    </x:xf>
    <x:xf numFmtId="200" fontId="29" fillId="4" borderId="26" xfId="0" applyAlignment="1">
      <x:alignment horizontal="center" vertical="bottom"/>
    </x:xf>
    <x:xf numFmtId="200" fontId="29" fillId="4" borderId="22" xfId="0" applyAlignment="1">
      <x:alignment horizontal="center" vertical="bottom"/>
    </x:xf>
    <x:xf numFmtId="1" fontId="29" fillId="4" borderId="22" xfId="0" applyAlignment="1">
      <x:alignment vertical="center"/>
    </x:xf>
    <x:xf numFmtId="1" fontId="27" fillId="4" borderId="28" xfId="0" applyAlignment="1">
      <x:alignment horizontal="center" vertical="bottom"/>
    </x:xf>
    <x:xf numFmtId="1" fontId="27" fillId="18" borderId="6" xfId="0" applyAlignment="1">
      <x:alignment horizontal="center" vertical="bottom"/>
    </x:xf>
    <x:xf numFmtId="4" fontId="26" fillId="4" borderId="22" xfId="0" applyAlignment="1">
      <x:alignment vertical="bottom"/>
    </x:xf>
    <x:xf numFmtId="178" fontId="26" fillId="4" borderId="22" xfId="0" applyAlignment="1">
      <x:alignment vertical="bottom"/>
    </x:xf>
    <x:xf numFmtId="1" fontId="27" fillId="4" borderId="21" xfId="0" applyAlignment="1">
      <x:alignment horizontal="center" vertical="bottom"/>
    </x:xf>
    <x:xf numFmtId="49" fontId="27" fillId="4" borderId="22" xfId="0" applyAlignment="1">
      <x:alignment horizontal="center" vertical="bottom"/>
    </x:xf>
    <x:xf numFmtId="200" fontId="27" fillId="4" borderId="3" xfId="0" applyAlignment="1">
      <x:alignment horizontal="center" vertical="bottom"/>
    </x:xf>
    <x:xf numFmtId="200" fontId="27" fillId="4" borderId="23" xfId="0" applyAlignment="1">
      <x:alignment horizontal="center" vertical="bottom"/>
    </x:xf>
    <x:xf numFmtId="49" fontId="27" fillId="4" borderId="26" xfId="0" applyAlignment="1">
      <x:alignment horizontal="center" vertical="bottom"/>
    </x:xf>
    <x:xf numFmtId="200" fontId="27" fillId="7" borderId="6" xfId="0" applyAlignment="1">
      <x:alignment horizontal="center" vertical="bottom"/>
    </x:xf>
    <x:xf numFmtId="200" fontId="27" fillId="4" borderId="24" xfId="0" applyAlignment="1">
      <x:alignment horizontal="center" vertical="bottom"/>
    </x:xf>
    <x:xf numFmtId="49" fontId="27" fillId="4" borderId="22" xfId="0" applyAlignment="1">
      <x:alignment vertical="bottom"/>
    </x:xf>
    <x:xf numFmtId="200" fontId="29" fillId="4" borderId="22" xfId="0" applyAlignment="1">
      <x:alignment vertical="bottom"/>
    </x:xf>
    <x:xf numFmtId="1" fontId="27" fillId="4" borderId="22" xfId="0" applyAlignment="1">
      <x:alignment vertical="bottom" wrapText="1"/>
    </x:xf>
    <x:xf numFmtId="200" fontId="27" fillId="4" borderId="21" xfId="0" applyAlignment="1">
      <x:alignment horizontal="center" vertical="bottom"/>
    </x:xf>
    <x:xf numFmtId="1" fontId="26" fillId="4" borderId="22" xfId="0" applyAlignment="1">
      <x:alignment vertical="bottom"/>
    </x:xf>
    <x:xf numFmtId="10" fontId="26" fillId="4" borderId="22" xfId="0" applyAlignment="1">
      <x:alignment vertical="bottom"/>
    </x:xf>
    <x:xf numFmtId="200" fontId="0" fillId="4" borderId="23" xfId="0" applyAlignment="1">
      <x:alignment vertical="bottom"/>
    </x:xf>
    <x:xf numFmtId="49" fontId="26" fillId="4" borderId="22" xfId="0" applyAlignment="1">
      <x:alignment vertical="bottom"/>
    </x:xf>
    <x:xf numFmtId="9" fontId="26" fillId="4" borderId="22" xfId="0" applyAlignment="1">
      <x:alignment horizontal="center" vertical="bottom"/>
    </x:xf>
    <x:xf numFmtId="49" fontId="0" fillId="4" borderId="27" xfId="0" applyAlignment="1">
      <x:alignment vertical="bottom"/>
    </x:xf>
    <x:xf numFmtId="200" fontId="0" fillId="19" borderId="6" xfId="0" applyAlignment="1">
      <x:alignment vertical="bottom"/>
    </x:xf>
    <x:xf numFmtId="178" fontId="30" fillId="4" borderId="22" xfId="0" applyAlignment="1">
      <x:alignment vertical="bottom"/>
    </x:xf>
    <x:xf numFmtId="200" fontId="27" fillId="4" borderId="91" xfId="0" applyAlignment="1">
      <x:alignment vertical="bottom"/>
    </x:xf>
    <x:xf numFmtId="10" fontId="26" fillId="4" borderId="91" xfId="0" applyAlignment="1">
      <x:alignment horizontal="center" vertical="bottom"/>
    </x:xf>
    <x:xf numFmtId="200" fontId="27" fillId="4" borderId="92" xfId="0" applyAlignment="1">
      <x:alignment vertical="bottom"/>
    </x:xf>
    <x:xf numFmtId="10" fontId="26" fillId="4" borderId="92" xfId="0" applyAlignment="1">
      <x:alignment horizontal="center" vertical="bottom"/>
    </x:xf>
    <x:xf numFmtId="200" fontId="26" fillId="4" borderId="22" xfId="0" applyAlignment="1">
      <x:alignment vertical="bottom"/>
    </x:xf>
    <x:xf numFmtId="9" fontId="26" fillId="4" borderId="22" xfId="0" applyAlignment="1">
      <x:alignment vertical="bottom"/>
    </x:xf>
    <x:xf numFmtId="49" fontId="27" fillId="4" borderId="91" xfId="0" applyAlignment="1">
      <x:alignment vertical="bottom"/>
    </x:xf>
    <x:xf numFmtId="49" fontId="27" fillId="4" borderId="92" xfId="0" applyAlignment="1">
      <x:alignment vertical="bottom"/>
    </x:xf>
    <x:xf numFmtId="200" fontId="27" fillId="4" borderId="93" xfId="0" applyAlignment="1">
      <x:alignment vertical="bottom"/>
    </x:xf>
    <x:xf numFmtId="10" fontId="26" fillId="25" borderId="39" xfId="0" applyAlignment="1">
      <x:alignment horizontal="center" vertical="bottom"/>
    </x:xf>
    <x:xf numFmtId="49" fontId="26" fillId="4" borderId="23" xfId="0" applyAlignment="1">
      <x:alignment vertical="bottom"/>
    </x:xf>
    <x:xf numFmtId="10" fontId="26" fillId="4" borderId="23" xfId="0" applyAlignment="1">
      <x:alignment horizontal="center" vertical="bottom"/>
    </x:xf>
    <x:xf numFmtId="10" fontId="26" fillId="4" borderId="22" xfId="0" applyAlignment="1">
      <x:alignment horizontal="center" vertical="bottom"/>
    </x:xf>
    <x:xf numFmtId="201" fontId="26" fillId="4" borderId="22" xfId="0" applyAlignment="1">
      <x:alignment vertical="bottom"/>
    </x:xf>
    <x:xf numFmtId="49" fontId="0" fillId="23" borderId="6" xfId="0" applyAlignment="1">
      <x:alignment vertical="bottom"/>
    </x:xf>
    <x:xf numFmtId="0" fontId="0" fillId="4" borderId="24" xfId="0" applyAlignment="1">
      <x:alignment vertical="bottom"/>
    </x:xf>
    <x:xf numFmtId="200" fontId="27" fillId="19" borderId="6" xfId="0" applyAlignment="1">
      <x:alignment vertical="bottom"/>
    </x:xf>
    <x:xf numFmtId="200" fontId="27" fillId="19" borderId="6" xfId="0" applyAlignment="1">
      <x:alignment horizontal="center" vertical="bottom"/>
    </x:xf>
    <x:xf numFmtId="176" fontId="30" fillId="4" borderId="22" xfId="0" applyAlignment="1">
      <x:alignment vertical="bottom"/>
    </x:xf>
    <x:xf numFmtId="49" fontId="1" fillId="4" borderId="25" xfId="0" applyAlignment="1">
      <x:alignment vertical="bottom"/>
    </x:xf>
    <x:xf numFmtId="49" fontId="1" fillId="4" borderId="22" xfId="0" applyAlignment="1">
      <x:alignment vertical="bottom"/>
    </x:xf>
    <x:xf numFmtId="0" fontId="26" fillId="4" borderId="23" xfId="0" applyAlignment="1">
      <x:alignment vertical="bottom"/>
    </x:xf>
    <x:xf numFmtId="49" fontId="1" fillId="4" borderId="27" xfId="0" applyAlignment="1">
      <x:alignment vertical="bottom"/>
    </x:xf>
    <x:xf numFmtId="1" fontId="26" fillId="24" borderId="6" xfId="0" applyAlignment="1">
      <x:alignment horizontal="center" vertical="bottom"/>
    </x:xf>
    <x:xf numFmtId="49" fontId="26" fillId="4" borderId="25" xfId="0" applyAlignment="1">
      <x:alignment horizontal="center" vertical="bottom"/>
    </x:xf>
    <x:xf numFmtId="1" fontId="26" fillId="4" borderId="22" xfId="0" applyAlignment="1">
      <x:alignment horizontal="center" vertical="bottom"/>
    </x:xf>
    <x:xf numFmtId="49" fontId="1" fillId="4" borderId="22" xfId="0" applyAlignment="1">
      <x:alignment horizontal="left" vertical="center"/>
    </x:xf>
    <x:xf numFmtId="178" fontId="26" fillId="4" borderId="22" xfId="0" applyAlignment="1">
      <x:alignment horizontal="center" vertical="bottom"/>
    </x:xf>
    <x:xf numFmtId="201" fontId="30" fillId="4" borderId="22" xfId="0" applyAlignment="1">
      <x:alignment vertical="bottom"/>
    </x:xf>
    <x:xf numFmtId="49" fontId="1" fillId="4" borderId="91" xfId="0" applyAlignment="1">
      <x:alignment horizontal="left" vertical="center"/>
    </x:xf>
    <x:xf numFmtId="178" fontId="26" fillId="4" borderId="91" xfId="0" applyAlignment="1">
      <x:alignment horizontal="center" vertical="bottom"/>
    </x:xf>
    <x:xf numFmtId="49" fontId="26" fillId="4" borderId="54" xfId="0" applyAlignment="1">
      <x:alignment horizontal="center" vertical="bottom"/>
    </x:xf>
    <x:xf numFmtId="178" fontId="26" fillId="17" borderId="39" xfId="0" applyAlignment="1">
      <x:alignment horizontal="center" vertical="center"/>
    </x:xf>
    <x:xf numFmtId="178" fontId="26" fillId="4" borderId="94" xfId="0" applyAlignment="1">
      <x:alignment horizontal="center" vertical="bottom"/>
    </x:xf>
    <x:xf numFmtId="10" fontId="1" fillId="4" borderId="92" xfId="0" applyAlignment="1">
      <x:alignment horizontal="center" vertical="center"/>
    </x:xf>
    <x:xf numFmtId="10" fontId="1" fillId="4" borderId="22" xfId="0" applyAlignment="1">
      <x:alignment horizontal="center" vertical="center"/>
    </x:xf>
    <x:xf numFmtId="10" fontId="26" fillId="4" borderId="95" xfId="0" applyAlignment="1">
      <x:alignment horizontal="center" vertical="bottom"/>
    </x:xf>
    <x:xf numFmtId="49" fontId="26" fillId="4" borderId="25" xfId="0" applyAlignment="1">
      <x:alignment vertical="bottom"/>
    </x:xf>
    <x:xf numFmtId="1" fontId="1" fillId="4" borderId="22" xfId="0" applyAlignment="1">
      <x:alignment horizontal="center" vertical="center"/>
    </x:xf>
    <x:xf numFmtId="0" fontId="0" fillId="4" borderId="92" xfId="0" applyAlignment="1">
      <x:alignment vertical="bottom"/>
    </x:xf>
    <x:xf numFmtId="49" fontId="26" fillId="4" borderId="96" xfId="0" applyAlignment="1">
      <x:alignment vertical="bottom"/>
    </x:xf>
    <x:xf numFmtId="1" fontId="26" fillId="18" borderId="97" xfId="0" applyAlignment="1">
      <x:alignment vertical="bottom"/>
    </x:xf>
    <x:xf numFmtId="49" fontId="26" fillId="18" borderId="98" xfId="0" applyAlignment="1">
      <x:alignment vertical="bottom"/>
    </x:xf>
    <x:xf numFmtId="0" fontId="0" fillId="4" borderId="85" xfId="0" applyAlignment="1">
      <x:alignment vertical="bottom"/>
    </x:xf>
    <x:xf numFmtId="49" fontId="26" fillId="4" borderId="91" xfId="0" applyAlignment="1">
      <x:alignment vertical="bottom"/>
    </x:xf>
    <x:xf numFmtId="0" fontId="0" fillId="4" borderId="99" xfId="0" applyAlignment="1">
      <x:alignment vertical="bottom"/>
    </x:xf>
    <x:xf numFmtId="0" fontId="0" fillId="4" borderId="100" xfId="0" applyAlignment="1">
      <x:alignment vertical="bottom"/>
    </x:xf>
    <x:xf numFmtId="49" fontId="26" fillId="4" borderId="87" xfId="0" applyAlignment="1">
      <x:alignment vertical="bottom"/>
    </x:xf>
    <x:xf numFmtId="10" fontId="26" fillId="4" borderId="87" xfId="0" applyAlignment="1">
      <x:alignment vertical="bottom"/>
    </x:xf>
    <x:xf numFmtId="0" fontId="0" fillId="4" borderId="101" xfId="0" applyAlignment="1">
      <x:alignment vertical="bottom"/>
    </x:xf>
    <x:xf numFmtId="9" fontId="26" fillId="4" borderId="87" xfId="0" applyAlignment="1">
      <x:alignment vertical="bottom"/>
    </x:xf>
    <x:xf numFmtId="201" fontId="26" fillId="4" borderId="87" xfId="0" applyAlignment="1">
      <x:alignment vertical="bottom"/>
    </x:xf>
    <x:xf numFmtId="49" fontId="26" fillId="0" borderId="87" xfId="0" applyAlignment="1">
      <x:alignment vertical="bottom"/>
    </x:xf>
    <x:xf numFmtId="1" fontId="26" fillId="22" borderId="6" xfId="0" applyAlignment="1">
      <x:alignment vertical="bottom"/>
    </x:xf>
    <x:xf numFmtId="201" fontId="26" fillId="4" borderId="26" xfId="0" applyAlignment="1">
      <x:alignment vertical="bottom"/>
    </x:xf>
    <x:xf numFmtId="0" fontId="0" fillId="4" borderId="91" xfId="0" applyAlignment="1">
      <x:alignment vertical="bottom"/>
    </x:xf>
    <x:xf numFmtId="1" fontId="26" fillId="17" borderId="84" xfId="0" applyAlignment="1">
      <x:alignment horizontal="center" vertical="bottom"/>
    </x:xf>
    <x:xf numFmtId="49" fontId="30" fillId="4" borderId="87" xfId="0" applyAlignment="1">
      <x:alignment vertical="bottom"/>
    </x:xf>
    <x:xf numFmtId="201" fontId="30" fillId="4" borderId="87" xfId="0" applyAlignment="1">
      <x:alignment vertical="bottom"/>
    </x:xf>
    <x:xf numFmtId="49" fontId="30" fillId="4" borderId="87" xfId="0" applyAlignment="1">
      <x:alignment horizontal="center" vertical="bottom"/>
    </x:xf>
    <x:xf numFmtId="201" fontId="30" fillId="4" borderId="87" xfId="0" applyAlignment="1">
      <x:alignment horizontal="center" vertical="bottom"/>
    </x:xf>
    <x:xf numFmtId="1" fontId="30" fillId="4" borderId="87" xfId="0" applyAlignment="1">
      <x:alignment vertical="bottom"/>
    </x:xf>
    <x:xf numFmtId="1" fontId="30" fillId="4" borderId="87" xfId="0" applyAlignment="1">
      <x:alignment horizontal="center" vertical="bottom"/>
    </x:xf>
    <x:xf numFmtId="1" fontId="26" fillId="4" borderId="101" xfId="0" applyAlignment="1">
      <x:alignment vertical="bottom"/>
    </x:xf>
    <x:xf numFmtId="176" fontId="26" fillId="4" borderId="22" xfId="0" applyAlignment="1">
      <x:alignment vertical="bottom"/>
    </x:xf>
    <x:xf numFmtId="3" fontId="26" fillId="4" borderId="22" xfId="0" applyAlignment="1">
      <x:alignment vertical="bottom"/>
    </x:xf>
    <x:xf numFmtId="3" fontId="30" fillId="4" borderId="87" xfId="0" applyAlignment="1">
      <x:alignment vertical="bottom"/>
    </x:xf>
    <x:xf numFmtId="9" fontId="26" fillId="4" borderId="101" xfId="0" applyAlignment="1">
      <x:alignment vertical="bottom"/>
    </x:xf>
    <x:xf numFmtId="201" fontId="26" fillId="4" borderId="87" xfId="0" applyAlignment="1">
      <x:alignment horizontal="center" vertical="bottom"/>
    </x:xf>
    <x:xf numFmtId="1" fontId="26" fillId="4" borderId="102" xfId="0" applyAlignment="1">
      <x:alignment vertical="bottom"/>
    </x:xf>
    <x:xf numFmtId="201" fontId="26" fillId="4" borderId="92" xfId="0" applyAlignment="1">
      <x:alignment vertical="bottom"/>
    </x:xf>
    <x:xf numFmtId="201" fontId="26" fillId="4" borderId="92" xfId="0" applyAlignment="1">
      <x:alignment horizontal="center" vertical="bottom"/>
    </x:xf>
    <x:xf numFmtId="201" fontId="26" fillId="4" borderId="82" xfId="0" applyAlignment="1">
      <x:alignment vertical="bottom"/>
    </x:xf>
    <x:xf numFmtId="201" fontId="26" fillId="4" borderId="86" xfId="0" applyAlignment="1">
      <x:alignment vertical="bottom"/>
    </x:xf>
    <x:xf numFmtId="0" fontId="0" fillId="0" borderId="0" xfId="0" applyAlignment="1">
      <x:alignment vertical="bottom"/>
    </x:xf>
    <x:xf numFmtId="49" fontId="7" fillId="4" borderId="96" xfId="0" applyAlignment="1">
      <x:alignment horizontal="center" vertical="bottom"/>
    </x:xf>
    <x:xf numFmtId="49" fontId="7" fillId="23" borderId="84" xfId="0" applyAlignment="1">
      <x:alignment horizontal="center" vertical="bottom"/>
    </x:xf>
    <x:xf numFmtId="1" fontId="7" fillId="23" borderId="84" xfId="0" applyAlignment="1">
      <x:alignment horizontal="center" vertical="bottom"/>
    </x:xf>
    <x:xf numFmtId="1" fontId="7" fillId="4" borderId="86" xfId="0" applyAlignment="1">
      <x:alignment vertical="bottom"/>
    </x:xf>
    <x:xf numFmtId="1" fontId="7" fillId="4" borderId="23" xfId="0" applyAlignment="1">
      <x:alignment horizontal="center" vertical="bottom"/>
    </x:xf>
    <x:xf numFmtId="1" fontId="7" fillId="22" borderId="103" xfId="0" applyAlignment="1">
      <x:alignment horizontal="center" vertical="bottom"/>
    </x:xf>
    <x:xf numFmtId="1" fontId="7" fillId="22" borderId="6" xfId="0" applyAlignment="1">
      <x:alignment horizontal="center" vertical="bottom"/>
    </x:xf>
    <x:xf numFmtId="1" fontId="7" fillId="22" borderId="6" xfId="0" applyAlignment="1">
      <x:alignment vertical="bottom"/>
    </x:xf>
    <x:xf numFmtId="0" fontId="0" fillId="4" borderId="96" xfId="0" applyAlignment="1">
      <x:alignment vertical="bottom"/>
    </x:xf>
    <x:xf numFmtId="186" fontId="7" fillId="4" borderId="84" xfId="0" applyAlignment="1">
      <x:alignment horizontal="center" vertical="bottom"/>
    </x:xf>
    <x:xf numFmtId="186" fontId="7" fillId="4" borderId="104" xfId="0" applyAlignment="1">
      <x:alignment horizontal="center" vertical="bottom"/>
    </x:xf>
    <x:xf numFmtId="178" fontId="7" fillId="4" borderId="22" xfId="0" applyAlignment="1">
      <x:alignment vertical="bottom"/>
    </x:xf>
    <x:xf numFmtId="9" fontId="7" fillId="4" borderId="22" xfId="0" applyAlignment="1">
      <x:alignment vertical="bottom"/>
    </x:xf>
    <x:xf numFmtId="49" fontId="7" fillId="4" borderId="96" xfId="0" applyAlignment="1">
      <x:alignment vertical="bottom"/>
    </x:xf>
    <x:xf numFmtId="9" fontId="7" fillId="24" borderId="84" xfId="0" applyAlignment="1">
      <x:alignment horizontal="center" vertical="bottom"/>
    </x:xf>
    <x:xf numFmtId="186" fontId="7" fillId="4" borderId="85" xfId="0" applyAlignment="1">
      <x:alignment horizontal="center" vertical="bottom"/>
    </x:xf>
    <x:xf numFmtId="9" fontId="7" fillId="24" borderId="105" xfId="0" applyAlignment="1">
      <x:alignment horizontal="center" vertical="bottom"/>
    </x:xf>
    <x:xf numFmtId="186" fontId="7" fillId="4" borderId="105" xfId="0" applyAlignment="1">
      <x:alignment horizontal="center" vertical="bottom"/>
    </x:xf>
    <x:xf numFmtId="9" fontId="7" fillId="4" borderId="106" xfId="0" applyAlignment="1">
      <x:alignment horizontal="center" vertical="bottom"/>
    </x:xf>
    <x:xf numFmtId="186" fontId="7" fillId="4" borderId="106" xfId="0" applyAlignment="1">
      <x:alignment horizontal="center" vertical="bottom"/>
    </x:xf>
    <x:xf numFmtId="49" fontId="24" fillId="4" borderId="22" xfId="0" applyAlignment="1">
      <x:alignment vertical="bottom"/>
    </x:xf>
    <x:xf numFmtId="186" fontId="7" fillId="4" borderId="82" xfId="0" applyAlignment="1">
      <x:alignment horizontal="center" vertical="bottom"/>
    </x:xf>
    <x:xf numFmtId="186" fontId="7" fillId="4" borderId="23" xfId="0" applyAlignment="1">
      <x:alignment horizontal="center" vertical="bottom"/>
    </x:xf>
    <x:xf numFmtId="49" fontId="7" fillId="20" borderId="84" xfId="0" applyAlignment="1">
      <x:alignment horizontal="center" vertical="bottom"/>
    </x:xf>
    <x:xf numFmtId="1" fontId="7" fillId="20" borderId="90" xfId="0" applyAlignment="1">
      <x:alignment horizontal="center" vertical="bottom"/>
    </x:xf>
    <x:xf numFmtId="200" fontId="7" fillId="23" borderId="107" xfId="0" applyAlignment="1">
      <x:alignment horizontal="center" vertical="bottom"/>
    </x:xf>
    <x:xf numFmtId="200" fontId="7" fillId="23" borderId="90" xfId="0" applyAlignment="1">
      <x:alignment horizontal="center" vertical="bottom"/>
    </x:xf>
    <x:xf numFmtId="0" fontId="7" fillId="4" borderId="26" xfId="0" applyAlignment="1">
      <x:alignment vertical="bottom"/>
    </x:xf>
    <x:xf numFmtId="200" fontId="7" fillId="23" borderId="108" xfId="0" applyAlignment="1">
      <x:alignment horizontal="center" vertical="bottom"/>
    </x:xf>
    <x:xf numFmtId="200" fontId="7" fillId="23" borderId="109" xfId="0" applyAlignment="1">
      <x:alignment horizontal="center" vertical="bottom"/>
    </x:xf>
    <x:xf numFmtId="200" fontId="7" fillId="23" borderId="110" xfId="0" applyAlignment="1">
      <x:alignment horizontal="center" vertical="bottom"/>
    </x:xf>
    <x:xf numFmtId="0" fontId="7" fillId="4" borderId="111" xfId="0" applyAlignment="1">
      <x:alignment vertical="bottom"/>
    </x:xf>
    <x:xf numFmtId="200" fontId="7" fillId="19" borderId="112" xfId="0" applyAlignment="1">
      <x:alignment horizontal="center" vertical="bottom"/>
    </x:xf>
    <x:xf numFmtId="200" fontId="7" fillId="19" borderId="113" xfId="0" applyAlignment="1">
      <x:alignment horizontal="center" vertical="bottom"/>
    </x:xf>
    <x:xf numFmtId="49" fontId="7" fillId="4" borderId="94" xfId="0" applyAlignment="1">
      <x:alignment vertical="bottom"/>
    </x:xf>
    <x:xf numFmtId="200" fontId="7" fillId="19" borderId="114" xfId="0" applyAlignment="1">
      <x:alignment horizontal="center" vertical="bottom"/>
    </x:xf>
    <x:xf numFmtId="200" fontId="7" fillId="19" borderId="90" xfId="0" applyAlignment="1">
      <x:alignment horizontal="center" vertical="bottom"/>
    </x:xf>
    <x:xf numFmtId="49" fontId="7" fillId="4" borderId="26" xfId="0" applyAlignment="1">
      <x:alignment vertical="bottom"/>
    </x:xf>
    <x:xf numFmtId="200" fontId="7" fillId="19" borderId="84" xfId="0" applyAlignment="1">
      <x:alignment horizontal="center" vertical="bottom"/>
    </x:xf>
    <x:xf numFmtId="10" fontId="31" fillId="19" borderId="90" xfId="0" applyAlignment="1">
      <x:alignment horizontal="center" vertical="bottom"/>
    </x:xf>
    <x:xf numFmtId="0" fontId="7" fillId="4" borderId="26" xfId="0" applyAlignment="1">
      <x:alignment horizontal="left" vertical="bottom"/>
    </x:xf>
    <x:xf numFmtId="200" fontId="7" fillId="23" borderId="105" xfId="0" applyAlignment="1">
      <x:alignment horizontal="center" vertical="bottom"/>
    </x:xf>
    <x:xf numFmtId="200" fontId="7" fillId="4" borderId="22" xfId="0" applyAlignment="1">
      <x:alignment horizontal="center" vertical="bottom"/>
    </x:xf>
    <x:xf numFmtId="200" fontId="24" fillId="4" borderId="22" xfId="0" applyAlignment="1">
      <x:alignment horizontal="center" vertical="bottom"/>
    </x:xf>
    <x:xf numFmtId="1" fontId="24" fillId="4" borderId="22" xfId="0" applyAlignment="1">
      <x:alignment vertical="bottom"/>
    </x:xf>
    <x:xf numFmtId="178" fontId="7" fillId="4" borderId="82" xfId="0" applyAlignment="1">
      <x:alignment horizontal="center" vertical="bottom"/>
    </x:xf>
    <x:xf numFmtId="1" fontId="7" fillId="4" borderId="82" xfId="0" applyAlignment="1">
      <x:alignment vertical="bottom"/>
    </x:xf>
    <x:xf numFmtId="1" fontId="7" fillId="4" borderId="82" xfId="0" applyAlignment="1">
      <x:alignment horizontal="center" vertical="bottom"/>
    </x:xf>
    <x:xf numFmtId="1" fontId="7" fillId="4" borderId="84" xfId="0" applyAlignment="1">
      <x:alignment horizontal="center" vertical="bottom"/>
    </x:xf>
    <x:xf numFmtId="3" fontId="7" fillId="4" borderId="84" xfId="0" applyAlignment="1">
      <x:alignment horizontal="center" vertical="bottom"/>
    </x:xf>
    <x:xf numFmtId="3" fontId="7" fillId="4" borderId="115" xfId="0" applyAlignment="1">
      <x:alignment horizontal="center" vertical="bottom"/>
    </x:xf>
    <x:xf numFmtId="3" fontId="7" fillId="4" borderId="116" xfId="0" applyAlignment="1">
      <x:alignment horizontal="center" vertical="bottom"/>
    </x:xf>
    <x:xf numFmtId="49" fontId="7" fillId="4" borderId="117" xfId="0" applyAlignment="1">
      <x:alignment vertical="bottom"/>
    </x:xf>
    <x:xf numFmtId="0" fontId="0" fillId="4" borderId="118" xfId="0" applyAlignment="1">
      <x:alignment vertical="bottom"/>
    </x:xf>
    <x:xf numFmtId="10" fontId="7" fillId="4" borderId="119" xfId="0" applyAlignment="1">
      <x:alignment horizontal="center" vertical="bottom"/>
    </x:xf>
    <x:xf numFmtId="10" fontId="7" fillId="4" borderId="118" xfId="0" applyAlignment="1">
      <x:alignment horizontal="center" vertical="bottom"/>
    </x:xf>
    <x:xf numFmtId="10" fontId="7" fillId="4" borderId="86" xfId="0" applyAlignment="1">
      <x:alignment horizontal="center" vertical="bottom"/>
    </x:xf>
    <x:xf numFmtId="49" fontId="7" fillId="4" borderId="120" xfId="0" applyAlignment="1">
      <x:alignment vertical="bottom"/>
    </x:xf>
    <x:xf numFmtId="201" fontId="7" fillId="4" borderId="121" xfId="0" applyAlignment="1">
      <x:alignment horizontal="center" vertical="bottom"/>
    </x:xf>
    <x:xf numFmtId="201" fontId="7" fillId="4" borderId="85" xfId="0" applyAlignment="1">
      <x:alignment horizontal="center" vertical="bottom"/>
    </x:xf>
    <x:xf numFmtId="201" fontId="7" fillId="4" borderId="22" xfId="0" applyAlignment="1">
      <x:alignment horizontal="center" vertical="bottom"/>
    </x:xf>
    <x:xf numFmtId="1" fontId="7" fillId="4" borderId="96" xfId="0" applyAlignment="1">
      <x:alignment vertical="bottom"/>
    </x:xf>
    <x:xf numFmtId="178" fontId="7" fillId="4" borderId="122" xfId="0" applyAlignment="1">
      <x:alignment horizontal="center" vertical="bottom"/>
    </x:xf>
    <x:xf numFmtId="178" fontId="7" fillId="4" borderId="123" xfId="0" applyAlignment="1">
      <x:alignment horizontal="center" vertical="bottom"/>
    </x:xf>
    <x:xf numFmtId="49" fontId="7" fillId="4" borderId="124" xfId="0" applyAlignment="1">
      <x:alignment vertical="bottom"/>
    </x:xf>
    <x:xf numFmtId="1" fontId="32" fillId="0" borderId="22" xfId="0" applyAlignment="1">
      <x:alignment vertical="bottom"/>
    </x:xf>
    <x:xf numFmtId="178" fontId="7" fillId="4" borderId="84" xfId="0" applyAlignment="1">
      <x:alignment horizontal="center" vertical="bottom"/>
    </x:xf>
    <x:xf numFmtId="178" fontId="7" fillId="4" borderId="115" xfId="0" applyAlignment="1">
      <x:alignment horizontal="center" vertical="bottom"/>
    </x:xf>
    <x:xf numFmtId="178" fontId="7" fillId="4" borderId="116" xfId="0" applyAlignment="1">
      <x:alignment horizontal="center" vertical="bottom"/>
    </x:xf>
    <x:xf numFmtId="49" fontId="3" fillId="4" borderId="117" xfId="0" applyAlignment="1">
      <x:alignment vertical="bottom"/>
    </x:xf>
    <x:xf numFmtId="9" fontId="7" fillId="4" borderId="85" xfId="0" applyAlignment="1">
      <x:alignment vertical="bottom"/>
    </x:xf>
    <x:xf numFmtId="1" fontId="32" fillId="4" borderId="22" xfId="0" applyAlignment="1">
      <x:alignment vertical="bottom"/>
    </x:xf>
    <x:xf numFmtId="0" fontId="0" fillId="4" borderId="125" xfId="0" applyAlignment="1">
      <x:alignment vertical="bottom"/>
    </x:xf>
    <x:xf numFmtId="49" fontId="7" fillId="25" borderId="126" xfId="0" applyAlignment="1">
      <x:alignment horizontal="center" vertical="bottom"/>
    </x:xf>
    <x:xf numFmtId="10" fontId="7" fillId="4" borderId="84" xfId="0" applyAlignment="1">
      <x:alignment horizontal="center" vertical="bottom"/>
    </x:xf>
    <x:xf numFmtId="10" fontId="7" fillId="4" borderId="115" xfId="0" applyAlignment="1">
      <x:alignment horizontal="center" vertical="bottom"/>
    </x:xf>
    <x:xf numFmtId="10" fontId="7" fillId="4" borderId="116" xfId="0" applyAlignment="1">
      <x:alignment horizontal="center" vertical="bottom"/>
    </x:xf>
    <x:xf numFmtId="0" fontId="0" fillId="4" borderId="127" xfId="0" applyAlignment="1">
      <x:alignment vertical="bottom"/>
    </x:xf>
    <x:xf numFmtId="10" fontId="7" fillId="23" borderId="84" xfId="0" applyAlignment="1">
      <x:alignment horizontal="center" vertical="bottom"/>
    </x:xf>
    <x:xf numFmtId="0" fontId="0" fillId="4" borderId="116" xfId="0" applyAlignment="1">
      <x:alignment vertical="bottom"/>
    </x:xf>
    <x:xf numFmtId="1" fontId="3" fillId="4" borderId="116" xfId="0" applyAlignment="1">
      <x:alignment vertical="bottom"/>
    </x:xf>
    <x:xf numFmtId="49" fontId="7" fillId="26" borderId="84" xfId="0" applyAlignment="1">
      <x:alignment horizontal="center" vertical="bottom"/>
    </x:xf>
    <x:xf numFmtId="3" fontId="7" fillId="26" borderId="84" xfId="0" applyAlignment="1">
      <x:alignment horizontal="center" vertical="bottom"/>
    </x:xf>
    <x:xf numFmtId="178" fontId="7" fillId="4" borderId="86" xfId="0" applyAlignment="1">
      <x:alignment horizontal="center" vertical="bottom"/>
    </x:xf>
    <x:xf numFmtId="4" fontId="7" fillId="4" borderId="86" xfId="0" applyAlignment="1">
      <x:alignment horizontal="center" vertical="bottom"/>
    </x:xf>
    <x:xf numFmtId="49" fontId="7" fillId="4" borderId="86" xfId="0" applyAlignment="1">
      <x:alignment vertical="bottom"/>
    </x:xf>
    <x:xf numFmtId="178" fontId="7" fillId="4" borderId="22" xfId="0" applyAlignment="1">
      <x:alignment horizontal="center" vertical="bottom"/>
    </x:xf>
    <x:xf numFmtId="178" fontId="7" fillId="4" borderId="91" xfId="0" applyAlignment="1">
      <x:alignment horizontal="center" vertical="bottom"/>
    </x:xf>
    <x:xf numFmtId="49" fontId="7" fillId="4" borderId="91" xfId="0" applyAlignment="1">
      <x:alignment vertical="bottom"/>
    </x:xf>
    <x:xf numFmtId="0" fontId="0" fillId="4" borderId="128" xfId="0" applyAlignment="1">
      <x:alignment vertical="bottom"/>
    </x:xf>
    <x:xf numFmtId="49" fontId="7" fillId="4" borderId="128" xfId="0" applyAlignment="1">
      <x:alignment vertical="bottom"/>
    </x:xf>
    <x:xf numFmtId="178" fontId="7" fillId="18" borderId="103" xfId="0" applyAlignment="1">
      <x:alignment horizontal="center" vertical="bottom"/>
    </x:xf>
    <x:xf numFmtId="49" fontId="7" fillId="18" borderId="103" xfId="0" applyAlignment="1">
      <x:alignment vertical="bottom"/>
    </x:xf>
    <x:xf numFmtId="178" fontId="7" fillId="17" borderId="97" xfId="0" applyAlignment="1">
      <x:alignment horizontal="center" vertical="bottom"/>
    </x:xf>
    <x:xf numFmtId="178" fontId="7" fillId="17" borderId="129" xfId="0" applyAlignment="1">
      <x:alignment horizontal="center" vertical="bottom"/>
    </x:xf>
    <x:xf numFmtId="49" fontId="7" fillId="17" borderId="98" xfId="0" applyAlignment="1">
      <x:alignment horizontal="center" vertical="bottom"/>
    </x:xf>
    <x:xf numFmtId="1" fontId="7" fillId="4" borderId="116" xfId="0" applyAlignment="1">
      <x:alignment horizontal="center" vertical="bottom"/>
    </x:xf>
    <x:xf numFmtId="178" fontId="7" fillId="4" borderId="118" xfId="0" applyAlignment="1">
      <x:alignment horizontal="center" vertical="bottom"/>
    </x:xf>
    <x:xf numFmtId="49" fontId="7" fillId="4" borderId="86" xfId="0" applyAlignment="1">
      <x:alignment horizontal="center" vertical="bottom"/>
    </x:xf>
    <x:xf numFmtId="178" fontId="7" fillId="4" borderId="120" xfId="0" applyAlignment="1">
      <x:alignment horizontal="center" vertical="bottom"/>
    </x:xf>
    <x:xf numFmtId="1" fontId="7" fillId="4" borderId="119" xfId="0" applyAlignment="1">
      <x:alignment vertical="bottom"/>
    </x:xf>
    <x:xf numFmtId="49" fontId="7" fillId="4" borderId="130" xfId="0" applyAlignment="1">
      <x:alignment horizontal="center" vertical="bottom"/>
    </x:xf>
    <x:xf numFmtId="49" fontId="7" fillId="4" borderId="131" xfId="0" applyAlignment="1">
      <x:alignment horizontal="center" vertical="bottom"/>
    </x:xf>
    <x:xf numFmtId="1" fontId="7" fillId="4" borderId="85" xfId="0" applyAlignment="1">
      <x:alignment vertical="bottom"/>
    </x:xf>
    <x:xf numFmtId="49" fontId="7" fillId="4" borderId="22" xfId="0" applyAlignment="1">
      <x:alignment horizontal="center" vertical="bottom"/>
    </x:xf>
    <x:xf numFmtId="178" fontId="7" fillId="4" borderId="96" xfId="0" applyAlignment="1">
      <x:alignment horizontal="center" vertical="bottom"/>
    </x:xf>
    <x:xf numFmtId="178" fontId="7" fillId="4" borderId="121" xfId="0" applyAlignment="1">
      <x:alignment horizontal="center" vertical="bottom"/>
    </x:xf>
    <x:xf numFmtId="3" fontId="7" fillId="4" borderId="132" xfId="0" applyAlignment="1">
      <x:alignment horizontal="center" vertical="bottom"/>
    </x:xf>
    <x:xf numFmtId="178" fontId="7" fillId="4" borderId="89" xfId="0" applyAlignment="1">
      <x:alignment horizontal="center" vertical="bottom"/>
    </x:xf>
    <x:xf numFmtId="1" fontId="7" fillId="4" borderId="85" xfId="0" applyAlignment="1">
      <x:alignment horizontal="center" vertical="bottom"/>
    </x:xf>
    <x:xf numFmtId="49" fontId="24" fillId="4" borderId="22" xfId="0" applyAlignment="1">
      <x:alignment horizontal="center" vertical="bottom"/>
    </x:xf>
    <x:xf numFmtId="178" fontId="24" fillId="4" borderId="133" xfId="0" applyAlignment="1">
      <x:alignment horizontal="center" vertical="bottom"/>
    </x:xf>
    <x:xf numFmtId="1" fontId="24" fillId="4" borderId="134" xfId="0" applyAlignment="1">
      <x:alignment horizontal="center" vertical="bottom"/>
    </x:xf>
    <x:xf numFmtId="178" fontId="24" fillId="4" borderId="135" xfId="0" applyAlignment="1">
      <x:alignment horizontal="center" vertical="bottom"/>
    </x:xf>
    <x:xf numFmtId="1" fontId="7" fillId="4" borderId="123" xfId="0" applyAlignment="1">
      <x:alignment horizontal="center" vertical="bottom"/>
    </x:xf>
    <x:xf numFmtId="49" fontId="7" fillId="4" borderId="136" xfId="0" applyAlignment="1">
      <x:alignment horizontal="center" vertical="bottom"/>
    </x:xf>
    <x:xf numFmtId="1" fontId="7" fillId="4" borderId="132" xfId="0" applyAlignment="1">
      <x:alignment horizontal="center" vertical="bottom"/>
    </x:xf>
    <x:xf numFmtId="49" fontId="7" fillId="4" borderId="84" xfId="0" applyAlignment="1">
      <x:alignment horizontal="center" vertical="bottom"/>
    </x:xf>
    <x:xf numFmtId="4" fontId="7" fillId="4" borderId="84" xfId="0" applyAlignment="1">
      <x:alignment horizontal="center" vertical="bottom"/>
    </x:xf>
    <x:xf numFmtId="4" fontId="7" fillId="4" borderId="121" xfId="0" applyAlignment="1">
      <x:alignment horizontal="center" vertical="bottom"/>
    </x:xf>
    <x:xf numFmtId="1" fontId="7" fillId="4" borderId="121" xfId="0" applyAlignment="1">
      <x:alignment vertical="bottom"/>
    </x:xf>
    <x:xf numFmtId="4" fontId="7" fillId="4" borderId="118" xfId="0" applyAlignment="1">
      <x:alignment horizontal="center" vertical="bottom"/>
    </x:xf>
    <x:xf numFmtId="4" fontId="7" fillId="4" borderId="96" xfId="0" applyAlignment="1">
      <x:alignment horizontal="center" vertical="bottom"/>
    </x:xf>
    <x:xf numFmtId="2" fontId="7" fillId="4" borderId="96" xfId="0" applyAlignment="1">
      <x:alignment vertical="bottom"/>
    </x:xf>
    <x:xf numFmtId="4" fontId="7" fillId="4" borderId="85" xfId="0" applyAlignment="1">
      <x:alignment horizontal="center" vertical="bottom"/>
    </x:xf>
    <x:xf numFmtId="4" fontId="7" fillId="4" borderId="22" xfId="0" applyAlignment="1">
      <x:alignment horizontal="center" vertical="bottom"/>
    </x:xf>
    <x:xf numFmtId="1" fontId="7" fillId="4" borderId="123" xfId="0" applyAlignment="1">
      <x:alignment vertical="bottom"/>
    </x:xf>
    <x:xf numFmtId="1" fontId="7" fillId="4" borderId="124" xfId="0" applyAlignment="1">
      <x:alignment vertical="bottom"/>
    </x:xf>
    <x:xf numFmtId="49" fontId="7" fillId="4" borderId="123" xfId="0" applyAlignment="1">
      <x:alignment horizontal="center" vertical="bottom"/>
    </x:xf>
    <x:xf numFmtId="49" fontId="7" fillId="4" borderId="82" xfId="0" applyAlignment="1">
      <x:alignment horizontal="center" vertical="bottom"/>
    </x:xf>
    <x:xf numFmtId="1" fontId="7" fillId="4" borderId="96" xfId="0" applyAlignment="1">
      <x:alignment horizontal="center" vertical="bottom"/>
    </x:xf>
    <x:xf numFmtId="178" fontId="7" fillId="4" borderId="121" xfId="0" applyAlignment="1">
      <x:alignment horizontal="center" vertical="center"/>
    </x:xf>
    <x:xf numFmtId="49" fontId="7" fillId="4" borderId="121" xfId="0" applyAlignment="1">
      <x:alignment horizontal="center" vertical="bottom"/>
    </x:xf>
    <x:xf numFmtId="3" fontId="7" fillId="4" borderId="122" xfId="0" applyAlignment="1">
      <x:alignment horizontal="center" vertical="bottom"/>
    </x:xf>
    <x:xf numFmtId="0" fontId="0" fillId="4" borderId="115" xfId="0" applyAlignment="1">
      <x:alignment vertical="bottom"/>
    </x:xf>
    <x:xf numFmtId="1" fontId="7" fillId="4" borderId="117" xfId="0" applyAlignment="1">
      <x:alignment vertical="bottom"/>
    </x:xf>
    <x:xf numFmtId="1" fontId="7" fillId="4" borderId="118" xfId="0" applyAlignment="1">
      <x:alignment horizontal="center" vertical="bottom"/>
    </x:xf>
    <x:xf numFmtId="178" fontId="7" fillId="23" borderId="84" xfId="0" applyAlignment="1">
      <x:alignment horizontal="center" vertical="bottom"/>
    </x:xf>
    <x:xf numFmtId="49" fontId="7" fillId="4" borderId="119" xfId="0" applyAlignment="1">
      <x:alignment horizontal="center" vertical="bottom"/>
    </x:xf>
    <x:xf numFmtId="201" fontId="7" fillId="4" borderId="84" xfId="0" applyAlignment="1">
      <x:alignment horizontal="center" vertical="center"/>
    </x:xf>
    <x:xf numFmtId="1" fontId="7" fillId="4" borderId="124" xfId="0" applyAlignment="1">
      <x:alignment horizontal="center" vertical="bottom"/>
    </x:xf>
    <x:xf numFmtId="1" fontId="7" fillId="4" borderId="84" xfId="0" applyAlignment="1">
      <x:alignment vertical="bottom"/>
    </x:xf>
    <x:xf numFmtId="49" fontId="7" fillId="4" borderId="122" xfId="0" applyAlignment="1">
      <x:alignment horizontal="center" vertical="bottom"/>
    </x:xf>
    <x:xf numFmtId="4" fontId="7" fillId="4" borderId="86" xfId="0" applyAlignment="1">
      <x:alignment vertical="bottom"/>
    </x:xf>
    <x:xf numFmtId="1" fontId="32" fillId="4" borderId="22" xfId="0" applyAlignment="1">
      <x:alignment horizontal="center" vertical="bottom"/>
    </x:xf>
    <x:xf numFmtId="178" fontId="1" fillId="4" borderId="22" xfId="0" applyAlignment="1">
      <x:alignment horizontal="center" vertical="bottom"/>
    </x:xf>
    <x:xf numFmtId="1" fontId="33" fillId="4" borderId="22" xfId="0" applyAlignment="1">
      <x:alignment horizontal="center" vertical="bottom"/>
    </x:xf>
    <x:xf numFmtId="178" fontId="24" fillId="4" borderId="22" xfId="0" applyAlignment="1">
      <x:alignment horizontal="center" vertical="bottom"/>
    </x:xf>
    <x:xf numFmtId="10" fontId="24" fillId="4" borderId="22" xfId="0" applyAlignment="1">
      <x:alignment horizontal="center" vertical="bottom"/>
    </x:xf>
    <x:xf numFmtId="4" fontId="12" fillId="4" borderId="22" xfId="0" applyAlignment="1">
      <x:alignment horizontal="center" vertical="bottom"/>
    </x:xf>
    <x:xf numFmtId="0" fontId="0" fillId="0" borderId="0" xfId="0" applyAlignment="1">
      <x:alignment vertical="bottom"/>
    </x:xf>
    <x:xf numFmtId="49" fontId="3" fillId="4" borderId="22" xfId="0" applyAlignment="1">
      <x:alignment horizontal="left" vertical="bottom"/>
    </x:xf>
    <x:xf numFmtId="1" fontId="3" fillId="4" borderId="22" xfId="0" applyAlignment="1">
      <x:alignment horizontal="left" vertical="bottom"/>
    </x:xf>
    <x:xf numFmtId="49" fontId="3" fillId="4" borderId="135" xfId="0" applyAlignment="1">
      <x:alignment horizontal="center" vertical="center"/>
    </x:xf>
    <x:xf numFmtId="186" fontId="1" fillId="24" borderId="105" xfId="0" applyAlignment="1">
      <x:alignment horizontal="center" vertical="center"/>
    </x:xf>
    <x:xf numFmtId="0" fontId="0" fillId="4" borderId="134" xfId="0" applyAlignment="1">
      <x:alignment vertical="bottom"/>
    </x:xf>
    <x:xf numFmtId="1" fontId="3" fillId="4" borderId="82" xfId="0" applyAlignment="1">
      <x:alignment horizontal="center" vertical="bottom" wrapText="1"/>
    </x:xf>
    <x:xf numFmtId="49" fontId="3" fillId="4" borderId="137" xfId="0" applyAlignment="1">
      <x:alignment horizontal="center" vertical="bottom"/>
    </x:xf>
    <x:xf numFmtId="49" fontId="1" fillId="4" borderId="87" xfId="0" applyAlignment="1">
      <x:alignment horizontal="center" vertical="bottom" wrapText="1"/>
    </x:xf>
    <x:xf numFmtId="49" fontId="1" fillId="4" borderId="87" xfId="0" applyAlignment="1">
      <x:alignment horizontal="center" vertical="bottom"/>
    </x:xf>
    <x:xf numFmtId="1" fontId="3" fillId="4" borderId="138" xfId="0" applyAlignment="1">
      <x:alignment horizontal="center" vertical="bottom"/>
    </x:xf>
    <x:xf numFmtId="0" fontId="34" fillId="4" borderId="87" xfId="0" applyAlignment="1">
      <x:alignment vertical="bottom"/>
    </x:xf>
    <x:xf numFmtId="200" fontId="1" fillId="4" borderId="87" xfId="0" applyAlignment="1">
      <x:alignment horizontal="right" vertical="bottom"/>
    </x:xf>
    <x:xf numFmtId="200" fontId="1" fillId="4" borderId="87" xfId="0" applyAlignment="1">
      <x:alignment vertical="bottom"/>
    </x:xf>
    <x:xf numFmtId="10" fontId="35" fillId="4" borderId="87" xfId="0" applyAlignment="1">
      <x:alignment horizontal="center" vertical="bottom"/>
    </x:xf>
    <x:xf numFmtId="1" fontId="3" fillId="4" borderId="139" xfId="0" applyAlignment="1">
      <x:alignment horizontal="center" vertical="bottom"/>
    </x:xf>
    <x:xf numFmtId="1" fontId="3" fillId="4" borderId="140" xfId="0" applyAlignment="1">
      <x:alignment horizontal="center" vertical="bottom"/>
    </x:xf>
    <x:xf numFmtId="1" fontId="3" fillId="4" borderId="141" xfId="0" applyAlignment="1">
      <x:alignment horizontal="center" vertical="bottom"/>
    </x:xf>
    <x:xf numFmtId="1" fontId="3" fillId="4" borderId="142" xfId="0" applyAlignment="1">
      <x:alignment horizontal="center" vertical="bottom"/>
    </x:xf>
    <x:xf numFmtId="1" fontId="3" fillId="4" borderId="143" xfId="0" applyAlignment="1">
      <x:alignment horizontal="center" vertical="bottom"/>
    </x:xf>
    <x:xf numFmtId="0" fontId="0" fillId="4" borderId="124" xfId="0" applyAlignment="1">
      <x:alignment vertical="bottom"/>
    </x:xf>
    <x:xf numFmtId="1" fontId="3" fillId="23" borderId="144" xfId="0" applyAlignment="1">
      <x:alignment horizontal="center" vertical="bottom"/>
    </x:xf>
    <x:xf numFmtId="49" fontId="34" fillId="23" borderId="145" xfId="0" applyAlignment="1">
      <x:alignment vertical="bottom"/>
    </x:xf>
    <x:xf numFmtId="200" fontId="1" fillId="4" borderId="146" xfId="0" applyAlignment="1">
      <x:alignment horizontal="right" vertical="bottom"/>
    </x:xf>
    <x:xf numFmtId="201" fontId="1" fillId="4" borderId="147" xfId="0" applyAlignment="1">
      <x:alignment vertical="bottom"/>
    </x:xf>
    <x:xf numFmtId="10" fontId="35" fillId="4" borderId="147" xfId="0" applyAlignment="1">
      <x:alignment horizontal="center" vertical="bottom"/>
    </x:xf>
    <x:xf numFmtId="201" fontId="3" fillId="4" borderId="101" xfId="0" applyAlignment="1">
      <x:alignment vertical="bottom"/>
    </x:xf>
    <x:xf numFmtId="170" fontId="3" fillId="18" borderId="84" xfId="0" applyAlignment="1">
      <x:alignment horizontal="center" vertical="bottom"/>
    </x:xf>
    <x:xf numFmtId="49" fontId="34" fillId="18" borderId="148" xfId="0" applyAlignment="1">
      <x:alignment vertical="bottom"/>
    </x:xf>
    <x:xf numFmtId="200" fontId="1" fillId="18" borderId="139" xfId="0" applyAlignment="1">
      <x:alignment horizontal="right" vertical="bottom"/>
    </x:xf>
    <x:xf numFmtId="200" fontId="1" fillId="18" borderId="149" xfId="0" applyAlignment="1">
      <x:alignment vertical="bottom"/>
    </x:xf>
    <x:xf numFmtId="1" fontId="3" fillId="4" borderId="150" xfId="0" applyAlignment="1">
      <x:alignment horizontal="center" vertical="bottom"/>
    </x:xf>
    <x:xf numFmtId="170" fontId="3" fillId="23" borderId="151" xfId="0" applyAlignment="1">
      <x:alignment horizontal="center" vertical="bottom"/>
    </x:xf>
    <x:xf numFmtId="1" fontId="34" fillId="4" borderId="148" xfId="0" applyAlignment="1">
      <x:alignment vertical="bottom"/>
    </x:xf>
    <x:xf numFmtId="200" fontId="1" fillId="4" borderId="140" xfId="0" applyAlignment="1">
      <x:alignment horizontal="right" vertical="bottom"/>
    </x:xf>
    <x:xf numFmtId="1" fontId="3" fillId="4" borderId="152" xfId="0" applyAlignment="1">
      <x:alignment horizontal="center" vertical="bottom"/>
    </x:xf>
    <x:xf numFmtId="49" fontId="34" fillId="4" borderId="148" xfId="0" applyAlignment="1">
      <x:alignment vertical="bottom"/>
    </x:xf>
    <x:xf numFmtId="200" fontId="36" fillId="22" borderId="140" xfId="0" applyAlignment="1">
      <x:alignment horizontal="right" vertical="bottom"/>
    </x:xf>
    <x:xf numFmtId="200" fontId="1" fillId="22" borderId="87" xfId="0" applyAlignment="1">
      <x:alignment vertical="bottom"/>
    </x:xf>
    <x:xf numFmtId="1" fontId="3" fillId="22" borderId="152" xfId="0" applyAlignment="1">
      <x:alignment horizontal="center" vertical="bottom"/>
    </x:xf>
    <x:xf numFmtId="49" fontId="34" fillId="4" borderId="150" xfId="0" applyAlignment="1">
      <x:alignment vertical="bottom"/>
    </x:xf>
    <x:xf numFmtId="200" fontId="36" fillId="4" borderId="140" xfId="0" applyAlignment="1">
      <x:alignment horizontal="right" vertical="bottom"/>
    </x:xf>
    <x:xf numFmtId="1" fontId="3" fillId="23" borderId="140" xfId="0" applyAlignment="1">
      <x:alignment horizontal="center" vertical="bottom"/>
    </x:xf>
    <x:xf numFmtId="49" fontId="34" fillId="23" borderId="152" xfId="0" applyAlignment="1">
      <x:alignment vertical="bottom"/>
    </x:xf>
    <x:xf numFmtId="1" fontId="3" fillId="4" borderId="87" xfId="0" applyAlignment="1">
      <x:alignment horizontal="center" vertical="bottom"/>
    </x:xf>
    <x:xf numFmtId="200" fontId="3" fillId="4" borderId="101" xfId="0" applyAlignment="1">
      <x:alignment vertical="bottom"/>
    </x:xf>
    <x:xf numFmtId="1" fontId="3" fillId="22" borderId="153" xfId="0" applyAlignment="1">
      <x:alignment horizontal="center" vertical="bottom"/>
    </x:xf>
    <x:xf numFmtId="49" fontId="34" fillId="4" borderId="84" xfId="0" applyAlignment="1">
      <x:alignment vertical="bottom"/>
    </x:xf>
    <x:xf numFmtId="200" fontId="1" fillId="22" borderId="140" xfId="0" applyAlignment="1">
      <x:alignment horizontal="right" vertical="bottom"/>
    </x:xf>
    <x:xf numFmtId="200" fontId="1" fillId="22" borderId="8" xfId="0" applyAlignment="1">
      <x:alignment vertical="bottom"/>
    </x:xf>
    <x:xf numFmtId="1" fontId="3" fillId="22" borderId="9" xfId="0" applyAlignment="1">
      <x:alignment horizontal="center" vertical="bottom"/>
    </x:xf>
    <x:xf numFmtId="170" fontId="3" fillId="23" borderId="84" xfId="0" applyAlignment="1">
      <x:alignment horizontal="center" vertical="bottom"/>
    </x:xf>
    <x:xf numFmtId="0" fontId="0" fillId="4" borderId="120" xfId="0" applyAlignment="1">
      <x:alignment vertical="bottom"/>
    </x:xf>
    <x:xf numFmtId="49" fontId="34" fillId="4" borderId="152" xfId="0" applyAlignment="1">
      <x:alignment vertical="bottom"/>
    </x:xf>
    <x:xf numFmtId="1" fontId="3" fillId="4" borderId="154" xfId="0" applyAlignment="1">
      <x:alignment horizontal="center" vertical="bottom"/>
    </x:xf>
    <x:xf numFmtId="1" fontId="34" fillId="4" borderId="87" xfId="0" applyAlignment="1">
      <x:alignment horizontal="center" vertical="bottom"/>
    </x:xf>
    <x:xf numFmtId="1" fontId="34" fillId="4" borderId="101" xfId="0" applyAlignment="1">
      <x:alignment vertical="bottom"/>
    </x:xf>
    <x:xf numFmtId="1" fontId="34" fillId="4" borderId="22" xfId="0" applyAlignment="1">
      <x:alignment vertical="bottom"/>
    </x:xf>
    <x:xf numFmtId="1" fontId="3" fillId="4" borderId="146" xfId="0" applyAlignment="1">
      <x:alignment horizontal="center" vertical="bottom"/>
    </x:xf>
    <x:xf numFmtId="49" fontId="34" fillId="4" borderId="87" xfId="0" applyAlignment="1">
      <x:alignment vertical="bottom"/>
    </x:xf>
    <x:xf numFmtId="1" fontId="34" fillId="4" borderId="138" xfId="0" applyAlignment="1">
      <x:alignment horizontal="center" vertical="bottom"/>
    </x:xf>
    <x:xf numFmtId="49" fontId="34" fillId="23" borderId="87" xfId="0" applyAlignment="1">
      <x:alignment vertical="bottom"/>
    </x:xf>
    <x:xf numFmtId="1" fontId="34" fillId="4" borderId="155" xfId="0" applyAlignment="1">
      <x:alignment horizontal="center" vertical="center"/>
    </x:xf>
    <x:xf numFmtId="49" fontId="34" fillId="23" borderId="87" xfId="0" applyAlignment="1">
      <x:alignment vertical="bottom" wrapText="1"/>
    </x:xf>
    <x:xf numFmtId="200" fontId="34" fillId="4" borderId="87" xfId="0" applyAlignment="1">
      <x:alignment horizontal="right" vertical="bottom"/>
    </x:xf>
    <x:xf numFmtId="1" fontId="34" fillId="4" borderId="156" xfId="0" applyAlignment="1">
      <x:alignment horizontal="center" vertical="bottom"/>
    </x:xf>
    <x:xf numFmtId="49" fontId="37" fillId="4" borderId="87" xfId="0" applyAlignment="1">
      <x:alignment vertical="bottom"/>
    </x:xf>
    <x:xf numFmtId="1" fontId="34" fillId="4" borderId="157" xfId="0" applyAlignment="1">
      <x:alignment horizontal="center" vertical="bottom"/>
    </x:xf>
    <x:xf numFmtId="1" fontId="34" fillId="4" borderId="158" xfId="0" applyAlignment="1">
      <x:alignment horizontal="center" vertical="bottom"/>
    </x:xf>
    <x:xf numFmtId="1" fontId="34" fillId="4" borderId="84" xfId="0" applyAlignment="1">
      <x:alignment horizontal="center" vertical="bottom"/>
    </x:xf>
    <x:xf numFmtId="49" fontId="34" fillId="4" borderId="140" xfId="0" applyAlignment="1">
      <x:alignment vertical="bottom"/>
    </x:xf>
    <x:xf numFmtId="10" fontId="34" fillId="4" borderId="101" xfId="0" applyAlignment="1">
      <x:alignment vertical="bottom"/>
    </x:xf>
    <x:xf numFmtId="49" fontId="34" fillId="4" borderId="22" xfId="0" applyAlignment="1">
      <x:alignment vertical="bottom"/>
    </x:xf>
    <x:xf numFmtId="49" fontId="34" fillId="17" borderId="140" xfId="0" applyAlignment="1">
      <x:alignment vertical="bottom"/>
    </x:xf>
    <x:xf numFmtId="200" fontId="34" fillId="17" borderId="87" xfId="0" applyAlignment="1">
      <x:alignment vertical="bottom"/>
    </x:xf>
    <x:xf numFmtId="1" fontId="34" fillId="17" borderId="87" xfId="0" applyAlignment="1">
      <x:alignment horizontal="center" vertical="bottom"/>
    </x:xf>
    <x:xf numFmtId="1" fontId="34" fillId="4" borderId="159" xfId="0" applyAlignment="1">
      <x:alignment vertical="bottom"/>
    </x:xf>
    <x:xf numFmtId="1" fontId="34" fillId="4" borderId="87" xfId="0" applyAlignment="1">
      <x:alignment vertical="bottom"/>
    </x:xf>
    <x:xf numFmtId="200" fontId="34" fillId="4" borderId="87" xfId="0" applyAlignment="1">
      <x:alignment vertical="bottom"/>
    </x:xf>
    <x:xf numFmtId="49" fontId="34" fillId="4" borderId="100" xfId="0" applyAlignment="1">
      <x:alignment horizontal="left" vertical="bottom"/>
    </x:xf>
    <x:xf numFmtId="49" fontId="34" fillId="4" borderId="87" xfId="0" applyAlignment="1">
      <x:alignment horizontal="left" vertical="bottom"/>
    </x:xf>
    <x:xf numFmtId="201" fontId="34" fillId="5" borderId="87" xfId="0" applyAlignment="1">
      <x:alignment horizontal="center" vertical="bottom"/>
    </x:xf>
    <x:xf numFmtId="1" fontId="34" fillId="4" borderId="101" xfId="0" applyAlignment="1">
      <x:alignment horizontal="left" vertical="bottom"/>
    </x:xf>
    <x:xf numFmtId="1" fontId="34" fillId="4" borderId="22" xfId="0" applyAlignment="1">
      <x:alignment horizontal="left" vertical="bottom"/>
    </x:xf>
    <x:xf numFmtId="1" fontId="38" fillId="4" borderId="22" xfId="0" applyAlignment="1">
      <x:alignment horizontal="left" vertical="bottom"/>
    </x:xf>
    <x:xf numFmtId="1" fontId="38" fillId="4" borderId="92" xfId="0" applyAlignment="1">
      <x:alignment horizontal="left" vertical="bottom"/>
    </x:xf>
    <x:xf numFmtId="201" fontId="38" fillId="4" borderId="160" xfId="0" applyAlignment="1">
      <x:alignment horizontal="right" vertical="bottom"/>
    </x:xf>
    <x:xf numFmtId="1" fontId="38" fillId="4" borderId="87" xfId="0" applyAlignment="1">
      <x:alignment horizontal="left" vertical="bottom"/>
    </x:xf>
    <x:xf numFmtId="1" fontId="38" fillId="4" borderId="87" xfId="0" applyAlignment="1">
      <x:alignment horizontal="center" vertical="bottom"/>
    </x:xf>
    <x:xf numFmtId="0" fontId="0" fillId="0" borderId="0" xfId="0" applyAlignment="1">
      <x:alignment vertical="bottom"/>
    </x:xf>
    <x:xf numFmtId="49" fontId="39" fillId="4" borderId="1" xfId="0" applyAlignment="1">
      <x:alignment horizontal="left" vertical="bottom"/>
    </x:xf>
    <x:xf numFmtId="1" fontId="39" fillId="4" borderId="2" xfId="0" applyAlignment="1">
      <x:alignment horizontal="left" vertical="bottom"/>
    </x:xf>
    <x:xf numFmtId="1" fontId="7" fillId="4" borderId="2" xfId="0" applyAlignment="1">
      <x:alignment horizontal="left" vertical="bottom"/>
    </x:xf>
    <x:xf numFmtId="1" fontId="7" fillId="4" borderId="161" xfId="0" applyAlignment="1">
      <x:alignment horizontal="left" vertical="bottom"/>
    </x:xf>
    <x:xf numFmtId="1" fontId="7" fillId="4" borderId="162" xfId="0" applyAlignment="1">
      <x:alignment vertical="bottom"/>
    </x:xf>
    <x:xf numFmtId="1" fontId="7" fillId="4" borderId="163" xfId="0" applyAlignment="1">
      <x:alignment horizontal="left" vertical="bottom"/>
    </x:xf>
    <x:xf numFmtId="1" fontId="7" fillId="4" borderId="164" xfId="0" applyAlignment="1">
      <x:alignment vertical="bottom"/>
    </x:xf>
    <x:xf numFmtId="1" fontId="7" fillId="4" borderId="165" xfId="0" applyAlignment="1">
      <x:alignment vertical="bottom"/>
    </x:xf>
    <x:xf numFmtId="1" fontId="7" fillId="4" borderId="166" xfId="0" applyAlignment="1">
      <x:alignment vertical="bottom"/>
    </x:xf>
    <x:xf numFmtId="1" fontId="7" fillId="4" borderId="167" xfId="0" applyAlignment="1">
      <x:alignment horizontal="left" vertical="bottom"/>
    </x:xf>
    <x:xf numFmtId="49" fontId="7" fillId="4" borderId="168" xfId="0" applyAlignment="1">
      <x:alignment horizontal="right" vertical="bottom"/>
    </x:xf>
    <x:xf numFmtId="1" fontId="7" fillId="4" borderId="168" xfId="0" applyAlignment="1">
      <x:alignment horizontal="right" vertical="bottom"/>
    </x:xf>
    <x:xf numFmtId="1" fontId="7" fillId="4" borderId="169" xfId="0" applyAlignment="1">
      <x:alignment horizontal="left" vertical="bottom"/>
    </x:xf>
    <x:xf numFmtId="1" fontId="7" fillId="4" borderId="170" xfId="0" applyAlignment="1">
      <x:alignment horizontal="center" vertical="bottom"/>
    </x:xf>
    <x:xf numFmtId="49" fontId="27" fillId="18" borderId="129" xfId="0" applyAlignment="1">
      <x:alignment horizontal="center" vertical="center" wrapText="1"/>
    </x:xf>
    <x:xf numFmtId="1" fontId="3" fillId="4" borderId="171" xfId="0" applyAlignment="1">
      <x:alignment horizontal="left" vertical="bottom"/>
    </x:xf>
    <x:xf numFmtId="49" fontId="3" fillId="4" borderId="172" xfId="0" applyAlignment="1">
      <x:alignment horizontal="right" vertical="bottom"/>
    </x:xf>
    <x:xf numFmtId="200" fontId="7" fillId="17" borderId="168" xfId="0" applyAlignment="1">
      <x:alignment horizontal="right" vertical="bottom"/>
    </x:xf>
    <x:xf numFmtId="200" fontId="7" fillId="18" borderId="168" xfId="0" applyAlignment="1">
      <x:alignment horizontal="right" vertical="bottom"/>
    </x:xf>
    <x:xf numFmtId="200" fontId="7" fillId="4" borderId="170" xfId="0" applyAlignment="1">
      <x:alignment horizontal="right" vertical="bottom"/>
    </x:xf>
    <x:xf numFmtId="178" fontId="27" fillId="18" borderId="129" xfId="0" applyAlignment="1">
      <x:alignment horizontal="center" vertical="center" wrapText="1"/>
    </x:xf>
    <x:xf numFmtId="1" fontId="3" fillId="4" borderId="170" xfId="0" applyAlignment="1">
      <x:alignment horizontal="left" vertical="bottom"/>
    </x:xf>
    <x:xf numFmtId="49" fontId="3" fillId="4" borderId="173" xfId="0" applyAlignment="1">
      <x:alignment horizontal="right" vertical="bottom"/>
    </x:xf>
    <x:xf numFmtId="202" fontId="7" fillId="17" borderId="168" xfId="0" applyAlignment="1">
      <x:alignment horizontal="right" vertical="bottom"/>
    </x:xf>
    <x:xf numFmtId="203" fontId="7" fillId="18" borderId="168" xfId="0" applyAlignment="1">
      <x:alignment horizontal="right" vertical="bottom"/>
    </x:xf>
    <x:xf numFmtId="203" fontId="7" fillId="4" borderId="170" xfId="0" applyAlignment="1">
      <x:alignment horizontal="right" vertical="bottom"/>
    </x:xf>
    <x:xf numFmtId="203" fontId="7" fillId="17" borderId="168" xfId="0" applyAlignment="1">
      <x:alignment horizontal="right" vertical="bottom"/>
    </x:xf>
    <x:xf numFmtId="200" fontId="7" fillId="4" borderId="174" xfId="0" applyAlignment="1">
      <x:alignment horizontal="right" vertical="bottom"/>
    </x:xf>
    <x:xf numFmtId="178" fontId="7" fillId="18" borderId="84" xfId="0" applyAlignment="1">
      <x:alignment horizontal="center" vertical="bottom"/>
    </x:xf>
    <x:xf numFmtId="181" fontId="7" fillId="17" borderId="168" xfId="0" applyAlignment="1">
      <x:alignment horizontal="right" vertical="bottom"/>
    </x:xf>
    <x:xf numFmtId="1" fontId="3" fillId="4" borderId="175" xfId="0" applyAlignment="1">
      <x:alignment horizontal="left" vertical="bottom"/>
    </x:xf>
    <x:xf numFmtId="49" fontId="3" fillId="4" borderId="176" xfId="0" applyAlignment="1">
      <x:alignment horizontal="right" vertical="bottom"/>
    </x:xf>
    <x:xf numFmtId="1" fontId="7" fillId="4" borderId="177" xfId="0" applyAlignment="1">
      <x:alignment horizontal="left" vertical="bottom"/>
    </x:xf>
    <x:xf numFmtId="1" fontId="7" fillId="4" borderId="170" xfId="0" applyAlignment="1">
      <x:alignment horizontal="left" vertical="bottom"/>
    </x:xf>
    <x:xf numFmtId="1" fontId="7" fillId="4" borderId="6" xfId="0" applyAlignment="1">
      <x:alignment vertical="bottom"/>
    </x:xf>
    <x:xf numFmtId="1" fontId="7" fillId="4" borderId="6" xfId="0" applyAlignment="1">
      <x:alignment horizontal="left" vertical="bottom"/>
    </x:xf>
    <x:xf numFmtId="1" fontId="7" fillId="4" borderId="18" xfId="0" applyAlignment="1">
      <x:alignment horizontal="left" vertical="bottom"/>
    </x:xf>
    <x:xf numFmtId="49" fontId="7" fillId="4" borderId="173" xfId="0" applyAlignment="1">
      <x:alignment horizontal="right" vertical="bottom"/>
    </x:xf>
    <x:xf numFmtId="1" fontId="26" fillId="19" borderId="168" xfId="0" applyAlignment="1">
      <x:alignment horizontal="center" vertical="bottom"/>
    </x:xf>
    <x:xf numFmtId="1" fontId="7" fillId="4" borderId="170" xfId="0" applyAlignment="1">
      <x:alignment vertical="bottom"/>
    </x:xf>
    <x:xf numFmtId="1" fontId="7" fillId="4" borderId="165" xfId="0" applyAlignment="1">
      <x:alignment horizontal="left" vertical="bottom"/>
    </x:xf>
    <x:xf numFmtId="1" fontId="7" fillId="4" borderId="178" xfId="0" applyAlignment="1">
      <x:alignment horizontal="left" vertical="bottom"/>
    </x:xf>
    <x:xf numFmtId="49" fontId="7" fillId="4" borderId="97" xfId="0" applyAlignment="1">
      <x:alignment horizontal="left" vertical="bottom" wrapText="1"/>
    </x:xf>
    <x:xf numFmtId="49" fontId="7" fillId="4" borderId="129" xfId="0" applyAlignment="1">
      <x:alignment horizontal="right" vertical="bottom" wrapText="1"/>
    </x:xf>
    <x:xf numFmtId="49" fontId="7" fillId="4" borderId="98" xfId="0" applyAlignment="1">
      <x:alignment horizontal="right" vertical="bottom" wrapText="1"/>
    </x:xf>
    <x:xf numFmtId="1" fontId="7" fillId="4" borderId="179" xfId="0" applyAlignment="1">
      <x:alignment horizontal="left" vertical="bottom"/>
    </x:xf>
    <x:xf numFmtId="1" fontId="7" fillId="4" borderId="180" xfId="0" applyAlignment="1">
      <x:alignment horizontal="left" vertical="bottom" wrapText="1"/>
    </x:xf>
    <x:xf numFmtId="1" fontId="40" fillId="4" borderId="163" xfId="0" applyAlignment="1">
      <x:alignment horizontal="left" vertical="bottom"/>
    </x:xf>
    <x:xf numFmtId="181" fontId="40" fillId="4" borderId="165" xfId="0" applyAlignment="1">
      <x:alignment horizontal="right" vertical="bottom"/>
    </x:xf>
    <x:xf numFmtId="200" fontId="40" fillId="4" borderId="165" xfId="0" applyAlignment="1">
      <x:alignment horizontal="right" vertical="bottom"/>
    </x:xf>
    <x:xf numFmtId="49" fontId="41" fillId="4" borderId="22" xfId="0" applyAlignment="1">
      <x:alignment vertical="center"/>
    </x:xf>
    <x:xf numFmtId="1" fontId="7" fillId="0" borderId="22" xfId="0" applyAlignment="1">
      <x:alignment vertical="bottom"/>
    </x:xf>
    <x:xf numFmtId="1" fontId="40" fillId="4" borderId="18" xfId="0" applyAlignment="1">
      <x:alignment horizontal="left" vertical="bottom"/>
    </x:xf>
    <x:xf numFmtId="181" fontId="40" fillId="4" borderId="6" xfId="0" applyAlignment="1">
      <x:alignment horizontal="right" vertical="bottom"/>
    </x:xf>
    <x:xf numFmtId="204" fontId="40" fillId="4" borderId="6" xfId="0" applyAlignment="1">
      <x:alignment horizontal="right" vertical="bottom"/>
    </x:xf>
    <x:xf numFmtId="184" fontId="40" fillId="4" borderId="6" xfId="0" applyAlignment="1">
      <x:alignment horizontal="right" vertical="bottom"/>
    </x:xf>
    <x:xf numFmtId="49" fontId="7" fillId="4" borderId="22" xfId="0" applyAlignment="1">
      <x:alignment vertical="center"/>
    </x:xf>
    <x:xf numFmtId="0" fontId="0" fillId="4" borderId="181" xfId="0" applyAlignment="1">
      <x:alignment vertical="bottom"/>
    </x:xf>
    <x:xf numFmtId="204" fontId="40" fillId="4" borderId="182" xfId="0" applyAlignment="1">
      <x:alignment horizontal="right" vertical="bottom"/>
    </x:xf>
    <x:xf numFmtId="1" fontId="7" fillId="20" borderId="84" xfId="0" applyAlignment="1">
      <x:alignment horizontal="center" vertical="bottom"/>
    </x:xf>
    <x:xf numFmtId="0" fontId="0" fillId="4" borderId="183" xfId="0" applyAlignment="1">
      <x:alignment vertical="bottom"/>
    </x:xf>
    <x:xf numFmtId="1" fontId="7" fillId="4" borderId="82" xfId="0" applyAlignment="1">
      <x:alignment vertical="center"/>
    </x:xf>
    <x:xf numFmtId="0" fontId="0" fillId="0" borderId="82" xfId="0" applyAlignment="1">
      <x:alignment vertical="bottom"/>
    </x:xf>
    <x:xf numFmtId="49" fontId="41" fillId="27" borderId="184" xfId="0" applyAlignment="1">
      <x:alignment vertical="center"/>
    </x:xf>
    <x:xf numFmtId="1" fontId="7" fillId="27" borderId="177" xfId="0" applyAlignment="1">
      <x:alignment vertical="bottom"/>
    </x:xf>
    <x:xf numFmtId="1" fontId="7" fillId="27" borderId="151" xfId="0" applyAlignment="1">
      <x:alignment vertical="bottom"/>
    </x:xf>
    <x:xf numFmtId="0" fontId="0" fillId="0" borderId="85" xfId="0" applyAlignment="1">
      <x:alignment vertical="bottom"/>
    </x:xf>
    <x:xf numFmtId="1" fontId="40" fillId="4" borderId="185" xfId="0" applyAlignment="1">
      <x:alignment horizontal="left" vertical="bottom"/>
    </x:xf>
    <x:xf numFmtId="181" fontId="40" fillId="4" borderId="103" xfId="0" applyAlignment="1">
      <x:alignment horizontal="right" vertical="bottom"/>
    </x:xf>
    <x:xf numFmtId="204" fontId="40" fillId="4" borderId="103" xfId="0" applyAlignment="1">
      <x:alignment horizontal="right" vertical="bottom"/>
    </x:xf>
    <x:xf numFmtId="184" fontId="40" fillId="4" borderId="103" xfId="0" applyAlignment="1">
      <x:alignment horizontal="right" vertical="bottom"/>
    </x:xf>
    <x:xf numFmtId="204" fontId="40" fillId="4" borderId="186" xfId="0" applyAlignment="1">
      <x:alignment horizontal="right" vertical="bottom"/>
    </x:xf>
    <x:xf numFmtId="0" fontId="0" fillId="4" borderId="121" xfId="0" applyAlignment="1">
      <x:alignment vertical="bottom"/>
    </x:xf>
    <x:xf numFmtId="49" fontId="7" fillId="27" borderId="90" xfId="0" applyAlignment="1">
      <x:alignment vertical="center"/>
    </x:xf>
    <x:xf numFmtId="1" fontId="7" fillId="27" borderId="6" xfId="0" applyAlignment="1">
      <x:alignment vertical="bottom"/>
    </x:xf>
    <x:xf numFmtId="1" fontId="7" fillId="27" borderId="182" xfId="0" applyAlignment="1">
      <x:alignment vertical="bottom"/>
    </x:xf>
    <x:xf numFmtId="1" fontId="40" fillId="4" borderId="97" xfId="0" applyAlignment="1">
      <x:alignment horizontal="left" vertical="bottom"/>
    </x:xf>
    <x:xf numFmtId="181" fontId="40" fillId="4" borderId="129" xfId="0" applyAlignment="1">
      <x:alignment horizontal="right" vertical="bottom"/>
    </x:xf>
    <x:xf numFmtId="204" fontId="40" fillId="4" borderId="129" xfId="0" applyAlignment="1">
      <x:alignment horizontal="right" vertical="bottom"/>
    </x:xf>
    <x:xf numFmtId="184" fontId="40" fillId="4" borderId="129" xfId="0" applyAlignment="1">
      <x:alignment horizontal="right" vertical="bottom"/>
    </x:xf>
    <x:xf numFmtId="204" fontId="40" fillId="4" borderId="98" xfId="0" applyAlignment="1">
      <x:alignment horizontal="right" vertical="bottom"/>
    </x:xf>
    <x:xf numFmtId="204" fontId="40" fillId="4" borderId="84" xfId="0" applyAlignment="1">
      <x:alignment horizontal="right" vertical="bottom"/>
    </x:xf>
    <x:xf numFmtId="200" fontId="7" fillId="4" borderId="84" xfId="0" applyAlignment="1">
      <x:alignment horizontal="center" vertical="bottom"/>
    </x:xf>
    <x:xf numFmtId="200" fontId="7" fillId="4" borderId="22" xfId="0" applyAlignment="1">
      <x:alignment vertical="bottom"/>
    </x:xf>
    <x:xf numFmtId="1" fontId="40" fillId="4" borderId="187" xfId="0" applyAlignment="1">
      <x:alignment horizontal="left" vertical="bottom"/>
    </x:xf>
    <x:xf numFmtId="181" fontId="40" fillId="4" borderId="177" xfId="0" applyAlignment="1">
      <x:alignment horizontal="right" vertical="bottom"/>
    </x:xf>
    <x:xf numFmtId="204" fontId="40" fillId="4" borderId="177" xfId="0" applyAlignment="1">
      <x:alignment horizontal="right" vertical="bottom"/>
    </x:xf>
    <x:xf numFmtId="184" fontId="40" fillId="4" borderId="177" xfId="0" applyAlignment="1">
      <x:alignment horizontal="right" vertical="bottom"/>
    </x:xf>
    <x:xf numFmtId="49" fontId="7" fillId="27" borderId="188" xfId="0" applyAlignment="1">
      <x:alignment vertical="center"/>
    </x:xf>
    <x:xf numFmtId="1" fontId="7" fillId="27" borderId="103" xfId="0" applyAlignment="1">
      <x:alignment vertical="bottom"/>
    </x:xf>
    <x:xf numFmtId="1" fontId="7" fillId="27" borderId="186" xfId="0" applyAlignment="1">
      <x:alignment vertical="bottom"/>
    </x:xf>
    <x:xf numFmtId="0" fontId="0" fillId="0" borderId="86" xfId="0" applyAlignment="1">
      <x:alignment vertical="bottom"/>
    </x:xf>
    <x:xf numFmtId="200" fontId="7" fillId="4" borderId="183" xfId="0" applyAlignment="1">
      <x:alignment horizontal="center" vertical="bottom"/>
    </x:xf>
    <x:xf numFmtId="200" fontId="7" fillId="4" borderId="86" xfId="0" applyAlignment="1">
      <x:alignment horizontal="center" vertical="bottom"/>
    </x:xf>
    <x:xf numFmtId="200" fontId="7" fillId="4" borderId="181" xfId="0" applyAlignment="1">
      <x:alignment horizontal="center" vertical="bottom"/>
    </x:xf>
    <x:xf numFmtId="200" fontId="7" fillId="4" borderId="82" xfId="0" applyAlignment="1">
      <x:alignment horizontal="center" vertical="bottom"/>
    </x:xf>
    <x:xf numFmtId="200" fontId="7" fillId="4" borderId="115" xfId="0" applyAlignment="1">
      <x:alignment vertical="bottom"/>
    </x:xf>
    <x:xf numFmtId="1" fontId="40" fillId="4" borderId="6" xfId="0" applyAlignment="1">
      <x:alignment horizontal="left" vertical="bottom"/>
    </x:xf>
    <x:xf numFmtId="0" fontId="40" fillId="4" borderId="18" xfId="0" applyAlignment="1">
      <x:alignment horizontal="left" vertical="bottom"/>
    </x:xf>
    <x:xf numFmtId="0" fontId="40" fillId="4" borderId="6" xfId="0" applyAlignment="1">
      <x:alignment horizontal="right" vertical="bottom"/>
    </x:xf>
    <x:xf numFmtId="1" fontId="7" fillId="4" borderId="25" xfId="0" applyAlignment="1">
      <x:alignment horizontal="left" vertical="bottom"/>
    </x:xf>
    <x:xf numFmtId="0" fontId="0" fillId="0" borderId="0" xfId="0" applyAlignment="1">
      <x:alignment vertical="bottom"/>
    </x:xf>
    <x:xf numFmtId="0" fontId="0" fillId="4" borderId="22" xfId="0" applyAlignment="1">
      <x:alignment vertical="bottom"/>
    </x:xf>
    <x:xf numFmtId="0" fontId="0" fillId="0" borderId="22" xfId="0" applyAlignment="1">
      <x:alignment vertical="bottom"/>
    </x:xf>
    <x:xf numFmtId="1" fontId="7" fillId="28" borderId="107" xfId="0" applyAlignment="1">
      <x:alignment vertical="bottom"/>
    </x:xf>
    <x:xf numFmtId="49" fontId="7" fillId="4" borderId="85" xfId="0" applyAlignment="1">
      <x:alignment vertical="bottom"/>
    </x:xf>
    <x:xf numFmtId="10" fontId="7" fillId="4" borderId="22" xfId="0" applyAlignment="1">
      <x:alignment horizontal="center" vertical="bottom"/>
    </x:xf>
    <x:xf numFmtId="1" fontId="7" fillId="28" borderId="108" xfId="0" applyAlignment="1">
      <x:alignment vertical="bottom"/>
    </x:xf>
    <x:xf numFmtId="10" fontId="7" fillId="4" borderId="85" xfId="0" applyAlignment="1">
      <x:alignment vertical="bottom"/>
    </x:xf>
    <x:xf numFmtId="200" fontId="7" fillId="0" borderId="22" xfId="0" applyAlignment="1">
      <x:alignment horizontal="center" vertical="bottom"/>
    </x:xf>
    <x:xf numFmtId="186" fontId="7" fillId="4" borderId="22" xfId="0" applyAlignment="1">
      <x:alignment horizontal="center" vertical="bottom"/>
    </x:xf>
    <x:xf numFmtId="49" fontId="7" fillId="4" borderId="85" xfId="0" applyAlignment="1">
      <x:alignment horizontal="left" vertical="bottom"/>
    </x:xf>
    <x:xf numFmtId="10" fontId="7" fillId="4" borderId="22" xfId="0" applyAlignment="1">
      <x:alignment horizontal="center" vertical="center"/>
    </x:xf>
    <x:xf numFmtId="1" fontId="7" fillId="4" borderId="85" xfId="0" applyAlignment="1">
      <x:alignment horizontal="left" vertical="bottom"/>
    </x:xf>
    <x:xf numFmtId="10" fontId="7" fillId="4" borderId="85" xfId="0" applyAlignment="1">
      <x:alignment horizontal="center" vertical="center"/>
    </x:xf>
    <x:xf numFmtId="1" fontId="7" fillId="4" borderId="189" xfId="0" applyAlignment="1">
      <x:alignment horizontal="center" vertical="bottom"/>
    </x:xf>
    <x:xf numFmtId="49" fontId="7" fillId="4" borderId="82" xfId="0" applyAlignment="1">
      <x:alignment vertical="bottom"/>
    </x:xf>
    <x:xf numFmtId="10" fontId="7" fillId="4" borderId="123" xfId="0" applyAlignment="1">
      <x:alignment horizontal="center" vertical="bottom"/>
    </x:xf>
    <x:xf numFmtId="9" fontId="7" fillId="4" borderId="82" xfId="0" applyAlignment="1">
      <x:alignment horizontal="center" vertical="bottom"/>
    </x:xf>
    <x:xf numFmtId="178" fontId="7" fillId="4" borderId="82" xfId="0" applyAlignment="1">
      <x:alignment horizontal="center" vertical="center"/>
    </x:xf>
    <x:xf numFmtId="1" fontId="7" fillId="0" borderId="22" xfId="0" applyAlignment="1">
      <x:alignment horizontal="center" vertical="bottom"/>
    </x:xf>
    <x:xf numFmtId="49" fontId="42" fillId="17" borderId="108" xfId="0" applyAlignment="1">
      <x:alignment horizontal="center" vertical="center" wrapText="1"/>
    </x:xf>
    <x:xf numFmtId="181" fontId="7" fillId="4" borderId="84" xfId="0" applyAlignment="1">
      <x:alignment horizontal="center" vertical="bottom"/>
    </x:xf>
    <x:xf numFmtId="181" fontId="7" fillId="4" borderId="115" xfId="0" applyAlignment="1">
      <x:alignment horizontal="center" vertical="bottom"/>
    </x:xf>
    <x:xf numFmtId="178" fontId="7" fillId="4" borderId="117" xfId="0" applyAlignment="1">
      <x:alignment horizontal="center" vertical="center"/>
    </x:xf>
    <x:xf numFmtId="1" fontId="7" fillId="4" borderId="116" xfId="0" applyAlignment="1">
      <x:alignment horizontal="center" vertical="center"/>
    </x:xf>
    <x:xf numFmtId="178" fontId="7" fillId="4" borderId="117" xfId="0" applyAlignment="1">
      <x:alignment horizontal="center" vertical="bottom"/>
    </x:xf>
    <x:xf numFmtId="181" fontId="7" fillId="4" borderId="82" xfId="0" applyAlignment="1">
      <x:alignment horizontal="center" vertical="bottom"/>
    </x:xf>
    <x:xf numFmtId="1" fontId="7" fillId="22" borderId="107" xfId="0" applyAlignment="1">
      <x:alignment vertical="bottom"/>
    </x:xf>
    <x:xf numFmtId="49" fontId="24" fillId="4" borderId="123" xfId="0" applyAlignment="1">
      <x:alignment horizontal="center" vertical="bottom"/>
    </x:xf>
    <x:xf numFmtId="1" fontId="43" fillId="4" borderId="22" xfId="0" applyAlignment="1">
      <x:alignment vertical="center" wrapText="1"/>
    </x:xf>
    <x:xf numFmtId="1" fontId="43" fillId="4" borderId="96" xfId="0" applyAlignment="1">
      <x:alignment horizontal="center" vertical="center" wrapText="1"/>
    </x:xf>
    <x:xf numFmtId="1" fontId="42" fillId="17" borderId="108" xfId="0" applyAlignment="1">
      <x:alignment horizontal="center" vertical="center" wrapText="1"/>
    </x:xf>
    <x:xf numFmtId="10" fontId="7" fillId="29" borderId="107" xfId="0" applyAlignment="1">
      <x:alignment horizontal="center" vertical="bottom"/>
    </x:xf>
    <x:xf numFmtId="10" fontId="7" fillId="29" borderId="107" xfId="0" applyAlignment="1">
      <x:alignment vertical="bottom"/>
    </x:xf>
    <x:xf numFmtId="10" fontId="7" fillId="29" borderId="184" xfId="0" applyAlignment="1">
      <x:alignment horizontal="center" vertical="bottom"/>
    </x:xf>
    <x:xf numFmtId="178" fontId="7" fillId="29" borderId="151" xfId="0" applyAlignment="1">
      <x:alignment horizontal="center" vertical="bottom"/>
    </x:xf>
    <x:xf numFmtId="10" fontId="7" fillId="29" borderId="184" xfId="0" applyAlignment="1">
      <x:alignment horizontal="center" vertical="center"/>
    </x:xf>
    <x:xf numFmtId="178" fontId="7" fillId="29" borderId="177" xfId="0" applyAlignment="1">
      <x:alignment horizontal="center" vertical="bottom"/>
    </x:xf>
    <x:xf numFmtId="10" fontId="7" fillId="29" borderId="90" xfId="0" applyAlignment="1">
      <x:alignment horizontal="center" vertical="center"/>
    </x:xf>
    <x:xf numFmtId="178" fontId="7" fillId="29" borderId="6" xfId="0" applyAlignment="1">
      <x:alignment horizontal="center" vertical="bottom"/>
    </x:xf>
    <x:xf numFmtId="49" fontId="24" fillId="4" borderId="120" xfId="0" applyAlignment="1">
      <x:alignment horizontal="center" vertical="bottom"/>
    </x:xf>
    <x:xf numFmtId="178" fontId="7" fillId="29" borderId="114" xfId="0" applyAlignment="1">
      <x:alignment horizontal="center" vertical="bottom"/>
    </x:xf>
    <x:xf numFmtId="178" fontId="7" fillId="29" borderId="114" xfId="0" applyAlignment="1">
      <x:alignment vertical="bottom"/>
    </x:xf>
    <x:xf numFmtId="178" fontId="7" fillId="29" borderId="90" xfId="0" applyAlignment="1">
      <x:alignment horizontal="center" vertical="bottom"/>
    </x:xf>
    <x:xf numFmtId="178" fontId="7" fillId="29" borderId="182" xfId="0" applyAlignment="1">
      <x:alignment horizontal="center" vertical="bottom"/>
    </x:xf>
    <x:xf numFmtId="178" fontId="7" fillId="29" borderId="90" xfId="0" applyAlignment="1">
      <x:alignment horizontal="center" vertical="center"/>
    </x:xf>
    <x:xf numFmtId="49" fontId="24" fillId="4" borderId="124" xfId="0" applyAlignment="1">
      <x:alignment horizontal="center" vertical="bottom"/>
    </x:xf>
    <x:xf numFmtId="1" fontId="7" fillId="4" borderId="97" xfId="0" applyAlignment="1">
      <x:alignment horizontal="center" vertical="bottom"/>
    </x:xf>
    <x:xf numFmtId="1" fontId="7" fillId="29" borderId="129" xfId="0" applyAlignment="1">
      <x:alignment horizontal="center" vertical="bottom"/>
    </x:xf>
    <x:xf numFmtId="178" fontId="7" fillId="29" borderId="98" xfId="0" applyAlignment="1">
      <x:alignment horizontal="center" vertical="center"/>
    </x:xf>
    <x:xf numFmtId="1" fontId="7" fillId="4" borderId="97" xfId="0" applyAlignment="1">
      <x:alignment horizontal="center" vertical="center"/>
    </x:xf>
    <x:xf numFmtId="1" fontId="7" fillId="29" borderId="129" xfId="0" applyAlignment="1">
      <x:alignment horizontal="center" vertical="center"/>
    </x:xf>
    <x:xf numFmtId="1" fontId="7" fillId="29" borderId="98" xfId="0" applyAlignment="1">
      <x:alignment horizontal="center" vertical="bottom"/>
    </x:xf>
    <x:xf numFmtId="1" fontId="7" fillId="29" borderId="103" xfId="0" applyAlignment="1">
      <x:alignment horizontal="center" vertical="bottom"/>
    </x:xf>
    <x:xf numFmtId="178" fontId="7" fillId="29" borderId="186" xfId="0" applyAlignment="1">
      <x:alignment horizontal="center" vertical="bottom"/>
    </x:xf>
    <x:xf numFmtId="1" fontId="7" fillId="4" borderId="190" xfId="0" applyAlignment="1">
      <x:alignment horizontal="center" vertical="bottom"/>
    </x:xf>
    <x:xf numFmtId="1" fontId="7" fillId="29" borderId="103" xfId="0" applyAlignment="1">
      <x:alignment horizontal="center" vertical="center"/>
    </x:xf>
    <x:xf numFmtId="178" fontId="7" fillId="29" borderId="103" xfId="0" applyAlignment="1">
      <x:alignment horizontal="center" vertical="bottom"/>
    </x:xf>
    <x:xf numFmtId="1" fontId="7" fillId="4" borderId="191" xfId="0" applyAlignment="1">
      <x:alignment horizontal="center" vertical="bottom"/>
    </x:xf>
    <x:xf numFmtId="1" fontId="7" fillId="29" borderId="6" xfId="0" applyAlignment="1">
      <x:alignment horizontal="center" vertical="center"/>
    </x:xf>
    <x:xf numFmtId="1" fontId="24" fillId="4" borderId="120" xfId="0" applyAlignment="1">
      <x:alignment horizontal="center" vertical="bottom"/>
    </x:xf>
    <x:xf numFmtId="1" fontId="7" fillId="29" borderId="90" xfId="0" applyAlignment="1">
      <x:alignment horizontal="center" vertical="center"/>
    </x:xf>
    <x:xf numFmtId="49" fontId="7" fillId="17" borderId="97" xfId="0" applyAlignment="1">
      <x:alignment horizontal="right" vertical="bottom"/>
    </x:xf>
    <x:xf numFmtId="1" fontId="7" fillId="4" borderId="192" xfId="0" applyAlignment="1">
      <x:alignment vertical="bottom"/>
    </x:xf>
    <x:xf numFmtId="49" fontId="7" fillId="17" borderId="97" xfId="0" applyAlignment="1">
      <x:alignment horizontal="center" vertical="center"/>
    </x:xf>
    <x:xf numFmtId="1" fontId="7" fillId="4" borderId="192" xfId="0" applyAlignment="1">
      <x:alignment horizontal="center" vertical="bottom"/>
    </x:xf>
    <x:xf numFmtId="49" fontId="7" fillId="4" borderId="115" xfId="0" applyAlignment="1">
      <x:alignment horizontal="right" vertical="bottom"/>
    </x:xf>
    <x:xf numFmtId="1" fontId="7" fillId="4" borderId="25" xfId="0" applyAlignment="1">
      <x:alignment horizontal="center" vertical="center"/>
    </x:xf>
    <x:xf numFmtId="178" fontId="7" fillId="4" borderId="25" xfId="0" applyAlignment="1">
      <x:alignment horizontal="center" vertical="bottom"/>
    </x:xf>
    <x:xf numFmtId="49" fontId="7" fillId="4" borderId="96" xfId="0" applyAlignment="1">
      <x:alignment horizontal="right" vertical="bottom"/>
    </x:xf>
    <x:xf numFmtId="3" fontId="7" fillId="29" borderId="90" xfId="0" applyAlignment="1">
      <x:alignment horizontal="center" vertical="center"/>
    </x:xf>
    <x:xf numFmtId="1" fontId="7" fillId="4" borderId="193" xfId="0" applyAlignment="1">
      <x:alignment vertical="bottom"/>
    </x:xf>
    <x:xf numFmtId="1" fontId="7" fillId="4" borderId="194" xfId="0" applyAlignment="1">
      <x:alignment horizontal="center" vertical="bottom"/>
    </x:xf>
    <x:xf numFmtId="1" fontId="24" fillId="4" borderId="23" xfId="0" applyAlignment="1">
      <x:alignment horizontal="center" vertical="bottom"/>
    </x:xf>
    <x:xf numFmtId="3" fontId="7" fillId="4" borderId="28" xfId="0" applyAlignment="1">
      <x:alignment horizontal="center" vertical="center"/>
    </x:xf>
    <x:xf numFmtId="178" fontId="7" fillId="4" borderId="28" xfId="0" applyAlignment="1">
      <x:alignment horizontal="center" vertical="bottom"/>
    </x:xf>
    <x:xf numFmtId="0" fontId="7" fillId="17" borderId="108" xfId="0" applyAlignment="1">
      <x:alignment horizontal="center" vertical="center"/>
    </x:xf>
    <x:xf numFmtId="181" fontId="7" fillId="17" borderId="108" xfId="0" applyAlignment="1">
      <x:alignment horizontal="center" vertical="center"/>
    </x:xf>
    <x:xf numFmtId="49" fontId="7" fillId="17" borderId="108" xfId="0" applyAlignment="1">
      <x:alignment horizontal="center" vertical="bottom"/>
    </x:xf>
    <x:xf numFmtId="1" fontId="7" fillId="17" borderId="108" xfId="0" applyAlignment="1">
      <x:alignment horizontal="center" vertical="bottom"/>
    </x:xf>
    <x:xf numFmtId="49" fontId="7" fillId="17" borderId="6" xfId="0" applyAlignment="1">
      <x:alignment horizontal="center" vertical="bottom"/>
    </x:xf>
    <x:xf numFmtId="1" fontId="7" fillId="17" borderId="6" xfId="0" applyAlignment="1">
      <x:alignment horizontal="center" vertical="bottom"/>
    </x:xf>
    <x:xf numFmtId="1" fontId="7" fillId="18" borderId="108" xfId="0" applyAlignment="1">
      <x:alignment horizontal="center" vertical="bottom"/>
    </x:xf>
    <x:xf numFmtId="1" fontId="7" fillId="18" borderId="6" xfId="0" applyAlignment="1">
      <x:alignment horizontal="center" vertical="bottom"/>
    </x:xf>
    <x:xf numFmtId="1" fontId="7" fillId="4" borderId="104" xfId="0" applyAlignment="1">
      <x:alignment vertical="bottom"/>
    </x:xf>
    <x:xf numFmtId="1" fontId="7" fillId="4" borderId="25" xfId="0" applyAlignment="1">
      <x:alignment horizontal="center" vertical="bottom"/>
    </x:xf>
    <x:xf numFmtId="178" fontId="7" fillId="4" borderId="127" xfId="0" applyAlignment="1">
      <x:alignment horizontal="center" vertical="center"/>
    </x:xf>
    <x:xf numFmtId="1" fontId="7" fillId="4" borderId="104" xfId="0" applyAlignment="1">
      <x:alignment horizontal="center" vertical="center"/>
    </x:xf>
    <x:xf numFmtId="1" fontId="7" fillId="4" borderId="127" xfId="0" applyAlignment="1">
      <x:alignment horizontal="center" vertical="bottom"/>
    </x:xf>
    <x:xf numFmtId="10" fontId="7" fillId="4" borderId="25" xfId="0" applyAlignment="1">
      <x:alignment horizontal="center" vertical="center"/>
    </x:xf>
    <x:xf numFmtId="49" fontId="7" fillId="4" borderId="124" xfId="0" applyAlignment="1">
      <x:alignment horizontal="center" vertical="center"/>
    </x:xf>
    <x:xf numFmtId="0" fontId="7" fillId="4" borderId="123" xfId="0" applyAlignment="1">
      <x:alignment horizontal="center" vertical="center"/>
    </x:xf>
    <x:xf numFmtId="49" fontId="7" fillId="4" borderId="82" xfId="0" applyAlignment="1">
      <x:alignment horizontal="center" vertical="center"/>
    </x:xf>
    <x:xf numFmtId="49" fontId="7" fillId="4" borderId="124" xfId="0" applyAlignment="1">
      <x:alignment horizontal="center" vertical="bottom"/>
    </x:xf>
    <x:xf numFmtId="0" fontId="7" fillId="4" borderId="82" xfId="0" applyAlignment="1">
      <x:alignment horizontal="center" vertical="bottom"/>
    </x:xf>
    <x:xf numFmtId="49" fontId="7" fillId="4" borderId="114" xfId="0" applyAlignment="1">
      <x:alignment vertical="bottom"/>
    </x:xf>
    <x:xf numFmtId="200" fontId="27" fillId="4" borderId="115" xfId="0" applyAlignment="1">
      <x:alignment vertical="bottom"/>
    </x:xf>
    <x:xf numFmtId="200" fontId="27" fillId="4" borderId="116" xfId="0" applyAlignment="1">
      <x:alignment horizontal="center" vertical="bottom"/>
    </x:xf>
    <x:xf numFmtId="178" fontId="27" fillId="4" borderId="117" xfId="0" applyAlignment="1">
      <x:alignment horizontal="center" vertical="center"/>
    </x:xf>
    <x:xf numFmtId="200" fontId="27" fillId="4" borderId="115" xfId="0" applyAlignment="1">
      <x:alignment horizontal="center" vertical="center"/>
    </x:xf>
    <x:xf numFmtId="200" fontId="27" fillId="4" borderId="116" xfId="0" applyAlignment="1">
      <x:alignment horizontal="center" vertical="center"/>
    </x:xf>
    <x:xf numFmtId="200" fontId="27" fillId="4" borderId="117" xfId="0" applyAlignment="1">
      <x:alignment horizontal="center" vertical="bottom"/>
    </x:xf>
    <x:xf numFmtId="178" fontId="27" fillId="4" borderId="117" xfId="0" applyAlignment="1">
      <x:alignment horizontal="center" vertical="bottom"/>
    </x:xf>
    <x:xf numFmtId="10" fontId="27" fillId="4" borderId="116" xfId="0" applyAlignment="1">
      <x:alignment horizontal="center" vertical="center"/>
    </x:xf>
    <x:xf numFmtId="178" fontId="27" fillId="4" borderId="116" xfId="0" applyAlignment="1">
      <x:alignment horizontal="center" vertical="bottom"/>
    </x:xf>
    <x:xf numFmtId="200" fontId="27" fillId="4" borderId="116" xfId="0" applyAlignment="1">
      <x:alignment vertical="bottom"/>
    </x:xf>
    <x:xf numFmtId="49" fontId="7" fillId="4" borderId="119" xfId="0" applyAlignment="1">
      <x:alignment vertical="bottom"/>
    </x:xf>
    <x:xf numFmtId="200" fontId="27" fillId="4" borderId="118" xfId="0" applyAlignment="1">
      <x:alignment vertical="bottom"/>
    </x:xf>
    <x:xf numFmtId="200" fontId="27" fillId="4" borderId="86" xfId="0" applyAlignment="1">
      <x:alignment horizontal="center" vertical="bottom"/>
    </x:xf>
    <x:xf numFmtId="178" fontId="27" fillId="4" borderId="120" xfId="0" applyAlignment="1">
      <x:alignment horizontal="center" vertical="center"/>
    </x:xf>
    <x:xf numFmtId="200" fontId="27" fillId="4" borderId="118" xfId="0" applyAlignment="1">
      <x:alignment horizontal="center" vertical="center"/>
    </x:xf>
    <x:xf numFmtId="200" fontId="27" fillId="4" borderId="86" xfId="0" applyAlignment="1">
      <x:alignment horizontal="center" vertical="center"/>
    </x:xf>
    <x:xf numFmtId="200" fontId="27" fillId="4" borderId="120" xfId="0" applyAlignment="1">
      <x:alignment horizontal="center" vertical="bottom"/>
    </x:xf>
    <x:xf numFmtId="178" fontId="27" fillId="4" borderId="120" xfId="0" applyAlignment="1">
      <x:alignment horizontal="center" vertical="bottom"/>
    </x:xf>
    <x:xf numFmtId="10" fontId="27" fillId="4" borderId="86" xfId="0" applyAlignment="1">
      <x:alignment horizontal="center" vertical="center"/>
    </x:xf>
    <x:xf numFmtId="178" fontId="27" fillId="4" borderId="86" xfId="0" applyAlignment="1">
      <x:alignment horizontal="center" vertical="bottom"/>
    </x:xf>
    <x:xf numFmtId="200" fontId="27" fillId="4" borderId="86" xfId="0" applyAlignment="1">
      <x:alignment vertical="bottom"/>
    </x:xf>
    <x:xf numFmtId="49" fontId="7" fillId="4" borderId="121" xfId="0" applyAlignment="1">
      <x:alignment vertical="bottom"/>
    </x:xf>
    <x:xf numFmtId="200" fontId="7" fillId="4" borderId="85" xfId="0" applyAlignment="1">
      <x:alignment vertical="bottom"/>
    </x:xf>
    <x:xf numFmtId="200" fontId="7" fillId="4" borderId="85" xfId="0" applyAlignment="1">
      <x:alignment horizontal="center" vertical="center"/>
    </x:xf>
    <x:xf numFmtId="178" fontId="7" fillId="4" borderId="96" xfId="0" applyAlignment="1">
      <x:alignment vertical="bottom"/>
    </x:xf>
    <x:xf numFmtId="178" fontId="27" fillId="4" borderId="96" xfId="0" applyAlignment="1">
      <x:alignment horizontal="center" vertical="center"/>
    </x:xf>
    <x:xf numFmtId="200" fontId="27" fillId="4" borderId="85" xfId="0" applyAlignment="1">
      <x:alignment horizontal="center" vertical="center"/>
    </x:xf>
    <x:xf numFmtId="10" fontId="27" fillId="4" borderId="22" xfId="0" applyAlignment="1">
      <x:alignment horizontal="center" vertical="center"/>
    </x:xf>
    <x:xf numFmtId="10" fontId="27" fillId="4" borderId="96" xfId="0" applyAlignment="1">
      <x:alignment horizontal="center" vertical="bottom"/>
    </x:xf>
    <x:xf numFmtId="200" fontId="27" fillId="4" borderId="85" xfId="0" applyAlignment="1">
      <x:alignment vertical="bottom"/>
    </x:xf>
    <x:xf numFmtId="10" fontId="27" fillId="4" borderId="22" xfId="0" applyAlignment="1">
      <x:alignment horizontal="center" vertical="bottom"/>
    </x:xf>
    <x:xf numFmtId="178" fontId="27" fillId="4" borderId="96" xfId="0" applyAlignment="1">
      <x:alignment horizontal="center" vertical="bottom"/>
    </x:xf>
    <x:xf numFmtId="178" fontId="27" fillId="4" borderId="22" xfId="0" applyAlignment="1">
      <x:alignment horizontal="center" vertical="bottom"/>
    </x:xf>
    <x:xf numFmtId="178" fontId="24" fillId="4" borderId="96" xfId="0" applyAlignment="1">
      <x:alignment vertical="bottom"/>
    </x:xf>
    <x:xf numFmtId="49" fontId="24" fillId="4" borderId="121" xfId="0" applyAlignment="1">
      <x:alignment vertical="bottom"/>
    </x:xf>
    <x:xf numFmtId="200" fontId="24" fillId="4" borderId="85" xfId="0" applyAlignment="1">
      <x:alignment vertical="bottom"/>
    </x:xf>
    <x:xf numFmtId="10" fontId="24" fillId="4" borderId="22" xfId="0" applyAlignment="1">
      <x:alignment horizontal="center" vertical="center"/>
    </x:xf>
    <x:xf numFmtId="205" fontId="27" fillId="4" borderId="85" xfId="0" applyAlignment="1">
      <x:alignment horizontal="center" vertical="center"/>
    </x:xf>
    <x:xf numFmtId="205" fontId="27" fillId="4" borderId="85" xfId="0" applyAlignment="1">
      <x:alignment vertical="bottom"/>
    </x:xf>
    <x:xf numFmtId="200" fontId="24" fillId="4" borderId="22" xfId="0" applyAlignment="1">
      <x:alignment vertical="bottom"/>
    </x:xf>
    <x:xf numFmtId="49" fontId="24" fillId="4" borderId="122" xfId="0" applyAlignment="1">
      <x:alignment vertical="bottom"/>
    </x:xf>
    <x:xf numFmtId="200" fontId="24" fillId="4" borderId="123" xfId="0" applyAlignment="1">
      <x:alignment vertical="bottom"/>
    </x:xf>
    <x:xf numFmtId="10" fontId="24" fillId="4" borderId="82" xfId="0" applyAlignment="1">
      <x:alignment horizontal="center" vertical="center"/>
    </x:xf>
    <x:xf numFmtId="178" fontId="7" fillId="4" borderId="124" xfId="0" applyAlignment="1">
      <x:alignment horizontal="center" vertical="center"/>
    </x:xf>
    <x:xf numFmtId="205" fontId="27" fillId="4" borderId="123" xfId="0" applyAlignment="1">
      <x:alignment horizontal="center" vertical="center"/>
    </x:xf>
    <x:xf numFmtId="10" fontId="27" fillId="4" borderId="82" xfId="0" applyAlignment="1">
      <x:alignment horizontal="center" vertical="center"/>
    </x:xf>
    <x:xf numFmtId="10" fontId="27" fillId="4" borderId="124" xfId="0" applyAlignment="1">
      <x:alignment horizontal="center" vertical="bottom"/>
    </x:xf>
    <x:xf numFmtId="205" fontId="27" fillId="4" borderId="123" xfId="0" applyAlignment="1">
      <x:alignment vertical="bottom"/>
    </x:xf>
    <x:xf numFmtId="10" fontId="27" fillId="4" borderId="82" xfId="0" applyAlignment="1">
      <x:alignment horizontal="center" vertical="bottom"/>
    </x:xf>
    <x:xf numFmtId="178" fontId="27" fillId="4" borderId="124" xfId="0" applyAlignment="1">
      <x:alignment horizontal="center" vertical="bottom"/>
    </x:xf>
    <x:xf numFmtId="178" fontId="27" fillId="4" borderId="82" xfId="0" applyAlignment="1">
      <x:alignment horizontal="center" vertical="bottom"/>
    </x:xf>
    <x:xf numFmtId="200" fontId="27" fillId="4" borderId="82" xfId="0" applyAlignment="1">
      <x:alignment vertical="bottom"/>
    </x:xf>
    <x:xf numFmtId="49" fontId="7" fillId="29" borderId="107" xfId="0" applyAlignment="1">
      <x:alignment horizontal="right" vertical="bottom"/>
    </x:xf>
    <x:xf numFmtId="200" fontId="7" fillId="18" borderId="97" xfId="0" applyAlignment="1">
      <x:alignment vertical="bottom"/>
    </x:xf>
    <x:xf numFmtId="10" fontId="7" fillId="18" borderId="129" xfId="0" applyAlignment="1">
      <x:alignment horizontal="center" vertical="bottom"/>
    </x:xf>
    <x:xf numFmtId="178" fontId="7" fillId="18" borderId="98" xfId="0" applyAlignment="1">
      <x:alignment horizontal="center" vertical="center"/>
    </x:xf>
    <x:xf numFmtId="200" fontId="7" fillId="18" borderId="97" xfId="0" applyAlignment="1">
      <x:alignment horizontal="center" vertical="center"/>
    </x:xf>
    <x:xf numFmtId="10" fontId="7" fillId="18" borderId="129" xfId="0" applyAlignment="1">
      <x:alignment horizontal="center" vertical="center"/>
    </x:xf>
    <x:xf numFmtId="10" fontId="7" fillId="18" borderId="98" xfId="0" applyAlignment="1">
      <x:alignment horizontal="center" vertical="bottom"/>
    </x:xf>
    <x:xf numFmtId="200" fontId="7" fillId="18" borderId="129" xfId="0" applyAlignment="1">
      <x:alignment vertical="bottom"/>
    </x:xf>
    <x:xf numFmtId="178" fontId="7" fillId="18" borderId="129" xfId="0" applyAlignment="1">
      <x:alignment horizontal="center" vertical="bottom"/>
    </x:xf>
    <x:xf numFmtId="10" fontId="27" fillId="4" borderId="86" xfId="0" applyAlignment="1">
      <x:alignment horizontal="center" vertical="bottom"/>
    </x:xf>
    <x:xf numFmtId="10" fontId="27" fillId="4" borderId="120" xfId="0" applyAlignment="1">
      <x:alignment horizontal="center" vertical="bottom"/>
    </x:xf>
    <x:xf numFmtId="49" fontId="7" fillId="4" borderId="80" xfId="0" applyAlignment="1">
      <x:alignment vertical="bottom"/>
    </x:xf>
    <x:xf numFmtId="200" fontId="27" fillId="4" borderId="134" xfId="0" applyAlignment="1">
      <x:alignment vertical="bottom"/>
    </x:xf>
    <x:xf numFmtId="10" fontId="27" fillId="4" borderId="91" xfId="0" applyAlignment="1">
      <x:alignment horizontal="center" vertical="bottom"/>
    </x:xf>
    <x:xf numFmtId="178" fontId="27" fillId="4" borderId="135" xfId="0" applyAlignment="1">
      <x:alignment horizontal="center" vertical="center"/>
    </x:xf>
    <x:xf numFmtId="200" fontId="27" fillId="4" borderId="189" xfId="0" applyAlignment="1">
      <x:alignment horizontal="center" vertical="center"/>
    </x:xf>
    <x:xf numFmtId="10" fontId="27" fillId="4" borderId="23" xfId="0" applyAlignment="1">
      <x:alignment horizontal="center" vertical="center"/>
    </x:xf>
    <x:xf numFmtId="10" fontId="27" fillId="4" borderId="125" xfId="0" applyAlignment="1">
      <x:alignment horizontal="center" vertical="bottom"/>
    </x:xf>
    <x:xf numFmtId="10" fontId="27" fillId="4" borderId="23" xfId="0" applyAlignment="1">
      <x:alignment horizontal="center" vertical="bottom"/>
    </x:xf>
    <x:xf numFmtId="178" fontId="27" fillId="4" borderId="23" xfId="0" applyAlignment="1">
      <x:alignment horizontal="center" vertical="bottom"/>
    </x:xf>
    <x:xf numFmtId="49" fontId="7" fillId="30" borderId="108" xfId="0" applyAlignment="1">
      <x:alignment vertical="bottom"/>
    </x:xf>
    <x:xf numFmtId="200" fontId="7" fillId="30" borderId="140" xfId="0" applyAlignment="1">
      <x:alignment vertical="bottom"/>
    </x:xf>
    <x:xf numFmtId="10" fontId="27" fillId="30" borderId="8" xfId="0" applyAlignment="1">
      <x:alignment horizontal="center" vertical="bottom"/>
    </x:xf>
    <x:xf numFmtId="178" fontId="27" fillId="30" borderId="195" xfId="0" applyAlignment="1">
      <x:alignment horizontal="center" vertical="center"/>
    </x:xf>
    <x:xf numFmtId="200" fontId="27" fillId="30" borderId="110" xfId="0" applyAlignment="1">
      <x:alignment horizontal="center" vertical="center"/>
    </x:xf>
    <x:xf numFmtId="10" fontId="27" fillId="30" borderId="5" xfId="0" applyAlignment="1">
      <x:alignment horizontal="center" vertical="center"/>
    </x:xf>
    <x:xf numFmtId="10" fontId="27" fillId="30" borderId="196" xfId="0" applyAlignment="1">
      <x:alignment horizontal="center" vertical="bottom"/>
    </x:xf>
    <x:xf numFmtId="200" fontId="27" fillId="30" borderId="5" xfId="0" applyAlignment="1">
      <x:alignment vertical="bottom"/>
    </x:xf>
    <x:xf numFmtId="10" fontId="27" fillId="30" borderId="5" xfId="0" applyAlignment="1">
      <x:alignment horizontal="center" vertical="bottom"/>
    </x:xf>
    <x:xf numFmtId="178" fontId="27" fillId="30" borderId="5" xfId="0" applyAlignment="1">
      <x:alignment horizontal="center" vertical="bottom"/>
    </x:xf>
    <x:xf numFmtId="49" fontId="7" fillId="29" borderId="108" xfId="0" applyAlignment="1">
      <x:alignment horizontal="right" vertical="bottom"/>
    </x:xf>
    <x:xf numFmtId="200" fontId="7" fillId="18" borderId="197" xfId="0" applyAlignment="1">
      <x:alignment vertical="bottom"/>
    </x:xf>
    <x:xf numFmtId="10" fontId="7" fillId="18" borderId="198" xfId="0" applyAlignment="1">
      <x:alignment horizontal="center" vertical="bottom"/>
    </x:xf>
    <x:xf numFmtId="178" fontId="7" fillId="18" borderId="199" xfId="0" applyAlignment="1">
      <x:alignment horizontal="center" vertical="center"/>
    </x:xf>
    <x:xf numFmtId="200" fontId="7" fillId="18" borderId="197" xfId="0" applyAlignment="1">
      <x:alignment horizontal="center" vertical="center"/>
    </x:xf>
    <x:xf numFmtId="10" fontId="7" fillId="18" borderId="198" xfId="0" applyAlignment="1">
      <x:alignment horizontal="center" vertical="center"/>
    </x:xf>
    <x:xf numFmtId="10" fontId="7" fillId="18" borderId="199" xfId="0" applyAlignment="1">
      <x:alignment horizontal="center" vertical="bottom"/>
    </x:xf>
    <x:xf numFmtId="200" fontId="7" fillId="18" borderId="198" xfId="0" applyAlignment="1">
      <x:alignment vertical="bottom"/>
    </x:xf>
    <x:xf numFmtId="178" fontId="7" fillId="18" borderId="198" xfId="0" applyAlignment="1">
      <x:alignment horizontal="center" vertical="bottom"/>
    </x:xf>
    <x:xf numFmtId="200" fontId="27" fillId="4" borderId="189" xfId="0" applyAlignment="1">
      <x:alignment vertical="bottom"/>
    </x:xf>
    <x:xf numFmtId="178" fontId="27" fillId="4" borderId="125" xfId="0" applyAlignment="1">
      <x:alignment horizontal="center" vertical="center"/>
    </x:xf>
    <x:xf numFmtId="178" fontId="27" fillId="4" borderId="125" xfId="0" applyAlignment="1">
      <x:alignment horizontal="center" vertical="bottom"/>
    </x:xf>
    <x:xf numFmtId="178" fontId="7" fillId="4" borderId="125" xfId="0" applyAlignment="1">
      <x:alignment vertical="bottom"/>
    </x:xf>
    <x:xf numFmtId="200" fontId="7" fillId="30" borderId="90" xfId="0" applyAlignment="1">
      <x:alignment vertical="bottom"/>
    </x:xf>
    <x:xf numFmtId="10" fontId="7" fillId="30" borderId="6" xfId="0" applyAlignment="1">
      <x:alignment horizontal="center" vertical="bottom"/>
    </x:xf>
    <x:xf numFmtId="178" fontId="7" fillId="30" borderId="182" xfId="0" applyAlignment="1">
      <x:alignment horizontal="center" vertical="center"/>
    </x:xf>
    <x:xf numFmtId="200" fontId="7" fillId="30" borderId="90" xfId="0" applyAlignment="1">
      <x:alignment horizontal="center" vertical="center"/>
    </x:xf>
    <x:xf numFmtId="10" fontId="7" fillId="30" borderId="6" xfId="0" applyAlignment="1">
      <x:alignment horizontal="center" vertical="center"/>
    </x:xf>
    <x:xf numFmtId="10" fontId="7" fillId="30" borderId="182" xfId="0" applyAlignment="1">
      <x:alignment horizontal="center" vertical="bottom"/>
    </x:xf>
    <x:xf numFmtId="178" fontId="7" fillId="30" borderId="182" xfId="0" applyAlignment="1">
      <x:alignment horizontal="center" vertical="bottom"/>
    </x:xf>
    <x:xf numFmtId="178" fontId="7" fillId="30" borderId="6" xfId="0" applyAlignment="1">
      <x:alignment horizontal="center" vertical="bottom"/>
    </x:xf>
    <x:xf numFmtId="200" fontId="7" fillId="30" borderId="6" xfId="0" applyAlignment="1">
      <x:alignment vertical="bottom"/>
    </x:xf>
    <x:xf numFmtId="178" fontId="24" fillId="26" borderId="182" xfId="0" applyAlignment="1">
      <x:alignment vertical="bottom"/>
    </x:xf>
    <x:xf numFmtId="178" fontId="27" fillId="30" borderId="182" xfId="0" applyAlignment="1">
      <x:alignment horizontal="center" vertical="center"/>
    </x:xf>
    <x:xf numFmtId="200" fontId="27" fillId="30" borderId="90" xfId="0" applyAlignment="1">
      <x:alignment horizontal="center" vertical="center"/>
    </x:xf>
    <x:xf numFmtId="10" fontId="27" fillId="30" borderId="6" xfId="0" applyAlignment="1">
      <x:alignment horizontal="center" vertical="center"/>
    </x:xf>
    <x:xf numFmtId="10" fontId="27" fillId="30" borderId="182" xfId="0" applyAlignment="1">
      <x:alignment horizontal="center" vertical="bottom"/>
    </x:xf>
    <x:xf numFmtId="200" fontId="27" fillId="30" borderId="90" xfId="0" applyAlignment="1">
      <x:alignment vertical="bottom"/>
    </x:xf>
    <x:xf numFmtId="178" fontId="27" fillId="30" borderId="182" xfId="0" applyAlignment="1">
      <x:alignment horizontal="center" vertical="bottom"/>
    </x:xf>
    <x:xf numFmtId="178" fontId="27" fillId="30" borderId="6" xfId="0" applyAlignment="1">
      <x:alignment horizontal="center" vertical="bottom"/>
    </x:xf>
    <x:xf numFmtId="200" fontId="27" fillId="30" borderId="6" xfId="0" applyAlignment="1">
      <x:alignment vertical="bottom"/>
    </x:xf>
    <x:xf numFmtId="178" fontId="24" fillId="0" borderId="182" xfId="0" applyAlignment="1">
      <x:alignment vertical="bottom"/>
    </x:xf>
    <x:xf numFmtId="49" fontId="7" fillId="4" borderId="200" xfId="0" applyAlignment="1">
      <x:alignment vertical="bottom"/>
    </x:xf>
    <x:xf numFmtId="200" fontId="7" fillId="31" borderId="90" xfId="0" applyAlignment="1">
      <x:alignment vertical="bottom"/>
    </x:xf>
    <x:xf numFmtId="10" fontId="27" fillId="31" borderId="6" xfId="0" applyAlignment="1">
      <x:alignment horizontal="center" vertical="bottom"/>
    </x:xf>
    <x:xf numFmtId="178" fontId="27" fillId="31" borderId="182" xfId="0" applyAlignment="1">
      <x:alignment horizontal="center" vertical="center"/>
    </x:xf>
    <x:xf numFmtId="200" fontId="27" fillId="31" borderId="90" xfId="0" applyAlignment="1">
      <x:alignment horizontal="center" vertical="center"/>
    </x:xf>
    <x:xf numFmtId="10" fontId="27" fillId="31" borderId="6" xfId="0" applyAlignment="1">
      <x:alignment horizontal="center" vertical="center"/>
    </x:xf>
    <x:xf numFmtId="10" fontId="27" fillId="31" borderId="182" xfId="0" applyAlignment="1">
      <x:alignment horizontal="center" vertical="bottom"/>
    </x:xf>
    <x:xf numFmtId="200" fontId="27" fillId="31" borderId="90" xfId="0" applyAlignment="1">
      <x:alignment vertical="bottom"/>
    </x:xf>
    <x:xf numFmtId="178" fontId="27" fillId="31" borderId="182" xfId="0" applyAlignment="1">
      <x:alignment horizontal="center" vertical="bottom"/>
    </x:xf>
    <x:xf numFmtId="178" fontId="27" fillId="31" borderId="6" xfId="0" applyAlignment="1">
      <x:alignment horizontal="center" vertical="bottom"/>
    </x:xf>
    <x:xf numFmtId="200" fontId="27" fillId="31" borderId="6" xfId="0" applyAlignment="1">
      <x:alignment vertical="bottom"/>
    </x:xf>
    <x:xf numFmtId="200" fontId="7" fillId="31" borderId="110" xfId="0" applyAlignment="1">
      <x:alignment vertical="bottom"/>
    </x:xf>
    <x:xf numFmtId="10" fontId="27" fillId="31" borderId="5" xfId="0" applyAlignment="1">
      <x:alignment horizontal="center" vertical="bottom"/>
    </x:xf>
    <x:xf numFmtId="178" fontId="27" fillId="31" borderId="196" xfId="0" applyAlignment="1">
      <x:alignment horizontal="center" vertical="center"/>
    </x:xf>
    <x:xf numFmtId="200" fontId="27" fillId="31" borderId="110" xfId="0" applyAlignment="1">
      <x:alignment horizontal="center" vertical="center"/>
    </x:xf>
    <x:xf numFmtId="10" fontId="27" fillId="31" borderId="5" xfId="0" applyAlignment="1">
      <x:alignment horizontal="center" vertical="center"/>
    </x:xf>
    <x:xf numFmtId="10" fontId="27" fillId="31" borderId="196" xfId="0" applyAlignment="1">
      <x:alignment horizontal="center" vertical="bottom"/>
    </x:xf>
    <x:xf numFmtId="200" fontId="27" fillId="31" borderId="110" xfId="0" applyAlignment="1">
      <x:alignment vertical="bottom"/>
    </x:xf>
    <x:xf numFmtId="178" fontId="27" fillId="31" borderId="196" xfId="0" applyAlignment="1">
      <x:alignment horizontal="center" vertical="bottom"/>
    </x:xf>
    <x:xf numFmtId="178" fontId="27" fillId="31" borderId="5" xfId="0" applyAlignment="1">
      <x:alignment horizontal="center" vertical="bottom"/>
    </x:xf>
    <x:xf numFmtId="200" fontId="27" fillId="31" borderId="5" xfId="0" applyAlignment="1">
      <x:alignment vertical="bottom"/>
    </x:xf>
    <x:xf numFmtId="10" fontId="7" fillId="30" borderId="5" xfId="0" applyAlignment="1">
      <x:alignment horizontal="center" vertical="center"/>
    </x:xf>
    <x:xf numFmtId="49" fontId="7" fillId="29" borderId="108" xfId="0" applyAlignment="1">
      <x:alignment vertical="bottom"/>
    </x:xf>
    <x:xf numFmtId="205" fontId="7" fillId="18" borderId="197" xfId="0" applyAlignment="1">
      <x:alignment horizontal="right" vertical="center"/>
    </x:xf>
    <x:xf numFmtId="178" fontId="7" fillId="18" borderId="199" xfId="0" applyAlignment="1">
      <x:alignment horizontal="center" vertical="bottom"/>
    </x:xf>
    <x:xf numFmtId="200" fontId="27" fillId="4" borderId="130" xfId="0" applyAlignment="1">
      <x:alignment vertical="bottom"/>
    </x:xf>
    <x:xf numFmtId="10" fontId="27" fillId="4" borderId="99" xfId="0" applyAlignment="1">
      <x:alignment horizontal="center" vertical="bottom"/>
    </x:xf>
    <x:xf numFmtId="178" fontId="27" fillId="4" borderId="131" xfId="0" applyAlignment="1">
      <x:alignment horizontal="center" vertical="center"/>
    </x:xf>
    <x:xf numFmtId="200" fontId="27" fillId="4" borderId="130" xfId="0" applyAlignment="1">
      <x:alignment horizontal="center" vertical="center"/>
    </x:xf>
    <x:xf numFmtId="10" fontId="27" fillId="4" borderId="99" xfId="0" applyAlignment="1">
      <x:alignment horizontal="center" vertical="center"/>
    </x:xf>
    <x:xf numFmtId="200" fontId="27" fillId="4" borderId="99" xfId="0" applyAlignment="1">
      <x:alignment vertical="bottom"/>
    </x:xf>
    <x:xf numFmtId="178" fontId="27" fillId="4" borderId="99" xfId="0" applyAlignment="1">
      <x:alignment horizontal="center" vertical="bottom"/>
    </x:xf>
    <x:xf numFmtId="49" fontId="7" fillId="18" borderId="199" xfId="0" applyAlignment="1">
      <x:alignment horizontal="center" vertical="center"/>
    </x:xf>
    <x:xf numFmtId="170" fontId="7" fillId="18" borderId="198" xfId="0" applyAlignment="1">
      <x:alignment horizontal="center" vertical="center"/>
    </x:xf>
    <x:xf numFmtId="1" fontId="7" fillId="28" borderId="108" xfId="0" applyAlignment="1">
      <x:alignment horizontal="center" vertical="bottom"/>
    </x:xf>
    <x:xf numFmtId="0" fontId="7" fillId="17" borderId="84" xfId="0" applyAlignment="1">
      <x:alignment horizontal="center" vertical="bottom"/>
    </x:xf>
    <x:xf numFmtId="200" fontId="7" fillId="17" borderId="84" xfId="0" applyAlignment="1">
      <x:alignment horizontal="center" vertical="bottom"/>
    </x:xf>
    <x:xf numFmtId="1" fontId="7" fillId="22" borderId="108" xfId="0" applyAlignment="1">
      <x:alignment horizontal="center" vertical="bottom"/>
    </x:xf>
    <x:xf numFmtId="1" fontId="7" fillId="28" borderId="90" xfId="0" applyAlignment="1">
      <x:alignment horizontal="center" vertical="bottom"/>
    </x:xf>
    <x:xf numFmtId="49" fontId="7" fillId="4" borderId="122" xfId="0" applyAlignment="1">
      <x:alignment vertical="bottom"/>
    </x:xf>
    <x:xf numFmtId="200" fontId="7" fillId="4" borderId="22" xfId="0" applyAlignment="1">
      <x:alignment horizontal="center" vertical="center"/>
    </x:xf>
    <x:xf numFmtId="1" fontId="7" fillId="4" borderId="22" xfId="0" applyAlignment="1">
      <x:alignment horizontal="center" vertical="center"/>
    </x:xf>
    <x:xf numFmtId="4" fontId="7" fillId="4" borderId="96" xfId="0" applyAlignment="1">
      <x:alignment horizontal="center" vertical="center"/>
    </x:xf>
    <x:xf numFmtId="0" fontId="7" fillId="4" borderId="120" xfId="0" applyAlignment="1">
      <x:alignment horizontal="center" vertical="center"/>
    </x:xf>
    <x:xf numFmtId="49" fontId="7" fillId="4" borderId="86" xfId="0" applyAlignment="1">
      <x:alignment horizontal="center" vertical="center"/>
    </x:xf>
    <x:xf numFmtId="0" fontId="7" fillId="4" borderId="120" xfId="0" applyAlignment="1">
      <x:alignment horizontal="center" vertical="bottom"/>
    </x:xf>
    <x:xf numFmtId="178" fontId="7" fillId="4" borderId="96" xfId="0" applyAlignment="1">
      <x:alignment horizontal="center" vertical="center"/>
    </x:xf>
    <x:xf numFmtId="200" fontId="29" fillId="4" borderId="85" xfId="0" applyAlignment="1">
      <x:alignment horizontal="center" vertical="center"/>
    </x:xf>
    <x:xf numFmtId="10" fontId="29" fillId="4" borderId="22" xfId="0" applyAlignment="1">
      <x:alignment horizontal="center" vertical="center"/>
    </x:xf>
    <x:xf numFmtId="178" fontId="29" fillId="4" borderId="96" xfId="0" applyAlignment="1">
      <x:alignment horizontal="center" vertical="bottom"/>
    </x:xf>
    <x:xf numFmtId="1" fontId="7" fillId="22" borderId="108" xfId="0" applyAlignment="1">
      <x:alignment vertical="bottom"/>
    </x:xf>
    <x:xf numFmtId="178" fontId="7" fillId="4" borderId="84" xfId="0" applyAlignment="1">
      <x:alignment horizontal="center" vertical="center"/>
    </x:xf>
    <x:xf numFmtId="178" fontId="7" fillId="4" borderId="121" xfId="0" applyAlignment="1">
      <x:alignment vertical="bottom"/>
    </x:xf>
    <x:xf numFmtId="10" fontId="7" fillId="4" borderId="23" xfId="0" applyAlignment="1">
      <x:alignment horizontal="center" vertical="bottom"/>
    </x:xf>
    <x:xf numFmtId="178" fontId="7" fillId="4" borderId="125" xfId="0" applyAlignment="1">
      <x:alignment horizontal="center" vertical="center"/>
    </x:xf>
    <x:xf numFmtId="1" fontId="7" fillId="4" borderId="27" xfId="0" applyAlignment="1">
      <x:alignment vertical="bottom"/>
    </x:xf>
    <x:xf numFmtId="178" fontId="7" fillId="0" borderId="182" xfId="0" applyAlignment="1">
      <x:alignment vertical="bottom"/>
    </x:xf>
    <x:xf numFmtId="49" fontId="7" fillId="31" borderId="108" xfId="0" applyAlignment="1">
      <x:alignment vertical="bottom"/>
    </x:xf>
    <x:xf numFmtId="10" fontId="7" fillId="31" borderId="6" xfId="0" applyAlignment="1">
      <x:alignment horizontal="center" vertical="bottom"/>
    </x:xf>
    <x:xf numFmtId="201" fontId="7" fillId="31" borderId="182" xfId="0" applyAlignment="1">
      <x:alignment horizontal="center" vertical="center"/>
    </x:xf>
    <x:xf numFmtId="200" fontId="7" fillId="31" borderId="90" xfId="0" applyAlignment="1">
      <x:alignment horizontal="center" vertical="center"/>
    </x:xf>
    <x:xf numFmtId="201" fontId="7" fillId="31" borderId="182" xfId="0" applyAlignment="1">
      <x:alignment horizontal="center" vertical="bottom"/>
    </x:xf>
    <x:xf numFmtId="178" fontId="7" fillId="4" borderId="126" xfId="0" applyAlignment="1">
      <x:alignment vertical="bottom"/>
    </x:xf>
    <x:xf numFmtId="49" fontId="7" fillId="4" borderId="108" xfId="0" applyAlignment="1">
      <x:alignment vertical="bottom"/>
    </x:xf>
    <x:xf numFmtId="200" fontId="27" fillId="4" borderId="201" xfId="0" applyAlignment="1">
      <x:alignment vertical="bottom"/>
    </x:xf>
    <x:xf numFmtId="10" fontId="7" fillId="4" borderId="28" xfId="0" applyAlignment="1">
      <x:alignment horizontal="center" vertical="bottom"/>
    </x:xf>
    <x:xf numFmtId="178" fontId="7" fillId="4" borderId="126" xfId="0" applyAlignment="1">
      <x:alignment horizontal="center" vertical="center"/>
    </x:xf>
    <x:xf numFmtId="200" fontId="27" fillId="4" borderId="201" xfId="0" applyAlignment="1">
      <x:alignment horizontal="center" vertical="center"/>
    </x:xf>
    <x:xf numFmtId="10" fontId="27" fillId="4" borderId="28" xfId="0" applyAlignment="1">
      <x:alignment horizontal="center" vertical="center"/>
    </x:xf>
    <x:xf numFmtId="178" fontId="27" fillId="4" borderId="126" xfId="0" applyAlignment="1">
      <x:alignment horizontal="center" vertical="bottom"/>
    </x:xf>
    <x:xf numFmtId="178" fontId="7" fillId="4" borderId="127" xfId="0" applyAlignment="1">
      <x:alignment vertical="bottom"/>
    </x:xf>
    <x:xf numFmtId="200" fontId="27" fillId="4" borderId="104" xfId="0" applyAlignment="1">
      <x:alignment vertical="bottom"/>
    </x:xf>
    <x:xf numFmtId="10" fontId="7" fillId="4" borderId="25" xfId="0" applyAlignment="1">
      <x:alignment horizontal="center" vertical="bottom"/>
    </x:xf>
    <x:xf numFmtId="200" fontId="27" fillId="4" borderId="104" xfId="0" applyAlignment="1">
      <x:alignment horizontal="center" vertical="center"/>
    </x:xf>
    <x:xf numFmtId="10" fontId="27" fillId="4" borderId="25" xfId="0" applyAlignment="1">
      <x:alignment horizontal="center" vertical="center"/>
    </x:xf>
    <x:xf numFmtId="178" fontId="27" fillId="4" borderId="127" xfId="0" applyAlignment="1">
      <x:alignment horizontal="center" vertical="bottom"/>
    </x:xf>
    <x:xf numFmtId="9" fontId="7" fillId="0" borderId="182" xfId="0" applyAlignment="1">
      <x:alignment vertical="bottom"/>
    </x:xf>
    <x:xf numFmtId="10" fontId="7" fillId="31" borderId="6" xfId="0" applyAlignment="1">
      <x:alignment horizontal="center" vertical="center"/>
    </x:xf>
    <x:xf numFmtId="49" fontId="7" fillId="4" borderId="200" xfId="0" applyAlignment="1">
      <x:alignment horizontal="left" vertical="top"/>
    </x:xf>
    <x:xf numFmtId="200" fontId="27" fillId="4" borderId="123" xfId="0" applyAlignment="1">
      <x:alignment vertical="bottom"/>
    </x:xf>
    <x:xf numFmtId="10" fontId="7" fillId="4" borderId="82" xfId="0" applyAlignment="1">
      <x:alignment horizontal="center" vertical="bottom"/>
    </x:xf>
    <x:xf numFmtId="200" fontId="27" fillId="4" borderId="123" xfId="0" applyAlignment="1">
      <x:alignment horizontal="center" vertical="center"/>
    </x:xf>
    <x:xf numFmtId="49" fontId="7" fillId="20" borderId="84" xfId="0" applyAlignment="1">
      <x:alignment horizontal="right" vertical="bottom"/>
    </x:xf>
    <x:xf numFmtId="178" fontId="7" fillId="18" borderId="98" xfId="0" applyAlignment="1">
      <x:alignment horizontal="center" vertical="bottom"/>
    </x:xf>
    <x:xf numFmtId="10" fontId="27" fillId="4" borderId="116" xfId="0" applyAlignment="1">
      <x:alignment horizontal="center" vertical="bottom"/>
    </x:xf>
    <x:xf numFmtId="178" fontId="27" fillId="4" borderId="86" xfId="0" applyAlignment="1">
      <x:alignment horizontal="center" vertical="center"/>
    </x:xf>
    <x:xf numFmtId="178" fontId="7" fillId="4" borderId="23" xfId="0" applyAlignment="1">
      <x:alignment horizontal="center" vertical="center"/>
    </x:xf>
    <x:xf numFmtId="201" fontId="7" fillId="31" borderId="6" xfId="0" applyAlignment="1">
      <x:alignment horizontal="center" vertical="center"/>
    </x:xf>
    <x:xf numFmtId="200" fontId="7" fillId="31" borderId="6" xfId="0" applyAlignment="1">
      <x:alignment vertical="bottom"/>
    </x:xf>
    <x:xf numFmtId="10" fontId="27" fillId="4" borderId="25" xfId="0" applyAlignment="1">
      <x:alignment horizontal="center" vertical="bottom"/>
    </x:xf>
    <x:xf numFmtId="178" fontId="7" fillId="4" borderId="25" xfId="0" applyAlignment="1">
      <x:alignment horizontal="center" vertical="center"/>
    </x:xf>
    <x:xf numFmtId="200" fontId="27" fillId="4" borderId="25" xfId="0" applyAlignment="1">
      <x:alignment vertical="bottom"/>
    </x:xf>
    <x:xf numFmtId="178" fontId="7" fillId="4" borderId="22" xfId="0" applyAlignment="1">
      <x:alignment horizontal="center" vertical="center"/>
    </x:xf>
    <x:xf numFmtId="178" fontId="7" fillId="18" borderId="129" xfId="0" applyAlignment="1">
      <x:alignment horizontal="center" vertical="center"/>
    </x:xf>
    <x:xf numFmtId="200" fontId="7" fillId="18" borderId="129" xfId="0" applyAlignment="1">
      <x:alignment horizontal="center" vertical="center"/>
    </x:xf>
    <x:xf numFmtId="0" fontId="7" fillId="17" borderId="177" xfId="0" applyAlignment="1">
      <x:alignment horizontal="center" vertical="bottom"/>
    </x:xf>
    <x:xf numFmtId="200" fontId="7" fillId="17" borderId="177" xfId="0" applyAlignment="1">
      <x:alignment horizontal="center" vertical="bottom"/>
    </x:xf>
    <x:xf numFmtId="200" fontId="7" fillId="17" borderId="151" xfId="0" applyAlignment="1">
      <x:alignment horizontal="center" vertical="bottom"/>
    </x:xf>
    <x:xf numFmtId="200" fontId="7" fillId="17" borderId="184" xfId="0" applyAlignment="1">
      <x:alignment horizontal="center" vertical="center"/>
    </x:xf>
    <x:xf numFmtId="200" fontId="7" fillId="17" borderId="177" xfId="0" applyAlignment="1">
      <x:alignment horizontal="center" vertical="center"/>
    </x:xf>
    <x:xf numFmtId="1" fontId="7" fillId="28" borderId="6" xfId="0" applyAlignment="1">
      <x:alignment horizontal="center" vertical="bottom"/>
    </x:xf>
    <x:xf numFmtId="200" fontId="7" fillId="17" borderId="184" xfId="0" applyAlignment="1">
      <x:alignment horizontal="center" vertical="bottom"/>
    </x:xf>
    <x:xf numFmtId="49" fontId="7" fillId="4" borderId="84" xfId="0" applyAlignment="1">
      <x:alignment vertical="bottom"/>
    </x:xf>
    <x:xf numFmtId="200" fontId="27" fillId="4" borderId="202" xfId="0" applyAlignment="1">
      <x:alignment vertical="bottom"/>
    </x:xf>
    <x:xf numFmtId="10" fontId="27" fillId="4" borderId="203" xfId="0" applyAlignment="1">
      <x:alignment horizontal="center" vertical="bottom"/>
    </x:xf>
    <x:xf numFmtId="178" fontId="27" fillId="4" borderId="204" xfId="0" applyAlignment="1">
      <x:alignment horizontal="center" vertical="center"/>
    </x:xf>
    <x:xf numFmtId="200" fontId="27" fillId="4" borderId="202" xfId="0" applyAlignment="1">
      <x:alignment horizontal="center" vertical="center"/>
    </x:xf>
    <x:xf numFmtId="10" fontId="27" fillId="4" borderId="203" xfId="0" applyAlignment="1">
      <x:alignment horizontal="center" vertical="center"/>
    </x:xf>
    <x:xf numFmtId="200" fontId="27" fillId="4" borderId="203" xfId="0" applyAlignment="1">
      <x:alignment vertical="bottom"/>
    </x:xf>
    <x:xf numFmtId="178" fontId="27" fillId="4" borderId="203" xfId="0" applyAlignment="1">
      <x:alignment horizontal="center" vertical="bottom"/>
    </x:xf>
    <x:xf numFmtId="9" fontId="7" fillId="26" borderId="6" xfId="0" applyAlignment="1">
      <x:alignment horizontal="center" vertical="bottom"/>
    </x:xf>
    <x:xf numFmtId="178" fontId="7" fillId="26" borderId="182" xfId="0" applyAlignment="1">
      <x:alignment vertical="bottom"/>
    </x:xf>
    <x:xf numFmtId="49" fontId="7" fillId="30" borderId="107" xfId="0" applyAlignment="1">
      <x:alignment vertical="bottom"/>
    </x:xf>
    <x:xf numFmtId="200" fontId="7" fillId="30" borderId="184" xfId="0" applyAlignment="1">
      <x:alignment horizontal="center" vertical="bottom"/>
    </x:xf>
    <x:xf numFmtId="10" fontId="7" fillId="30" borderId="177" xfId="0" applyAlignment="1">
      <x:alignment horizontal="center" vertical="bottom"/>
    </x:xf>
    <x:xf numFmtId="201" fontId="7" fillId="30" borderId="151" xfId="0" applyAlignment="1">
      <x:alignment horizontal="center" vertical="bottom"/>
    </x:xf>
    <x:xf numFmtId="10" fontId="7" fillId="26" borderId="182" xfId="0" applyAlignment="1">
      <x:alignment vertical="bottom"/>
    </x:xf>
    <x:xf numFmtId="0" fontId="7" fillId="30" borderId="108" xfId="0" applyAlignment="1">
      <x:alignment vertical="bottom"/>
    </x:xf>
    <x:xf numFmtId="200" fontId="7" fillId="30" borderId="90" xfId="0" applyAlignment="1">
      <x:alignment horizontal="center" vertical="bottom"/>
    </x:xf>
    <x:xf numFmtId="201" fontId="7" fillId="30" borderId="182" xfId="0" applyAlignment="1">
      <x:alignment horizontal="center" vertical="bottom"/>
    </x:xf>
    <x:xf numFmtId="49" fontId="7" fillId="30" borderId="114" xfId="0" applyAlignment="1">
      <x:alignment vertical="bottom"/>
    </x:xf>
    <x:xf numFmtId="200" fontId="7" fillId="30" borderId="188" xfId="0" applyAlignment="1">
      <x:alignment horizontal="center" vertical="bottom"/>
    </x:xf>
    <x:xf numFmtId="10" fontId="7" fillId="30" borderId="103" xfId="0" applyAlignment="1">
      <x:alignment horizontal="center" vertical="bottom"/>
    </x:xf>
    <x:xf numFmtId="201" fontId="7" fillId="30" borderId="186" xfId="0" applyAlignment="1">
      <x:alignment horizontal="center" vertical="bottom"/>
    </x:xf>
    <x:xf numFmtId="200" fontId="7" fillId="4" borderId="22" xfId="0" applyAlignment="1">
      <x:alignment horizontal="right" vertical="bottom"/>
    </x:xf>
    <x:xf numFmtId="200" fontId="7" fillId="0" borderId="22" xfId="0" applyAlignment="1">
      <x:alignment horizontal="right" vertical="bottom"/>
    </x:xf>
    <x:xf numFmtId="178" fontId="7" fillId="4" borderId="96" xfId="0" applyAlignment="1">
      <x:alignment horizontal="right" vertical="bottom"/>
    </x:xf>
    <x:xf numFmtId="1" fontId="7" fillId="28" borderId="108" xfId="0" applyAlignment="1">
      <x:alignment horizontal="right" vertical="bottom"/>
    </x:xf>
    <x:xf numFmtId="200" fontId="7" fillId="18" borderId="97" xfId="0" applyAlignment="1">
      <x:alignment horizontal="center" vertical="bottom"/>
    </x:xf>
    <x:xf numFmtId="1" fontId="7" fillId="28" borderId="90" xfId="0" applyAlignment="1">
      <x:alignment horizontal="right" vertical="bottom"/>
    </x:xf>
    <x:xf numFmtId="200" fontId="7" fillId="4" borderId="116" xfId="0" applyAlignment="1">
      <x:alignment vertical="bottom"/>
    </x:xf>
    <x:xf numFmtId="200" fontId="7" fillId="4" borderId="117" xfId="0" applyAlignment="1">
      <x:alignment horizontal="center" vertical="center"/>
    </x:xf>
    <x:xf numFmtId="200" fontId="7" fillId="4" borderId="116" xfId="0" applyAlignment="1">
      <x:alignment horizontal="center" vertical="center"/>
    </x:xf>
    <x:xf numFmtId="10" fontId="7" fillId="4" borderId="116" xfId="0" applyAlignment="1">
      <x:alignment horizontal="center" vertical="center"/>
    </x:xf>
    <x:xf numFmtId="49" fontId="7" fillId="4" borderId="193" xfId="0" applyAlignment="1">
      <x:alignment horizontal="center" vertical="bottom"/>
    </x:xf>
    <x:xf numFmtId="49" fontId="7" fillId="4" borderId="205" xfId="0" applyAlignment="1">
      <x:alignment horizontal="center" vertical="bottom"/>
    </x:xf>
    <x:xf numFmtId="49" fontId="7" fillId="4" borderId="194" xfId="0" applyAlignment="1">
      <x:alignment horizontal="center" vertical="center"/>
    </x:xf>
    <x:xf numFmtId="200" fontId="27" fillId="32" borderId="90" xfId="0" applyAlignment="1">
      <x:alignment vertical="bottom"/>
    </x:xf>
    <x:xf numFmtId="10" fontId="27" fillId="32" borderId="6" xfId="0" applyAlignment="1">
      <x:alignment horizontal="center" vertical="bottom"/>
    </x:xf>
    <x:xf numFmtId="178" fontId="27" fillId="32" borderId="182" xfId="0" applyAlignment="1">
      <x:alignment horizontal="center" vertical="center"/>
    </x:xf>
    <x:xf numFmtId="10" fontId="27" fillId="32" borderId="6" xfId="0" applyAlignment="1">
      <x:alignment horizontal="center" vertical="center"/>
    </x:xf>
    <x:xf numFmtId="178" fontId="27" fillId="32" borderId="182" xfId="0" applyAlignment="1">
      <x:alignment horizontal="center" vertical="bottom"/>
    </x:xf>
    <x:xf numFmtId="10" fontId="7" fillId="4" borderId="22" xfId="0" applyAlignment="1">
      <x:alignment vertical="bottom"/>
    </x:xf>
    <x:xf numFmtId="200" fontId="27" fillId="32" borderId="188" xfId="0" applyAlignment="1">
      <x:alignment vertical="bottom"/>
    </x:xf>
    <x:xf numFmtId="10" fontId="27" fillId="32" borderId="103" xfId="0" applyAlignment="1">
      <x:alignment horizontal="center" vertical="bottom"/>
    </x:xf>
    <x:xf numFmtId="178" fontId="27" fillId="32" borderId="186" xfId="0" applyAlignment="1">
      <x:alignment horizontal="center" vertical="center"/>
    </x:xf>
    <x:xf numFmtId="10" fontId="27" fillId="32" borderId="103" xfId="0" applyAlignment="1">
      <x:alignment horizontal="center" vertical="center"/>
    </x:xf>
    <x:xf numFmtId="178" fontId="27" fillId="32" borderId="186" xfId="0" applyAlignment="1">
      <x:alignment horizontal="center" vertical="bottom"/>
    </x:xf>
    <x:xf numFmtId="10" fontId="27" fillId="4" borderId="22" xfId="0" applyAlignment="1">
      <x:alignment vertical="bottom"/>
    </x:xf>
    <x:xf numFmtId="1" fontId="7" fillId="4" borderId="115" xfId="0" applyAlignment="1">
      <x:alignment horizontal="right" vertical="bottom"/>
    </x:xf>
    <x:xf numFmtId="178" fontId="27" fillId="4" borderId="124" xfId="0" applyAlignment="1">
      <x:alignment horizontal="center" vertical="center"/>
    </x:xf>
    <x:xf numFmtId="200" fontId="27" fillId="32" borderId="184" xfId="0" applyAlignment="1">
      <x:alignment vertical="bottom"/>
    </x:xf>
    <x:xf numFmtId="10" fontId="27" fillId="32" borderId="177" xfId="0" applyAlignment="1">
      <x:alignment horizontal="center" vertical="bottom"/>
    </x:xf>
    <x:xf numFmtId="178" fontId="27" fillId="32" borderId="151" xfId="0" applyAlignment="1">
      <x:alignment horizontal="center" vertical="center"/>
    </x:xf>
    <x:xf numFmtId="200" fontId="7" fillId="32" borderId="184" xfId="0" applyAlignment="1">
      <x:alignment vertical="bottom"/>
    </x:xf>
    <x:xf numFmtId="10" fontId="7" fillId="32" borderId="177" xfId="0" applyAlignment="1">
      <x:alignment horizontal="center" vertical="bottom"/>
    </x:xf>
    <x:xf numFmtId="178" fontId="7" fillId="32" borderId="151" xfId="0" applyAlignment="1">
      <x:alignment horizontal="center" vertical="center"/>
    </x:xf>
    <x:xf numFmtId="200" fontId="7" fillId="32" borderId="90" xfId="0" applyAlignment="1">
      <x:alignment vertical="bottom"/>
    </x:xf>
    <x:xf numFmtId="10" fontId="7" fillId="32" borderId="6" xfId="0" applyAlignment="1">
      <x:alignment horizontal="center" vertical="bottom"/>
    </x:xf>
    <x:xf numFmtId="178" fontId="7" fillId="32" borderId="182" xfId="0" applyAlignment="1">
      <x:alignment horizontal="center" vertical="center"/>
    </x:xf>
    <x:xf numFmtId="178" fontId="27" fillId="32" borderId="6" xfId="0" applyAlignment="1">
      <x:alignment horizontal="center" vertical="center"/>
    </x:xf>
    <x:xf numFmtId="49" fontId="7" fillId="20" borderId="114" xfId="0" applyAlignment="1">
      <x:alignment horizontal="right" vertical="bottom"/>
    </x:xf>
    <x:xf numFmtId="49" fontId="7" fillId="4" borderId="115" xfId="0" applyAlignment="1">
      <x:alignment vertical="bottom"/>
    </x:xf>
    <x:xf numFmtId="49" fontId="7" fillId="4" borderId="107" xfId="0" applyAlignment="1">
      <x:alignment vertical="bottom"/>
    </x:xf>
    <x:xf numFmtId="200" fontId="27" fillId="32" borderId="90" xfId="0" applyAlignment="1">
      <x:alignment horizontal="center" vertical="center"/>
    </x:xf>
    <x:xf numFmtId="49" fontId="24" fillId="18" borderId="108" xfId="0" applyAlignment="1">
      <x:alignment vertical="bottom"/>
    </x:xf>
    <x:xf numFmtId="200" fontId="29" fillId="18" borderId="90" xfId="0" applyAlignment="1">
      <x:alignment vertical="bottom"/>
    </x:xf>
    <x:xf numFmtId="10" fontId="29" fillId="18" borderId="6" xfId="0" applyAlignment="1">
      <x:alignment horizontal="center" vertical="bottom"/>
    </x:xf>
    <x:xf numFmtId="178" fontId="29" fillId="18" borderId="182" xfId="0" applyAlignment="1">
      <x:alignment horizontal="center" vertical="center"/>
    </x:xf>
    <x:xf numFmtId="200" fontId="27" fillId="32" borderId="188" xfId="0" applyAlignment="1">
      <x:alignment horizontal="center" vertical="center"/>
    </x:xf>
    <x:xf numFmtId="200" fontId="7" fillId="4" borderId="116" xfId="0" applyAlignment="1">
      <x:alignment horizontal="center" vertical="bottom"/>
    </x:xf>
    <x:xf numFmtId="200" fontId="7" fillId="4" borderId="115" xfId="0" applyAlignment="1">
      <x:alignment horizontal="center" vertical="center"/>
    </x:xf>
    <x:xf numFmtId="10" fontId="7" fillId="4" borderId="190" xfId="0" applyAlignment="1">
      <x:alignment horizontal="center" vertical="bottom"/>
    </x:xf>
    <x:xf numFmtId="200" fontId="7" fillId="4" borderId="192" xfId="0" applyAlignment="1">
      <x:alignment horizontal="center" vertical="bottom"/>
    </x:xf>
    <x:xf numFmtId="178" fontId="7" fillId="4" borderId="190" xfId="0" applyAlignment="1">
      <x:alignment horizontal="center" vertical="bottom"/>
    </x:xf>
    <x:xf numFmtId="200" fontId="7" fillId="4" borderId="115" xfId="0" applyAlignment="1">
      <x:alignment horizontal="center" vertical="bottom"/>
    </x:xf>
    <x:xf numFmtId="178" fontId="7" fillId="31" borderId="182" xfId="0" applyAlignment="1">
      <x:alignment horizontal="center" vertical="center"/>
    </x:xf>
    <x:xf numFmtId="10" fontId="27" fillId="4" borderId="28" xfId="0" applyAlignment="1">
      <x:alignment horizontal="center" vertical="bottom"/>
    </x:xf>
    <x:xf numFmtId="200" fontId="27" fillId="31" borderId="188" xfId="0" applyAlignment="1">
      <x:alignment vertical="bottom"/>
    </x:xf>
    <x:xf numFmtId="10" fontId="7" fillId="31" borderId="103" xfId="0" applyAlignment="1">
      <x:alignment horizontal="center" vertical="bottom"/>
    </x:xf>
    <x:xf numFmtId="178" fontId="7" fillId="31" borderId="186" xfId="0" applyAlignment="1">
      <x:alignment horizontal="center" vertical="center"/>
    </x:xf>
    <x:xf numFmtId="200" fontId="27" fillId="31" borderId="188" xfId="0" applyAlignment="1">
      <x:alignment horizontal="center" vertical="center"/>
    </x:xf>
    <x:xf numFmtId="10" fontId="27" fillId="31" borderId="103" xfId="0" applyAlignment="1">
      <x:alignment horizontal="center" vertical="center"/>
    </x:xf>
    <x:xf numFmtId="10" fontId="27" fillId="31" borderId="103" xfId="0" applyAlignment="1">
      <x:alignment horizontal="center" vertical="bottom"/>
    </x:xf>
    <x:xf numFmtId="200" fontId="44" fillId="18" borderId="97" xfId="0" applyAlignment="1">
      <x:alignment vertical="bottom"/>
    </x:xf>
    <x:xf numFmtId="178" fontId="24" fillId="4" borderId="96" xfId="0" applyAlignment="1">
      <x:alignment horizontal="center" vertical="center"/>
    </x:xf>
    <x:xf numFmtId="49" fontId="7" fillId="31" borderId="108" xfId="0" applyAlignment="1">
      <x:alignment horizontal="left" vertical="bottom"/>
    </x:xf>
    <x:xf numFmtId="49" fontId="7" fillId="31" borderId="114" xfId="0" applyAlignment="1">
      <x:alignment vertical="bottom"/>
    </x:xf>
    <x:xf numFmtId="201" fontId="7" fillId="31" borderId="186" xfId="0" applyAlignment="1">
      <x:alignment horizontal="center" vertical="center"/>
    </x:xf>
    <x:xf numFmtId="201" fontId="7" fillId="18" borderId="98" xfId="0" applyAlignment="1">
      <x:alignment horizontal="center" vertical="center"/>
    </x:xf>
    <x:xf numFmtId="200" fontId="44" fillId="18" borderId="97" xfId="0" applyAlignment="1">
      <x:alignment horizontal="center" vertical="bottom"/>
    </x:xf>
    <x:xf numFmtId="49" fontId="7" fillId="4" borderId="119" xfId="0" applyAlignment="1">
      <x:alignment horizontal="left" vertical="bottom"/>
    </x:xf>
    <x:xf numFmtId="1" fontId="7" fillId="33" borderId="90" xfId="0" applyAlignment="1">
      <x:alignment vertical="bottom"/>
    </x:xf>
    <x:xf numFmtId="49" fontId="27" fillId="31" borderId="108" xfId="0" applyAlignment="1">
      <x:alignment vertical="bottom"/>
    </x:xf>
    <x:xf numFmtId="178" fontId="7" fillId="4" borderId="116" xfId="0" applyAlignment="1">
      <x:alignment horizontal="center" vertical="center"/>
    </x:xf>
    <x:xf numFmtId="178" fontId="27" fillId="4" borderId="190" xfId="0" applyAlignment="1">
      <x:alignment horizontal="center" vertical="bottom"/>
    </x:xf>
    <x:xf numFmtId="1" fontId="7" fillId="33" borderId="6" xfId="0" applyAlignment="1">
      <x:alignment vertical="bottom"/>
    </x:xf>
    <x:xf numFmtId="49" fontId="7" fillId="18" borderId="84" xfId="0" applyAlignment="1">
      <x:alignment horizontal="right" vertical="bottom"/>
    </x:xf>
    <x:xf numFmtId="1" fontId="7" fillId="4" borderId="84" xfId="0" applyAlignment="1">
      <x:alignment horizontal="right" vertical="bottom"/>
    </x:xf>
    <x:xf numFmtId="49" fontId="7" fillId="4" borderId="84" xfId="0" applyAlignment="1">
      <x:alignment horizontal="right" vertical="bottom"/>
    </x:xf>
    <x:xf numFmtId="178" fontId="24" fillId="4" borderId="117" xfId="0" applyAlignment="1">
      <x:alignment horizontal="center" vertical="center"/>
    </x:xf>
    <x:xf numFmtId="1" fontId="7" fillId="33" borderId="6" xfId="0" applyAlignment="1">
      <x:alignment horizontal="center" vertical="bottom"/>
    </x:xf>
    <x:xf numFmtId="200" fontId="7" fillId="29" borderId="97" xfId="0" applyAlignment="1">
      <x:alignment vertical="bottom"/>
    </x:xf>
    <x:xf numFmtId="10" fontId="7" fillId="29" borderId="129" xfId="0" applyAlignment="1">
      <x:alignment horizontal="center" vertical="bottom"/>
    </x:xf>
    <x:xf numFmtId="200" fontId="7" fillId="29" borderId="97" xfId="0" applyAlignment="1">
      <x:alignment horizontal="center" vertical="center"/>
    </x:xf>
    <x:xf numFmtId="10" fontId="7" fillId="29" borderId="129" xfId="0" applyAlignment="1">
      <x:alignment horizontal="center" vertical="center"/>
    </x:xf>
    <x:xf numFmtId="200" fontId="27" fillId="31" borderId="184" xfId="0" applyAlignment="1">
      <x:alignment vertical="bottom"/>
    </x:xf>
    <x:xf numFmtId="10" fontId="7" fillId="31" borderId="177" xfId="0" applyAlignment="1">
      <x:alignment horizontal="center" vertical="bottom"/>
    </x:xf>
    <x:xf numFmtId="178" fontId="27" fillId="31" borderId="151" xfId="0" applyAlignment="1">
      <x:alignment horizontal="center" vertical="center"/>
    </x:xf>
    <x:xf numFmtId="200" fontId="27" fillId="18" borderId="90" xfId="0" applyAlignment="1">
      <x:alignment vertical="bottom"/>
    </x:xf>
    <x:xf numFmtId="10" fontId="7" fillId="18" borderId="6" xfId="0" applyAlignment="1">
      <x:alignment horizontal="center" vertical="bottom"/>
    </x:xf>
    <x:xf numFmtId="178" fontId="27" fillId="18" borderId="182" xfId="0" applyAlignment="1">
      <x:alignment horizontal="center" vertical="center"/>
    </x:xf>
    <x:xf numFmtId="178" fontId="27" fillId="31" borderId="186" xfId="0" applyAlignment="1">
      <x:alignment horizontal="center" vertical="center"/>
    </x:xf>
    <x:xf numFmtId="1" fontId="7" fillId="4" borderId="115" xfId="0" applyAlignment="1">
      <x:alignment vertical="bottom"/>
    </x:xf>
    <x:xf numFmtId="1" fontId="7" fillId="4" borderId="118" xfId="0" applyAlignment="1">
      <x:alignment vertical="bottom"/>
    </x:xf>
    <x:xf numFmtId="200" fontId="7" fillId="4" borderId="86" xfId="0" applyAlignment="1">
      <x:alignment vertical="bottom"/>
    </x:xf>
    <x:xf numFmtId="178" fontId="7" fillId="4" borderId="120" xfId="0" applyAlignment="1">
      <x:alignment horizontal="center" vertical="center"/>
    </x:xf>
    <x:xf numFmtId="200" fontId="7" fillId="4" borderId="118" xfId="0" applyAlignment="1">
      <x:alignment vertical="bottom"/>
    </x:xf>
    <x:xf numFmtId="178" fontId="7" fillId="4" borderId="86" xfId="0" applyAlignment="1">
      <x:alignment horizontal="center" vertical="center"/>
    </x:xf>
    <x:xf numFmtId="10" fontId="7" fillId="4" borderId="86" xfId="0" applyAlignment="1">
      <x:alignment horizontal="center" vertical="center"/>
    </x:xf>
    <x:xf numFmtId="49" fontId="7" fillId="4" borderId="123" xfId="0" applyAlignment="1">
      <x:alignment vertical="bottom"/>
    </x:xf>
    <x:xf numFmtId="178" fontId="7" fillId="4" borderId="206" xfId="0" applyAlignment="1">
      <x:alignment horizontal="center" vertical="center"/>
    </x:xf>
    <x:xf numFmtId="10" fontId="27" fillId="31" borderId="177" xfId="0" applyAlignment="1">
      <x:alignment horizontal="center" vertical="bottom"/>
    </x:xf>
    <x:xf numFmtId="200" fontId="0" fillId="4" borderId="22" xfId="0" applyAlignment="1">
      <x:alignment horizontal="center" vertical="bottom"/>
    </x:xf>
    <x:xf numFmtId="200" fontId="0" fillId="0" borderId="22" xfId="0" applyAlignment="1">
      <x:alignment horizontal="center" vertical="bottom"/>
    </x:xf>
    <x:xf numFmtId="1" fontId="0" fillId="4" borderId="22" xfId="0" applyAlignment="1">
      <x:alignment horizontal="center" vertical="bottom"/>
    </x:xf>
    <x:xf numFmtId="178" fontId="0" fillId="4" borderId="22" xfId="0" applyAlignment="1">
      <x:alignment horizontal="center" vertical="bottom"/>
    </x:xf>
    <x:xf numFmtId="178" fontId="0" fillId="4" borderId="96" xfId="0" applyAlignment="1">
      <x:alignment horizontal="center" vertical="bottom"/>
    </x:xf>
    <x:xf numFmtId="1" fontId="0" fillId="28" borderId="108" xfId="0" applyAlignment="1">
      <x:alignment vertical="bottom"/>
    </x:xf>
    <x:xf numFmtId="49" fontId="0" fillId="17" borderId="108" xfId="0" applyAlignment="1">
      <x:alignment vertical="bottom"/>
    </x:xf>
    <x:xf numFmtId="1" fontId="0" fillId="22" borderId="108" xfId="0" applyAlignment="1">
      <x:alignment vertical="bottom"/>
    </x:xf>
    <x:xf numFmtId="1" fontId="0" fillId="33" borderId="90" xfId="0" applyAlignment="1">
      <x:alignment vertical="bottom"/>
    </x:xf>
    <x:xf numFmtId="200" fontId="0" fillId="4" borderId="104" xfId="0" applyAlignment="1">
      <x:alignment vertical="bottom"/>
    </x:xf>
    <x:xf numFmtId="10" fontId="0" fillId="4" borderId="25" xfId="0" applyAlignment="1">
      <x:alignment horizontal="center" vertical="bottom"/>
    </x:xf>
    <x:xf numFmtId="178" fontId="0" fillId="4" borderId="127" xfId="0" applyAlignment="1">
      <x:alignment horizontal="center" vertical="center"/>
    </x:xf>
    <x:xf numFmtId="200" fontId="7" fillId="4" borderId="189" xfId="0" applyAlignment="1">
      <x:alignment vertical="bottom"/>
    </x:xf>
    <x:xf numFmtId="49" fontId="7" fillId="18" borderId="84" xfId="0" applyAlignment="1">
      <x:alignment vertical="bottom"/>
    </x:xf>
    <x:xf numFmtId="200" fontId="7" fillId="4" borderId="192" xfId="0" applyAlignment="1">
      <x:alignment vertical="bottom"/>
    </x:xf>
    <x:xf numFmtId="49" fontId="7" fillId="19" borderId="84" xfId="0" applyAlignment="1">
      <x:alignment vertical="bottom"/>
    </x:xf>
    <x:xf numFmtId="200" fontId="7" fillId="19" borderId="207" xfId="0" applyAlignment="1">
      <x:alignment vertical="bottom"/>
    </x:xf>
    <x:xf numFmtId="10" fontId="7" fillId="19" borderId="208" xfId="0" applyAlignment="1">
      <x:alignment horizontal="center" vertical="bottom"/>
    </x:xf>
    <x:xf numFmtId="178" fontId="7" fillId="19" borderId="209" xfId="0" applyAlignment="1">
      <x:alignment horizontal="center" vertical="center"/>
    </x:xf>
    <x:xf numFmtId="49" fontId="7" fillId="25" borderId="84" xfId="0" applyAlignment="1">
      <x:alignment vertical="bottom"/>
    </x:xf>
    <x:xf numFmtId="200" fontId="7" fillId="25" borderId="197" xfId="0" applyAlignment="1">
      <x:alignment vertical="bottom"/>
    </x:xf>
    <x:xf numFmtId="10" fontId="7" fillId="25" borderId="198" xfId="0" applyAlignment="1">
      <x:alignment horizontal="center" vertical="bottom"/>
    </x:xf>
    <x:xf numFmtId="178" fontId="7" fillId="25" borderId="199" xfId="0" applyAlignment="1">
      <x:alignment horizontal="center" vertical="center"/>
    </x:xf>
    <x:xf numFmtId="1" fontId="7" fillId="4" borderId="118" xfId="0" applyAlignment="1">
      <x:alignment horizontal="center" vertical="center"/>
    </x:xf>
    <x:xf numFmtId="1" fontId="7" fillId="4" borderId="86" xfId="0" applyAlignment="1">
      <x:alignment horizontal="center" vertical="center"/>
    </x:xf>
    <x:xf numFmtId="1" fontId="7" fillId="4" borderId="86" xfId="0" applyAlignment="1">
      <x:alignment horizontal="center" vertical="bottom"/>
    </x:xf>
    <x:xf numFmtId="49" fontId="7" fillId="17" borderId="84" xfId="0" applyAlignment="1">
      <x:alignment vertical="bottom"/>
    </x:xf>
    <x:xf numFmtId="200" fontId="7" fillId="17" borderId="97" xfId="0" applyAlignment="1">
      <x:alignment vertical="bottom"/>
    </x:xf>
    <x:xf numFmtId="10" fontId="7" fillId="17" borderId="129" xfId="0" applyAlignment="1">
      <x:alignment horizontal="center" vertical="bottom"/>
    </x:xf>
    <x:xf numFmtId="178" fontId="7" fillId="17" borderId="98" xfId="0" applyAlignment="1">
      <x:alignment horizontal="center" vertical="center"/>
    </x:xf>
    <x:xf numFmtId="200" fontId="7" fillId="4" borderId="134" xfId="0" applyAlignment="1">
      <x:alignment horizontal="center" vertical="center"/>
    </x:xf>
    <x:xf numFmtId="10" fontId="7" fillId="4" borderId="91" xfId="0" applyAlignment="1">
      <x:alignment horizontal="center" vertical="center"/>
    </x:xf>
    <x:xf numFmtId="10" fontId="7" fillId="4" borderId="91" xfId="0" applyAlignment="1">
      <x:alignment horizontal="center" vertical="bottom"/>
    </x:xf>
    <x:xf numFmtId="200" fontId="7" fillId="4" borderId="91" xfId="0" applyAlignment="1">
      <x:alignment vertical="bottom"/>
    </x:xf>
    <x:xf numFmtId="178" fontId="7" fillId="4" borderId="36" xfId="0" applyAlignment="1">
      <x:alignment horizontal="center" vertical="bottom"/>
    </x:xf>
    <x:xf numFmtId="1" fontId="7" fillId="28" borderId="114" xfId="0" applyAlignment="1">
      <x:alignment vertical="bottom"/>
    </x:xf>
    <x:xf numFmtId="200" fontId="7" fillId="25" borderId="207" xfId="0" applyAlignment="1">
      <x:alignment vertical="bottom"/>
    </x:xf>
    <x:xf numFmtId="10" fontId="7" fillId="25" borderId="208" xfId="0" applyAlignment="1">
      <x:alignment horizontal="center" vertical="bottom"/>
    </x:xf>
    <x:xf numFmtId="178" fontId="7" fillId="25" borderId="209" xfId="0" applyAlignment="1">
      <x:alignment horizontal="center" vertical="center"/>
    </x:xf>
    <x:xf numFmtId="200" fontId="7" fillId="29" borderId="113" xfId="0" applyAlignment="1">
      <x:alignment vertical="bottom"/>
    </x:xf>
    <x:xf numFmtId="10" fontId="7" fillId="29" borderId="39" xfId="0" applyAlignment="1">
      <x:alignment horizontal="center" vertical="bottom"/>
    </x:xf>
    <x:xf numFmtId="178" fontId="7" fillId="29" borderId="210" xfId="0" applyAlignment="1">
      <x:alignment horizontal="center" vertical="center"/>
    </x:xf>
    <x:xf numFmtId="1" fontId="7" fillId="0" borderId="27" xfId="0" applyAlignment="1">
      <x:alignment vertical="bottom"/>
    </x:xf>
    <x:xf numFmtId="49" fontId="7" fillId="20" borderId="6" xfId="0" applyAlignment="1">
      <x:alignment horizontal="center" vertical="bottom"/>
    </x:xf>
    <x:xf numFmtId="1" fontId="7" fillId="20" borderId="6" xfId="0" applyAlignment="1">
      <x:alignment horizontal="center" vertical="bottom"/>
    </x:xf>
    <x:xf numFmtId="1" fontId="7" fillId="4" borderId="26" xfId="0" applyAlignment="1">
      <x:alignment vertical="bottom"/>
    </x:xf>
    <x:xf numFmtId="9" fontId="7" fillId="4" borderId="84" xfId="0" applyAlignment="1">
      <x:alignment horizontal="center" vertical="bottom"/>
    </x:xf>
    <x:xf numFmtId="9" fontId="7" fillId="0" borderId="85" xfId="0" applyAlignment="1">
      <x:alignment horizontal="center" vertical="bottom"/>
    </x:xf>
    <x:xf numFmtId="49" fontId="7" fillId="4" borderId="118" xfId="0" applyAlignment="1">
      <x:alignment vertical="bottom"/>
    </x:xf>
    <x:xf numFmtId="1" fontId="7" fillId="4" borderId="85" xfId="0" applyAlignment="1">
      <x:alignment horizontal="center" vertical="center"/>
    </x:xf>
    <x:xf numFmtId="178" fontId="7" fillId="4" borderId="135" xfId="0" applyAlignment="1">
      <x:alignment horizontal="center" vertical="center"/>
    </x:xf>
    <x:xf numFmtId="200" fontId="7" fillId="29" borderId="197" xfId="0" applyAlignment="1">
      <x:alignment vertical="bottom"/>
    </x:xf>
    <x:xf numFmtId="10" fontId="7" fillId="29" borderId="198" xfId="0" applyAlignment="1">
      <x:alignment horizontal="center" vertical="bottom"/>
    </x:xf>
    <x:xf numFmtId="178" fontId="7" fillId="29" borderId="199" xfId="0" applyAlignment="1">
      <x:alignment horizontal="center" vertical="center"/>
    </x:xf>
    <x:xf numFmtId="3" fontId="7" fillId="4" borderId="22" xfId="0" applyAlignment="1">
      <x:alignment vertical="bottom"/>
    </x:xf>
    <x:xf numFmtId="0" fontId="0" fillId="0" borderId="0" xfId="0" applyAlignment="1">
      <x:alignment vertical="bottom"/>
    </x:xf>
    <x:xf numFmtId="49" fontId="6" fillId="4" borderId="36" xfId="0" applyAlignment="1">
      <x:alignment horizontal="left" vertical="center"/>
    </x:xf>
    <x:xf numFmtId="1" fontId="6" fillId="4" borderId="37" xfId="0" applyAlignment="1">
      <x:alignment horizontal="left" vertical="center"/>
    </x:xf>
    <x:xf numFmtId="1" fontId="7" fillId="4" borderId="37" xfId="0" applyAlignment="1">
      <x:alignment horizontal="left" vertical="center"/>
    </x:xf>
    <x:xf numFmtId="1" fontId="7" fillId="4" borderId="37" xfId="0" applyAlignment="1">
      <x:alignment horizontal="left" vertical="top"/>
    </x:xf>
    <x:xf numFmtId="49" fontId="3" fillId="4" borderId="37" xfId="0" applyAlignment="1">
      <x:alignment horizontal="right" vertical="top"/>
    </x:xf>
    <x:xf numFmtId="49" fontId="0" fillId="4" borderId="2" xfId="0" applyAlignment="1">
      <x:alignment vertical="center"/>
    </x:xf>
    <x:xf numFmtId="1" fontId="21" fillId="4" borderId="39" xfId="0" applyAlignment="1">
      <x:alignment horizontal="left" vertical="center"/>
    </x:xf>
    <x:xf numFmtId="1" fontId="7" fillId="4" borderId="39" xfId="0" applyAlignment="1">
      <x:alignment horizontal="left" vertical="center"/>
    </x:xf>
    <x:xf numFmtId="14" fontId="7" fillId="4" borderId="39" xfId="0" applyAlignment="1">
      <x:alignment horizontal="right" vertical="top"/>
    </x:xf>
    <x:xf numFmtId="14" fontId="7" fillId="4" borderId="6" xfId="0" applyAlignment="1">
      <x:alignment horizontal="right" vertical="top"/>
    </x:xf>
    <x:xf numFmtId="206" fontId="7" fillId="4" borderId="6" xfId="0" applyAlignment="1">
      <x:alignment horizontal="left" vertical="center"/>
    </x:xf>
    <x:xf numFmtId="1" fontId="45" fillId="4" borderId="6" xfId="0" applyAlignment="1">
      <x:alignment vertical="center"/>
    </x:xf>
    <x:xf numFmtId="1" fontId="45" fillId="4" borderId="7" xfId="0" applyAlignment="1">
      <x:alignment vertical="center"/>
    </x:xf>
    <x:xf numFmtId="207" fontId="7" fillId="4" borderId="6" xfId="0" applyAlignment="1">
      <x:alignment horizontal="right" vertical="center"/>
    </x:xf>
    <x:xf numFmtId="193" fontId="7" fillId="4" borderId="6" xfId="0" applyAlignment="1">
      <x:alignment horizontal="right" vertical="center"/>
    </x:xf>
    <x:xf numFmtId="49" fontId="45" fillId="34" borderId="6" xfId="0" applyAlignment="1">
      <x:alignment horizontal="left" vertical="center"/>
    </x:xf>
    <x:xf numFmtId="1" fontId="45" fillId="34" borderId="6" xfId="0" applyAlignment="1">
      <x:alignment vertical="center"/>
    </x:xf>
    <x:xf numFmtId="1" fontId="45" fillId="4" borderId="6" xfId="0" applyAlignment="1">
      <x:alignment horizontal="left" vertical="center"/>
    </x:xf>
    <x:xf numFmtId="184" fontId="7" fillId="7" borderId="6" xfId="0" applyAlignment="1">
      <x:alignment horizontal="left" vertical="center"/>
    </x:xf>
    <x:xf numFmtId="9" fontId="45" fillId="4" borderId="6" xfId="0" applyAlignment="1">
      <x:alignment vertical="center"/>
    </x:xf>
    <x:xf numFmtId="208" fontId="7" fillId="7" borderId="6" xfId="0" applyAlignment="1">
      <x:alignment horizontal="right" vertical="center"/>
    </x:xf>
    <x:xf numFmtId="49" fontId="0" fillId="7" borderId="18" xfId="0" applyAlignment="1">
      <x:alignment vertical="center"/>
    </x:xf>
    <x:xf numFmtId="2" fontId="45" fillId="4" borderId="6" xfId="0" applyAlignment="1">
      <x:alignment vertical="center"/>
    </x:xf>
    <x:xf numFmtId="49" fontId="0" fillId="4" borderId="185" xfId="0" applyAlignment="1">
      <x:alignment vertical="center"/>
    </x:xf>
    <x:xf numFmtId="49" fontId="0" fillId="4" borderId="103" xfId="0" applyAlignment="1">
      <x:alignment vertical="center"/>
    </x:xf>
    <x:xf numFmtId="1" fontId="7" fillId="4" borderId="103" xfId="0" applyAlignment="1">
      <x:alignment horizontal="center" vertical="center"/>
    </x:xf>
    <x:xf numFmtId="49" fontId="45" fillId="34" borderId="6" xfId="0" applyAlignment="1">
      <x:alignment vertical="center"/>
    </x:xf>
    <x:xf numFmtId="0" fontId="7" fillId="4" borderId="187" xfId="0" applyAlignment="1">
      <x:alignment horizontal="left" vertical="center"/>
    </x:xf>
    <x:xf numFmtId="0" fontId="7" fillId="4" borderId="177" xfId="0" applyAlignment="1">
      <x:alignment horizontal="left" vertical="center"/>
    </x:xf>
    <x:xf numFmtId="179" fontId="7" fillId="4" borderId="177" xfId="0" applyAlignment="1">
      <x:alignment horizontal="left" vertical="center"/>
    </x:xf>
    <x:xf numFmtId="185" fontId="7" fillId="4" borderId="6" xfId="0" applyAlignment="1">
      <x:alignment horizontal="left" vertical="center"/>
    </x:xf>
    <x:xf numFmtId="0" fontId="7" fillId="4" borderId="6" xfId="0" applyAlignment="1">
      <x:alignment horizontal="left" vertical="center"/>
    </x:xf>
    <x:xf numFmtId="179" fontId="7" fillId="4" borderId="5" xfId="0" applyAlignment="1">
      <x:alignment horizontal="left" vertical="center"/>
    </x:xf>
    <x:xf numFmtId="179" fontId="7" fillId="4" borderId="39" xfId="0" applyAlignment="1">
      <x:alignment horizontal="left" vertical="center"/>
    </x:xf>
    <x:xf numFmtId="1" fontId="0" fillId="4" borderId="103" xfId="0" applyAlignment="1">
      <x:alignment vertical="center"/>
    </x:xf>
    <x:xf numFmtId="185" fontId="7" fillId="4" borderId="177" xfId="0" applyAlignment="1">
      <x:alignment horizontal="left" vertical="center"/>
    </x:xf>
    <x:xf numFmtId="49" fontId="7" fillId="4" borderId="4" xfId="0" applyAlignment="1">
      <x:alignment horizontal="left" vertical="center"/>
    </x:xf>
    <x:xf numFmtId="1" fontId="7" fillId="4" borderId="39" xfId="0" applyAlignment="1">
      <x:alignment horizontal="center" vertical="center"/>
    </x:xf>
    <x:xf numFmtId="49" fontId="7" fillId="4" borderId="185" xfId="0" applyAlignment="1">
      <x:alignment horizontal="left" vertical="center"/>
    </x:xf>
    <x:xf numFmtId="1" fontId="7" fillId="4" borderId="103" xfId="0" applyAlignment="1">
      <x:alignment horizontal="left" vertical="center"/>
    </x:xf>
    <x:xf numFmtId="179" fontId="7" fillId="4" borderId="103" xfId="0" applyAlignment="1">
      <x:alignment horizontal="left" vertical="center"/>
    </x:xf>
    <x:xf numFmtId="200" fontId="7" fillId="4" borderId="103" xfId="0" applyAlignment="1">
      <x:alignment horizontal="left" vertical="center"/>
    </x:xf>
    <x:xf numFmtId="201" fontId="0" fillId="4" borderId="6" xfId="0" applyAlignment="1">
      <x:alignment vertical="center"/>
    </x:xf>
    <x:xf numFmtId="1" fontId="7" fillId="4" borderId="18" xfId="0" applyAlignment="1">
      <x:alignment horizontal="center" vertical="center"/>
    </x:xf>
    <x:xf numFmtId="1" fontId="7" fillId="7" borderId="6" xfId="0" applyAlignment="1">
      <x:alignment horizontal="center" vertical="center"/>
    </x:xf>
    <x:xf numFmtId="185" fontId="7" fillId="4" borderId="18" xfId="0" applyAlignment="1">
      <x:alignment horizontal="left" vertical="center"/>
    </x:xf>
    <x:xf numFmtId="49" fontId="7" fillId="4" borderId="19" xfId="0" applyAlignment="1">
      <x:alignment horizontal="left" vertical="center"/>
    </x:xf>
    <x:xf numFmtId="0" fontId="0" fillId="0" borderId="0" xfId="0" applyAlignment="1">
      <x:alignment vertical="bottom"/>
    </x:xf>
    <x:xf numFmtId="170" fontId="0" fillId="4" borderId="37" xfId="0" applyAlignment="1">
      <x:alignment vertical="center"/>
    </x:xf>
    <x:xf numFmtId="170" fontId="0" fillId="4" borderId="39" xfId="0" applyAlignment="1">
      <x:alignment vertical="center"/>
    </x:xf>
    <x:xf numFmtId="206" fontId="0" fillId="4" borderId="6" xfId="0" applyAlignment="1">
      <x:alignment vertical="center"/>
    </x:xf>
    <x:xf numFmtId="199" fontId="12" fillId="13" borderId="6" xfId="0" applyAlignment="1">
      <x:alignment horizontal="left" vertical="center"/>
    </x:xf>
    <x:xf numFmtId="199" fontId="12" fillId="13" borderId="6" xfId="0" applyAlignment="1">
      <x:alignment horizontal="right" vertical="center"/>
    </x:xf>
    <x:xf numFmtId="170" fontId="12" fillId="13" borderId="211" xfId="0" applyAlignment="1">
      <x:alignment horizontal="right" vertical="center"/>
    </x:xf>
    <x:xf numFmtId="199" fontId="12" fillId="13" borderId="212" xfId="0" applyAlignment="1">
      <x:alignment horizontal="left" vertical="center"/>
    </x:xf>
    <x:xf numFmtId="170" fontId="12" fillId="13" borderId="213" xfId="0" applyAlignment="1">
      <x:alignment horizontal="right" vertical="center"/>
    </x:xf>
    <x:xf numFmtId="199" fontId="12" fillId="13" borderId="214" xfId="0" applyAlignment="1">
      <x:alignment horizontal="left" vertical="center"/>
    </x:xf>
    <x:xf numFmtId="199" fontId="12" fillId="13" borderId="214" xfId="0" applyAlignment="1">
      <x:alignment horizontal="right" vertical="center"/>
    </x:xf>
    <x:xf numFmtId="170" fontId="12" fillId="13" borderId="214" xfId="0" applyAlignment="1">
      <x:alignment horizontal="right" vertical="center"/>
    </x:xf>
    <x:xf numFmtId="1" fontId="0" fillId="4" borderId="215" xfId="0" applyAlignment="1">
      <x:alignment vertical="bottom"/>
    </x:xf>
    <x:xf numFmtId="49" fontId="12" fillId="13" borderId="212" xfId="0" applyAlignment="1">
      <x:alignment horizontal="left" vertical="center"/>
    </x:xf>
    <x:xf numFmtId="49" fontId="12" fillId="13" borderId="214" xfId="0" applyAlignment="1">
      <x:alignment horizontal="left" vertical="center"/>
    </x:xf>
    <x:xf numFmtId="49" fontId="18" fillId="13" borderId="18" xfId="0" applyAlignment="1">
      <x:alignment horizontal="left" vertical="center"/>
    </x:xf>
    <x:xf numFmtId="1" fontId="18" fillId="13" borderId="6" xfId="0" applyAlignment="1">
      <x:alignment horizontal="left" vertical="center"/>
    </x:xf>
    <x:xf numFmtId="0" fontId="18" fillId="13" borderId="6" xfId="0" applyAlignment="1">
      <x:alignment horizontal="left" vertical="center"/>
    </x:xf>
    <x:xf numFmtId="49" fontId="18" fillId="13" borderId="6" xfId="0" applyAlignment="1">
      <x:alignment horizontal="right" vertical="center"/>
    </x:xf>
    <x:xf numFmtId="49" fontId="18" fillId="13" borderId="211" xfId="0" applyAlignment="1">
      <x:alignment horizontal="right" vertical="center"/>
    </x:xf>
    <x:xf numFmtId="0" fontId="18" fillId="13" borderId="212" xfId="0" applyAlignment="1">
      <x:alignment horizontal="left" vertical="center"/>
    </x:xf>
    <x:xf numFmtId="49" fontId="18" fillId="13" borderId="213" xfId="0" applyAlignment="1">
      <x:alignment horizontal="right" vertical="center"/>
    </x:xf>
    <x:xf numFmtId="1" fontId="18" fillId="13" borderId="214" xfId="0" applyAlignment="1">
      <x:alignment horizontal="left" vertical="center"/>
    </x:xf>
    <x:xf numFmtId="1" fontId="18" fillId="13" borderId="214" xfId="0" applyAlignment="1">
      <x:alignment horizontal="right" vertical="center"/>
    </x:xf>
    <x:xf numFmtId="170" fontId="18" fillId="13" borderId="214" xfId="0" applyAlignment="1">
      <x:alignment horizontal="right" vertical="center"/>
    </x:xf>
    <x:xf numFmtId="1" fontId="47" fillId="4" borderId="6" xfId="0" applyAlignment="1">
      <x:alignment vertical="center"/>
    </x:xf>
    <x:xf numFmtId="1" fontId="47" fillId="4" borderId="7" xfId="0" applyAlignment="1">
      <x:alignment vertical="center"/>
    </x:xf>
    <x:xf numFmtId="49" fontId="0" fillId="4" borderId="18" xfId="0" applyAlignment="1">
      <x:alignment horizontal="left" vertical="center"/>
    </x:xf>
    <x:xf numFmtId="1" fontId="0" fillId="4" borderId="6" xfId="0" applyAlignment="1">
      <x:alignment horizontal="left" vertical="center"/>
    </x:xf>
    <x:xf numFmtId="207" fontId="0" fillId="4" borderId="6" xfId="0" applyAlignment="1">
      <x:alignment horizontal="right" vertical="center"/>
    </x:xf>
    <x:xf numFmtId="170" fontId="0" fillId="4" borderId="211" xfId="0" applyAlignment="1">
      <x:alignment horizontal="right" vertical="center"/>
    </x:xf>
    <x:xf numFmtId="207" fontId="0" fillId="4" borderId="212" xfId="0" applyAlignment="1">
      <x:alignment horizontal="right" vertical="center"/>
    </x:xf>
    <x:xf numFmtId="207" fontId="0" fillId="4" borderId="216" xfId="0" applyAlignment="1">
      <x:alignment horizontal="right" vertical="center"/>
    </x:xf>
    <x:xf numFmtId="170" fontId="0" fillId="4" borderId="216" xfId="0" applyAlignment="1">
      <x:alignment horizontal="right" vertical="center"/>
    </x:xf>
    <x:xf numFmtId="1" fontId="0" fillId="4" borderId="212" xfId="0" applyAlignment="1">
      <x:alignment vertical="bottom"/>
    </x:xf>
    <x:xf numFmtId="193" fontId="0" fillId="4" borderId="6" xfId="0" applyAlignment="1">
      <x:alignment horizontal="right" vertical="center"/>
    </x:xf>
    <x:xf numFmtId="1" fontId="0" fillId="4" borderId="6" xfId="0" applyAlignment="1">
      <x:alignment horizontal="right" vertical="center"/>
    </x:xf>
    <x:xf numFmtId="193" fontId="0" fillId="4" borderId="212" xfId="0" applyAlignment="1">
      <x:alignment horizontal="right" vertical="center"/>
    </x:xf>
    <x:xf numFmtId="193" fontId="0" fillId="4" borderId="216" xfId="0" applyAlignment="1">
      <x:alignment horizontal="right" vertical="center"/>
    </x:xf>
    <x:xf numFmtId="1" fontId="0" fillId="4" borderId="216" xfId="0" applyAlignment="1">
      <x:alignment horizontal="right" vertical="center"/>
    </x:xf>
    <x:xf numFmtId="49" fontId="0" fillId="7" borderId="18" xfId="0" applyAlignment="1">
      <x:alignment horizontal="left" vertical="center"/>
    </x:xf>
    <x:xf numFmtId="1" fontId="0" fillId="7" borderId="6" xfId="0" applyAlignment="1">
      <x:alignment horizontal="left" vertical="center"/>
    </x:xf>
    <x:xf numFmtId="179" fontId="0" fillId="7" borderId="6" xfId="0" applyAlignment="1">
      <x:alignment horizontal="left" vertical="center"/>
    </x:xf>
    <x:xf numFmtId="179" fontId="0" fillId="7" borderId="6" xfId="0" applyAlignment="1">
      <x:alignment horizontal="right" vertical="center"/>
    </x:xf>
    <x:xf numFmtId="170" fontId="0" fillId="7" borderId="211" xfId="0" applyAlignment="1">
      <x:alignment horizontal="right" vertical="center"/>
    </x:xf>
    <x:xf numFmtId="179" fontId="0" fillId="7" borderId="212" xfId="0" applyAlignment="1">
      <x:alignment horizontal="left" vertical="center"/>
    </x:xf>
    <x:xf numFmtId="179" fontId="0" fillId="7" borderId="216" xfId="0" applyAlignment="1">
      <x:alignment horizontal="left" vertical="center"/>
    </x:xf>
    <x:xf numFmtId="179" fontId="0" fillId="7" borderId="216" xfId="0" applyAlignment="1">
      <x:alignment horizontal="right" vertical="center"/>
    </x:xf>
    <x:xf numFmtId="170" fontId="0" fillId="7" borderId="216" xfId="0" applyAlignment="1">
      <x:alignment horizontal="right" vertical="center"/>
    </x:xf>
    <x:xf numFmtId="49" fontId="47" fillId="34" borderId="6" xfId="0" applyAlignment="1">
      <x:alignment horizontal="left" vertical="center"/>
    </x:xf>
    <x:xf numFmtId="1" fontId="47" fillId="34" borderId="6" xfId="0" applyAlignment="1">
      <x:alignment vertical="center"/>
    </x:xf>
    <x:xf numFmtId="1" fontId="47" fillId="4" borderId="6" xfId="0" applyAlignment="1">
      <x:alignment horizontal="left" vertical="center"/>
    </x:xf>
    <x:xf numFmtId="170" fontId="0" fillId="7" borderId="6" xfId="0" applyAlignment="1">
      <x:alignment horizontal="right" vertical="center"/>
    </x:xf>
    <x:xf numFmtId="170" fontId="0" fillId="7" borderId="212" xfId="0" applyAlignment="1">
      <x:alignment horizontal="right" vertical="center"/>
    </x:xf>
    <x:xf numFmtId="184" fontId="0" fillId="7" borderId="6" xfId="0" applyAlignment="1">
      <x:alignment horizontal="left" vertical="center"/>
    </x:xf>
    <x:xf numFmtId="184" fontId="0" fillId="7" borderId="6" xfId="0" applyAlignment="1">
      <x:alignment horizontal="right" vertical="center"/>
    </x:xf>
    <x:xf numFmtId="184" fontId="0" fillId="7" borderId="212" xfId="0" applyAlignment="1">
      <x:alignment horizontal="left" vertical="center"/>
    </x:xf>
    <x:xf numFmtId="184" fontId="0" fillId="7" borderId="216" xfId="0" applyAlignment="1">
      <x:alignment horizontal="left" vertical="center"/>
    </x:xf>
    <x:xf numFmtId="184" fontId="0" fillId="7" borderId="216" xfId="0" applyAlignment="1">
      <x:alignment horizontal="right" vertical="center"/>
    </x:xf>
    <x:xf numFmtId="9" fontId="47" fillId="4" borderId="6" xfId="0" applyAlignment="1">
      <x:alignment vertical="center"/>
    </x:xf>
    <x:xf numFmtId="208" fontId="0" fillId="7" borderId="6" xfId="0" applyAlignment="1">
      <x:alignment horizontal="right" vertical="center"/>
    </x:xf>
    <x:xf numFmtId="208" fontId="0" fillId="7" borderId="216" xfId="0" applyAlignment="1">
      <x:alignment horizontal="right" vertical="center"/>
    </x:xf>
    <x:xf numFmtId="2" fontId="47" fillId="4" borderId="6" xfId="0" applyAlignment="1">
      <x:alignment vertical="center"/>
    </x:xf>
    <x:xf numFmtId="1" fontId="0" fillId="4" borderId="6" xfId="0" applyAlignment="1">
      <x:alignment horizontal="center" vertical="center"/>
    </x:xf>
    <x:xf numFmtId="1" fontId="0" fillId="4" borderId="212" xfId="0" applyAlignment="1">
      <x:alignment horizontal="center" vertical="center"/>
    </x:xf>
    <x:xf numFmtId="1" fontId="0" fillId="4" borderId="216" xfId="0" applyAlignment="1">
      <x:alignment horizontal="center" vertical="center"/>
    </x:xf>
    <x:xf numFmtId="1" fontId="0" fillId="4" borderId="103" xfId="0" applyAlignment="1">
      <x:alignment horizontal="center" vertical="center"/>
    </x:xf>
    <x:xf numFmtId="49" fontId="0" fillId="4" borderId="103" xfId="0" applyAlignment="1">
      <x:alignment horizontal="right" vertical="center"/>
    </x:xf>
    <x:xf numFmtId="49" fontId="0" fillId="4" borderId="217" xfId="0" applyAlignment="1">
      <x:alignment horizontal="right" vertical="center"/>
    </x:xf>
    <x:xf numFmtId="1" fontId="0" fillId="4" borderId="218" xfId="0" applyAlignment="1">
      <x:alignment horizontal="center" vertical="center"/>
    </x:xf>
    <x:xf numFmtId="1" fontId="0" fillId="4" borderId="219" xfId="0" applyAlignment="1">
      <x:alignment horizontal="center" vertical="center"/>
    </x:xf>
    <x:xf numFmtId="49" fontId="0" fillId="4" borderId="219" xfId="0" applyAlignment="1">
      <x:alignment horizontal="right" vertical="center"/>
    </x:xf>
    <x:xf numFmtId="49" fontId="47" fillId="34" borderId="6" xfId="0" applyAlignment="1">
      <x:alignment vertical="center"/>
    </x:xf>
    <x:xf numFmtId="0" fontId="0" fillId="4" borderId="187" xfId="0" applyAlignment="1">
      <x:alignment horizontal="left" vertical="center"/>
    </x:xf>
    <x:xf numFmtId="0" fontId="0" fillId="4" borderId="177" xfId="0" applyAlignment="1">
      <x:alignment horizontal="left" vertical="center"/>
    </x:xf>
    <x:xf numFmtId="179" fontId="0" fillId="4" borderId="177" xfId="0" applyAlignment="1">
      <x:alignment horizontal="left" vertical="center"/>
    </x:xf>
    <x:xf numFmtId="2" fontId="0" fillId="4" borderId="177" xfId="0" applyAlignment="1">
      <x:alignment horizontal="right" vertical="center"/>
    </x:xf>
    <x:xf numFmtId="170" fontId="0" fillId="4" borderId="220" xfId="0" applyAlignment="1">
      <x:alignment horizontal="right" vertical="center"/>
    </x:xf>
    <x:xf numFmtId="179" fontId="0" fillId="4" borderId="221" xfId="0" applyAlignment="1">
      <x:alignment horizontal="left" vertical="center"/>
    </x:xf>
    <x:xf numFmtId="179" fontId="0" fillId="4" borderId="222" xfId="0" applyAlignment="1">
      <x:alignment horizontal="left" vertical="center"/>
    </x:xf>
    <x:xf numFmtId="2" fontId="0" fillId="4" borderId="222" xfId="0" applyAlignment="1">
      <x:alignment horizontal="right" vertical="center"/>
    </x:xf>
    <x:xf numFmtId="170" fontId="0" fillId="4" borderId="222" xfId="0" applyAlignment="1">
      <x:alignment horizontal="right" vertical="center"/>
    </x:xf>
    <x:xf numFmtId="0" fontId="0" fillId="4" borderId="18" xfId="0" applyAlignment="1">
      <x:alignment horizontal="left" vertical="center"/>
    </x:xf>
    <x:xf numFmtId="185" fontId="0" fillId="4" borderId="6" xfId="0" applyAlignment="1">
      <x:alignment horizontal="left" vertical="center"/>
    </x:xf>
    <x:xf numFmtId="179" fontId="0" fillId="4" borderId="6" xfId="0" applyAlignment="1">
      <x:alignment horizontal="left" vertical="center"/>
    </x:xf>
    <x:xf numFmtId="2" fontId="0" fillId="4" borderId="6" xfId="0" applyAlignment="1">
      <x:alignment horizontal="right" vertical="center"/>
    </x:xf>
    <x:xf numFmtId="179" fontId="0" fillId="4" borderId="212" xfId="0" applyAlignment="1">
      <x:alignment horizontal="left" vertical="center"/>
    </x:xf>
    <x:xf numFmtId="179" fontId="0" fillId="4" borderId="216" xfId="0" applyAlignment="1">
      <x:alignment horizontal="left" vertical="center"/>
    </x:xf>
    <x:xf numFmtId="2" fontId="0" fillId="4" borderId="216" xfId="0" applyAlignment="1">
      <x:alignment horizontal="right" vertical="center"/>
    </x:xf>
    <x:xf numFmtId="0" fontId="0" fillId="4" borderId="6" xfId="0" applyAlignment="1">
      <x:alignment horizontal="left" vertical="center"/>
    </x:xf>
    <x:xf numFmtId="179" fontId="0" fillId="4" borderId="5" xfId="0" applyAlignment="1">
      <x:alignment horizontal="left" vertical="center"/>
    </x:xf>
    <x:xf numFmtId="2" fontId="0" fillId="4" borderId="5" xfId="0" applyAlignment="1">
      <x:alignment horizontal="right" vertical="center"/>
    </x:xf>
    <x:xf numFmtId="170" fontId="0" fillId="4" borderId="223" xfId="0" applyAlignment="1">
      <x:alignment horizontal="right" vertical="center"/>
    </x:xf>
    <x:xf numFmtId="179" fontId="0" fillId="4" borderId="224" xfId="0" applyAlignment="1">
      <x:alignment horizontal="left" vertical="center"/>
    </x:xf>
    <x:xf numFmtId="179" fontId="0" fillId="4" borderId="225" xfId="0" applyAlignment="1">
      <x:alignment horizontal="left" vertical="center"/>
    </x:xf>
    <x:xf numFmtId="2" fontId="0" fillId="4" borderId="225" xfId="0" applyAlignment="1">
      <x:alignment horizontal="right" vertical="center"/>
    </x:xf>
    <x:xf numFmtId="170" fontId="0" fillId="4" borderId="225" xfId="0" applyAlignment="1">
      <x:alignment horizontal="right" vertical="center"/>
    </x:xf>
    <x:xf numFmtId="179" fontId="0" fillId="4" borderId="39" xfId="0" applyAlignment="1">
      <x:alignment horizontal="left" vertical="center"/>
    </x:xf>
    <x:xf numFmtId="2" fontId="0" fillId="4" borderId="39" xfId="0" applyAlignment="1">
      <x:alignment horizontal="right" vertical="center"/>
    </x:xf>
    <x:xf numFmtId="170" fontId="0" fillId="4" borderId="226" xfId="0" applyAlignment="1">
      <x:alignment horizontal="right" vertical="center"/>
    </x:xf>
    <x:xf numFmtId="179" fontId="0" fillId="4" borderId="227" xfId="0" applyAlignment="1">
      <x:alignment horizontal="left" vertical="center"/>
    </x:xf>
    <x:xf numFmtId="179" fontId="0" fillId="4" borderId="228" xfId="0" applyAlignment="1">
      <x:alignment horizontal="left" vertical="center"/>
    </x:xf>
    <x:xf numFmtId="2" fontId="0" fillId="4" borderId="228" xfId="0" applyAlignment="1">
      <x:alignment horizontal="right" vertical="center"/>
    </x:xf>
    <x:xf numFmtId="170" fontId="0" fillId="4" borderId="228" xfId="0" applyAlignment="1">
      <x:alignment horizontal="right" vertical="center"/>
    </x:xf>
    <x:xf numFmtId="185" fontId="0" fillId="4" borderId="177" xfId="0" applyAlignment="1">
      <x:alignment horizontal="left" vertical="center"/>
    </x:xf>
    <x:xf numFmtId="49" fontId="0" fillId="4" borderId="4" xfId="0" applyAlignment="1">
      <x:alignment horizontal="left" vertical="center"/>
    </x:xf>
    <x:xf numFmtId="1" fontId="0" fillId="4" borderId="5" xfId="0" applyAlignment="1">
      <x:alignment horizontal="left" vertical="center"/>
    </x:xf>
    <x:xf numFmtId="1" fontId="0" fillId="4" borderId="39" xfId="0" applyAlignment="1">
      <x:alignment horizontal="center" vertical="center"/>
    </x:xf>
    <x:xf numFmtId="1" fontId="0" fillId="4" borderId="39" xfId="0" applyAlignment="1">
      <x:alignment horizontal="right" vertical="center"/>
    </x:xf>
    <x:xf numFmtId="1" fontId="0" fillId="4" borderId="227" xfId="0" applyAlignment="1">
      <x:alignment horizontal="center" vertical="center"/>
    </x:xf>
    <x:xf numFmtId="1" fontId="0" fillId="4" borderId="228" xfId="0" applyAlignment="1">
      <x:alignment horizontal="center" vertical="center"/>
    </x:xf>
    <x:xf numFmtId="1" fontId="0" fillId="4" borderId="228" xfId="0" applyAlignment="1">
      <x:alignment horizontal="right" vertical="center"/>
    </x:xf>
    <x:xf numFmtId="0" fontId="0" fillId="4" borderId="217" xfId="0" applyAlignment="1">
      <x:alignment horizontal="right" vertical="center"/>
    </x:xf>
    <x:xf numFmtId="0" fontId="0" fillId="4" borderId="219" xfId="0" applyAlignment="1">
      <x:alignment horizontal="right" vertical="center"/>
    </x:xf>
    <x:xf numFmtId="49" fontId="0" fillId="4" borderId="185" xfId="0" applyAlignment="1">
      <x:alignment horizontal="left" vertical="center"/>
    </x:xf>
    <x:xf numFmtId="1" fontId="0" fillId="4" borderId="103" xfId="0" applyAlignment="1">
      <x:alignment horizontal="left" vertical="center"/>
    </x:xf>
    <x:xf numFmtId="179" fontId="0" fillId="4" borderId="103" xfId="0" applyAlignment="1">
      <x:alignment horizontal="left" vertical="center"/>
    </x:xf>
    <x:xf numFmtId="179" fontId="0" fillId="4" borderId="103" xfId="0" applyAlignment="1">
      <x:alignment horizontal="right" vertical="center"/>
    </x:xf>
    <x:xf numFmtId="170" fontId="0" fillId="4" borderId="217" xfId="0" applyAlignment="1">
      <x:alignment horizontal="right" vertical="center"/>
    </x:xf>
    <x:xf numFmtId="179" fontId="0" fillId="4" borderId="218" xfId="0" applyAlignment="1">
      <x:alignment horizontal="left" vertical="center"/>
    </x:xf>
    <x:xf numFmtId="179" fontId="0" fillId="4" borderId="219" xfId="0" applyAlignment="1">
      <x:alignment horizontal="left" vertical="center"/>
    </x:xf>
    <x:xf numFmtId="179" fontId="0" fillId="4" borderId="219" xfId="0" applyAlignment="1">
      <x:alignment horizontal="right" vertical="center"/>
    </x:xf>
    <x:xf numFmtId="170" fontId="0" fillId="4" borderId="219" xfId="0" applyAlignment="1">
      <x:alignment horizontal="right" vertical="center"/>
    </x:xf>
    <x:xf numFmtId="201" fontId="0" fillId="4" borderId="212" xfId="0" applyAlignment="1">
      <x:alignment vertical="center"/>
    </x:xf>
    <x:xf numFmtId="170" fontId="0" fillId="4" borderId="39" xfId="0" applyAlignment="1">
      <x:alignment horizontal="right" vertical="center"/>
    </x:xf>
    <x:xf numFmtId="170" fontId="0" fillId="4" borderId="6" xfId="0" applyAlignment="1">
      <x:alignment horizontal="right" vertical="center"/>
    </x:xf>
    <x:xf numFmtId="1" fontId="0" fillId="7" borderId="6" xfId="0" applyAlignment="1">
      <x:alignment horizontal="center" vertical="center"/>
    </x:xf>
    <x:xf numFmtId="1" fontId="0" fillId="7" borderId="6" xfId="0" applyAlignment="1">
      <x:alignment horizontal="right" vertical="center"/>
    </x:xf>
    <x:xf numFmtId="185" fontId="0" fillId="4" borderId="18" xfId="0" applyAlignment="1">
      <x:alignment horizontal="left" vertical="center"/>
    </x:xf>
    <x:xf numFmtId="1" fontId="0" fillId="4" borderId="18" xfId="0" applyAlignment="1">
      <x:alignment horizontal="left" vertical="center"/>
    </x:xf>
    <x:xf numFmtId="1" fontId="0" fillId="4" borderId="18" xfId="0" applyAlignment="1">
      <x:alignment horizontal="center" vertical="center"/>
    </x:xf>
    <x:xf numFmtId="1" fontId="0" fillId="4" borderId="19" xfId="0" applyAlignment="1">
      <x:alignment horizontal="center" vertical="center"/>
    </x:xf>
    <x:xf numFmtId="1" fontId="0" fillId="4" borderId="20" xfId="0" applyAlignment="1">
      <x:alignment horizontal="center" vertical="center"/>
    </x:xf>
    <x:xf numFmtId="1" fontId="0" fillId="4" borderId="20" xfId="0" applyAlignment="1">
      <x:alignment horizontal="right" vertical="center"/>
    </x:xf>
    <x:xf numFmtId="170" fontId="0" fillId="4" borderId="20" xfId="0" applyAlignment="1">
      <x:alignment horizontal="right" vertical="center"/>
    </x:xf>
    <x:xf numFmtId="1" fontId="47" fillId="4" borderId="20" xfId="0" applyAlignment="1">
      <x:alignment vertical="center"/>
    </x:xf>
    <x:xf numFmtId="1" fontId="47" fillId="4" borderId="21" xfId="0" applyAlignment="1">
      <x:alignment vertical="center"/>
    </x:xf>
    <x:xf numFmtId="0" fontId="0" fillId="0" borderId="0" xfId="0" applyAlignment="1">
      <x:alignment vertical="bottom"/>
    </x:xf>
    <x:xf numFmtId="49" fontId="16" fillId="35" borderId="1" xfId="0" applyAlignment="1">
      <x:alignment horizontal="center" vertical="center"/>
    </x:xf>
    <x:xf numFmtId="1" fontId="16" fillId="35" borderId="2" xfId="0" applyAlignment="1">
      <x:alignment horizontal="center" vertical="center"/>
    </x:xf>
    <x:xf numFmtId="1" fontId="16" fillId="35" borderId="3" xfId="0" applyAlignment="1">
      <x:alignment horizontal="center" vertical="center"/>
    </x:xf>
    <x:xf numFmtId="49" fontId="15" fillId="4" borderId="25" xfId="0" applyAlignment="1">
      <x:alignment horizontal="center" vertical="bottom"/>
    </x:xf>
    <x:xf numFmtId="1" fontId="15" fillId="4" borderId="25" xfId="0" applyAlignment="1">
      <x:alignment horizontal="center" vertical="bottom"/>
    </x:xf>
    <x:xf numFmtId="49" fontId="18" fillId="36" borderId="18" xfId="0" applyAlignment="1">
      <x:alignment vertical="bottom"/>
    </x:xf>
    <x:xf numFmtId="1" fontId="18" fillId="36" borderId="6" xfId="0" applyAlignment="1">
      <x:alignment vertical="bottom"/>
    </x:xf>
    <x:xf numFmtId="1" fontId="18" fillId="36" borderId="7" xfId="0" applyAlignment="1">
      <x:alignment vertical="bottom"/>
    </x:xf>
    <x:xf numFmtId="49" fontId="7" fillId="4" borderId="19" xfId="0" applyAlignment="1">
      <x:alignment vertical="bottom"/>
    </x:xf>
    <x:xf numFmtId="209" fontId="7" fillId="37" borderId="6" xfId="0" applyAlignment="1">
      <x:alignment vertical="bottom"/>
    </x:xf>
    <x:xf numFmtId="49" fontId="7" fillId="4" borderId="27" xfId="0" applyAlignment="1">
      <x:alignment vertical="bottom"/>
    </x:xf>
    <x:xf numFmtId="210" fontId="7" fillId="37" borderId="6" xfId="0" applyAlignment="1">
      <x:alignment vertical="bottom"/>
    </x:xf>
    <x:xf numFmtId="166" fontId="7" fillId="37" borderId="6" xfId="0" applyAlignment="1">
      <x:alignment vertical="bottom"/>
    </x:xf>
    <x:xf numFmtId="166" fontId="7" fillId="4" borderId="25" xfId="0" applyAlignment="1">
      <x:alignment vertical="bottom"/>
    </x:xf>
    <x:xf numFmtId="209" fontId="7" fillId="4" borderId="22" xfId="0" applyAlignment="1">
      <x:alignment vertical="bottom"/>
    </x:xf>
    <x:xf numFmtId="49" fontId="18" fillId="36" borderId="6" xfId="0" applyAlignment="1">
      <x:alignment vertical="bottom"/>
    </x:xf>
    <x:xf numFmtId="49" fontId="18" fillId="36" borderId="6" xfId="0" applyAlignment="1">
      <x:alignment horizontal="center" vertical="bottom"/>
    </x:xf>
    <x:xf numFmtId="49" fontId="18" fillId="36" borderId="7" xfId="0" applyAlignment="1">
      <x:alignment horizontal="center" vertical="bottom"/>
    </x:xf>
    <x:xf numFmtId="209" fontId="15" fillId="4" borderId="28" xfId="0" applyAlignment="1">
      <x:alignment vertical="bottom"/>
    </x:xf>
    <x:xf numFmtId="209" fontId="15" fillId="4" borderId="25" xfId="0" applyAlignment="1">
      <x:alignment vertical="bottom"/>
    </x:xf>
    <x:xf numFmtId="170" fontId="7" fillId="37" borderId="6" xfId="0" applyAlignment="1">
      <x:alignment vertical="bottom"/>
    </x:xf>
    <x:xf numFmtId="210" fontId="0" fillId="4" borderId="26" xfId="0" applyAlignment="1">
      <x:alignment vertical="bottom"/>
    </x:xf>
    <x:xf numFmtId="209" fontId="7" fillId="4" borderId="25" xfId="0" applyAlignment="1">
      <x:alignment vertical="bottom"/>
    </x:xf>
    <x:xf numFmtId="49" fontId="15" fillId="4" borderId="19" xfId="0" applyAlignment="1">
      <x:alignment vertical="bottom"/>
    </x:xf>
    <x:xf numFmtId="165" fontId="7" fillId="5" borderId="6" xfId="0" applyAlignment="1">
      <x:alignment vertical="bottom"/>
    </x:xf>
    <x:xf numFmtId="165" fontId="7" fillId="5" borderId="7" xfId="0" applyAlignment="1">
      <x:alignment vertical="bottom"/>
    </x:xf>
    <x:xf numFmtId="49" fontId="15" fillId="4" borderId="27" xfId="0" applyAlignment="1">
      <x:alignment vertical="bottom"/>
    </x:xf>
    <x:xf numFmtId="49" fontId="7" fillId="15" borderId="18" xfId="0" applyAlignment="1">
      <x:alignment vertical="bottom"/>
    </x:xf>
    <x:xf numFmtId="165" fontId="7" fillId="15" borderId="6" xfId="0" applyAlignment="1">
      <x:alignment vertical="bottom"/>
    </x:xf>
    <x:xf numFmtId="165" fontId="7" fillId="15" borderId="7" xfId="0" applyAlignment="1">
      <x:alignment vertical="bottom"/>
    </x:xf>
    <x:xf numFmtId="165" fontId="7" fillId="4" borderId="25" xfId="0" applyAlignment="1">
      <x:alignment vertical="bottom"/>
    </x:xf>
    <x:xf numFmtId="165" fontId="7" fillId="4" borderId="23" xfId="0" applyAlignment="1">
      <x:alignment vertical="bottom"/>
    </x:xf>
    <x:xf numFmtId="49" fontId="48" fillId="35" borderId="18" xfId="0" applyAlignment="1">
      <x:alignment vertical="bottom"/>
    </x:xf>
    <x:xf numFmtId="165" fontId="18" fillId="35" borderId="6" xfId="0" applyAlignment="1">
      <x:alignment vertical="bottom"/>
    </x:xf>
    <x:xf numFmtId="165" fontId="18" fillId="35" borderId="7" xfId="0" applyAlignment="1">
      <x:alignment vertical="bottom"/>
    </x:xf>
    <x:xf numFmtId="165" fontId="7" fillId="4" borderId="28" xfId="0" applyAlignment="1">
      <x:alignment vertical="bottom"/>
    </x:xf>
    <x:xf numFmtId="49" fontId="0" fillId="0" borderId="18" xfId="0" applyAlignment="1">
      <x:alignment vertical="bottom"/>
    </x:xf>
    <x:xf numFmtId="165" fontId="0" fillId="0" borderId="6" xfId="0" applyAlignment="1">
      <x:alignment vertical="bottom"/>
    </x:xf>
    <x:xf numFmtId="165" fontId="0" fillId="0" borderId="7" xfId="0" applyAlignment="1">
      <x:alignment vertical="bottom"/>
    </x:xf>
    <x:xf numFmtId="211" fontId="0" fillId="4" borderId="25" xfId="0" applyAlignment="1">
      <x:alignment vertical="bottom"/>
    </x:xf>
    <x:xf numFmtId="211" fontId="7" fillId="4" borderId="25" xfId="0" applyAlignment="1">
      <x:alignment vertical="bottom"/>
    </x:xf>
    <x:xf numFmtId="165" fontId="48" fillId="35" borderId="6" xfId="0" applyAlignment="1">
      <x:alignment vertical="bottom"/>
    </x:xf>
    <x:xf numFmtId="49" fontId="15" fillId="4" borderId="26" xfId="0" applyAlignment="1">
      <x:alignment vertical="bottom"/>
    </x:xf>
    <x:xf numFmtId="166" fontId="7" fillId="4" borderId="22" xfId="0" applyAlignment="1">
      <x:alignment vertical="bottom"/>
    </x:xf>
    <x:xf numFmtId="49" fontId="7" fillId="15" borderId="19" xfId="0" applyAlignment="1">
      <x:alignment vertical="bottom"/>
    </x:xf>
    <x:xf numFmtId="165" fontId="7" fillId="15" borderId="20" xfId="0" applyAlignment="1">
      <x:alignment vertical="bottom"/>
    </x:xf>
    <x:xf numFmtId="0" fontId="0" fillId="0" borderId="0" xfId="0" applyAlignment="1">
      <x:alignment vertical="bottom"/>
    </x:xf>
    <x:xf numFmtId="184" fontId="0" fillId="4" borderId="22" xfId="0" applyAlignment="1">
      <x:alignment vertical="bottom"/>
    </x:xf>
    <x:xf numFmtId="179" fontId="0" fillId="4" borderId="22" xfId="0" applyAlignment="1">
      <x:alignment vertical="bottom"/>
    </x:xf>
    <x:xf numFmtId="0" fontId="0" fillId="0" borderId="0" xfId="0" applyAlignment="1">
      <x:alignment vertical="bottom"/>
    </x:xf>
    <x:xf numFmtId="49" fontId="6" fillId="4" borderId="36" xfId="0" applyAlignment="1">
      <x:alignment vertical="bottom"/>
    </x:xf>
    <x:xf numFmtId="49" fontId="7" fillId="4" borderId="37" xfId="0" applyAlignment="1">
      <x:alignment horizontal="right" vertical="top"/>
    </x:xf>
    <x:xf numFmtId="49" fontId="7" fillId="38" borderId="2" xfId="0" applyAlignment="1">
      <x:alignment horizontal="center" vertical="bottom"/>
    </x:xf>
    <x:xf numFmtId="170" fontId="0" fillId="4" borderId="2" xfId="0" applyAlignment="1">
      <x:alignment vertical="bottom"/>
    </x:xf>
    <x:xf numFmtId="14" fontId="7" fillId="4" borderId="39" xfId="0" applyAlignment="1">
      <x:alignment horizontal="right" vertical="bottom"/>
    </x:xf>
    <x:xf numFmtId="0" fontId="49" fillId="4" borderId="5" xfId="0" applyAlignment="1">
      <x:alignment horizontal="right" vertical="bottom"/>
    </x:xf>
    <x:xf numFmtId="1" fontId="0" fillId="10" borderId="8" xfId="0" applyAlignment="1">
      <x:alignment vertical="bottom" wrapText="1"/>
    </x:xf>
    <x:xf numFmtId="1" fontId="0" fillId="10" borderId="9" xfId="0" applyAlignment="1">
      <x:alignment vertical="bottom" wrapText="1"/>
    </x:xf>
    <x:xf numFmtId="1" fontId="0" fillId="10" borderId="77" xfId="0" applyAlignment="1">
      <x:alignment vertical="bottom" wrapText="1"/>
    </x:xf>
    <x:xf numFmtId="0" fontId="7" fillId="10" borderId="229" xfId="0" applyAlignment="1">
      <x:alignment horizontal="center" vertical="bottom" wrapText="1"/>
    </x:xf>
    <x:xf numFmtId="1" fontId="7" fillId="10" borderId="230" xfId="0" applyAlignment="1">
      <x:alignment horizontal="center" vertical="bottom" wrapText="1"/>
    </x:xf>
    <x:xf numFmtId="49" fontId="0" fillId="10" borderId="9" xfId="0" applyAlignment="1">
      <x:alignment vertical="bottom"/>
    </x:xf>
    <x:xf numFmtId="49" fontId="0" fillId="10" borderId="77" xfId="0" applyAlignment="1">
      <x:alignment vertical="bottom"/>
    </x:xf>
    <x:xf numFmtId="170" fontId="7" fillId="10" borderId="229" xfId="0" applyAlignment="1">
      <x:alignment horizontal="center" vertical="bottom"/>
    </x:xf>
    <x:xf numFmtId="179" fontId="0" fillId="10" borderId="230" xfId="0" applyAlignment="1">
      <x:alignment vertical="bottom"/>
    </x:xf>
    <x:xf numFmtId="0" fontId="0" fillId="4" borderId="12" xfId="0" applyAlignment="1">
      <x:alignment vertical="bottom"/>
    </x:xf>
    <x:xf numFmtId="1" fontId="0" fillId="4" borderId="13" xfId="0" applyAlignment="1">
      <x:alignment vertical="bottom"/>
    </x:xf>
    <x:xf numFmtId="174" fontId="0" fillId="4" borderId="231" xfId="0" applyAlignment="1">
      <x:alignment vertical="bottom"/>
    </x:xf>
    <x:xf numFmtId="9" fontId="7" fillId="4" borderId="232" xfId="0" applyAlignment="1">
      <x:alignment horizontal="center" vertical="bottom"/>
    </x:xf>
    <x:xf numFmtId="1" fontId="0" fillId="4" borderId="233" xfId="0" applyAlignment="1">
      <x:alignment vertical="bottom"/>
    </x:xf>
    <x:xf numFmtId="0" fontId="0" fillId="4" borderId="14" xfId="0" applyAlignment="1">
      <x:alignment vertical="bottom"/>
    </x:xf>
    <x:xf numFmtId="174" fontId="0" fillId="4" borderId="234" xfId="0" applyAlignment="1">
      <x:alignment vertical="bottom"/>
    </x:xf>
    <x:xf numFmtId="9" fontId="7" fillId="4" borderId="235" xfId="0" applyAlignment="1">
      <x:alignment horizontal="center" vertical="bottom"/>
    </x:xf>
    <x:xf numFmtId="1" fontId="0" fillId="4" borderId="236" xfId="0" applyAlignment="1">
      <x:alignment vertical="bottom"/>
    </x:xf>
    <x:xf numFmtId="1" fontId="0" fillId="4" borderId="235" xfId="0" applyAlignment="1">
      <x:alignment vertical="bottom"/>
    </x:xf>
    <x:xf numFmtId="1" fontId="0" fillId="4" borderId="237" xfId="0" applyAlignment="1">
      <x:alignment vertical="bottom"/>
    </x:xf>
    <x:xf numFmtId="1" fontId="0" fillId="10" borderId="8" xfId="0" applyAlignment="1">
      <x:alignment vertical="bottom"/>
    </x:xf>
    <x:xf numFmtId="0" fontId="7" fillId="10" borderId="9" xfId="0" applyAlignment="1">
      <x:alignment horizontal="center" vertical="bottom" wrapText="1"/>
    </x:xf>
    <x:xf numFmtId="49" fontId="7" fillId="10" borderId="10" xfId="0" applyAlignment="1">
      <x:alignment horizontal="center" vertical="bottom" wrapText="1"/>
    </x:xf>
    <x:xf numFmtId="179" fontId="0" fillId="10" borderId="229" xfId="0" applyAlignment="1">
      <x:alignment vertical="bottom"/>
    </x:xf>
    <x:xf numFmtId="179" fontId="7" fillId="4" borderId="232" xfId="0" applyAlignment="1">
      <x:alignment horizontal="center" vertical="bottom"/>
    </x:xf>
    <x:xf numFmtId="179" fontId="0" fillId="4" borderId="233" xfId="0" applyAlignment="1">
      <x:alignment vertical="bottom"/>
    </x:xf>
    <x:xf numFmtId="9" fontId="0" fillId="4" borderId="6" xfId="0" applyAlignment="1">
      <x:alignment vertical="bottom"/>
    </x:xf>
    <x:xf numFmtId="179" fontId="7" fillId="4" borderId="235" xfId="0" applyAlignment="1">
      <x:alignment horizontal="center" vertical="bottom"/>
    </x:xf>
    <x:xf numFmtId="179" fontId="0" fillId="4" borderId="236" xfId="0" applyAlignment="1">
      <x:alignment vertical="bottom"/>
    </x:xf>
    <x:xf numFmtId="179" fontId="0" fillId="4" borderId="235" xfId="0" applyAlignment="1">
      <x:alignment vertical="bottom"/>
    </x:xf>
    <x:xf numFmtId="49" fontId="0" fillId="4" borderId="14" xfId="0" applyAlignment="1">
      <x:alignment vertical="bottom"/>
    </x:xf>
    <x:xf numFmtId="1" fontId="0" fillId="4" borderId="234" xfId="0" applyAlignment="1">
      <x:alignment vertical="bottom"/>
    </x:xf>
    <x:xf numFmtId="1" fontId="0" fillId="4" borderId="16" xfId="0" applyAlignment="1">
      <x:alignment vertical="bottom"/>
    </x:xf>
    <x:xf numFmtId="9" fontId="0" fillId="4" borderId="20" xfId="0" applyAlignment="1">
      <x:alignment vertical="bottom"/>
    </x:xf>
    <x:xf numFmtId="0" fontId="0" fillId="0" borderId="0" xfId="0" applyAlignment="1">
      <x:alignment vertical="bottom"/>
    </x:xf>
    <x:xf numFmtId="49" fontId="7" fillId="4" borderId="37" xfId="0" applyAlignment="1">
      <x:alignment horizontal="right" vertical="bottom"/>
    </x:xf>
    <x:xf numFmtId="1" fontId="21" fillId="4" borderId="4" xfId="0" applyAlignment="1">
      <x:alignment horizontal="left" vertical="center"/>
    </x:xf>
    <x:xf numFmtId="1" fontId="12" fillId="13" borderId="38" xfId="0" applyAlignment="1">
      <x:alignment horizontal="left" vertical="bottom"/>
    </x:xf>
    <x:xf numFmtId="199" fontId="12" fillId="13" borderId="39" xfId="0" applyAlignment="1">
      <x:alignment horizontal="center" vertical="bottom"/>
    </x:xf>
    <x:xf numFmtId="1" fontId="12" fillId="13" borderId="4" xfId="0" applyAlignment="1">
      <x:alignment horizontal="left" vertical="bottom"/>
    </x:xf>
    <x:xf numFmtId="1" fontId="12" fillId="13" borderId="5" xfId="0" applyAlignment="1">
      <x:alignment horizontal="center" vertical="bottom"/>
    </x:xf>
    <x:xf numFmtId="49" fontId="12" fillId="13" borderId="54" xfId="0" applyAlignment="1">
      <x:alignment vertical="bottom"/>
    </x:xf>
    <x:xf numFmtId="179" fontId="12" fillId="13" borderId="9" xfId="0" applyAlignment="1">
      <x:alignment vertical="bottom"/>
    </x:xf>
    <x:xf numFmtId="49" fontId="7" fillId="4" borderId="38" xfId="0" applyAlignment="1">
      <x:alignment horizontal="left" vertical="bottom"/>
    </x:xf>
    <x:xf numFmtId="49" fontId="7" fillId="4" borderId="18" xfId="0" applyAlignment="1">
      <x:alignment horizontal="left" vertical="bottom"/>
    </x:xf>
    <x:xf numFmtId="49" fontId="7" fillId="4" borderId="4" xfId="0" applyAlignment="1">
      <x:alignment horizontal="left" vertical="bottom"/>
    </x:xf>
    <x:xf numFmtId="179" fontId="0" fillId="4" borderId="5" xfId="0" applyAlignment="1">
      <x:alignment vertical="bottom"/>
    </x:xf>
    <x:xf numFmtId="179" fontId="0" fillId="4" borderId="9" xfId="0" applyAlignment="1">
      <x:alignment vertical="bottom"/>
    </x:xf>
    <x:xf numFmtId="49" fontId="7" fillId="7" borderId="54" xfId="0" applyAlignment="1">
      <x:alignment horizontal="left" vertical="bottom"/>
    </x:xf>
    <x:xf numFmtId="179" fontId="0" fillId="7" borderId="9" xfId="0" applyAlignment="1">
      <x:alignment vertical="bottom"/>
    </x:xf>
    <x:xf numFmtId="1" fontId="7" fillId="4" borderId="54" xfId="0" applyAlignment="1">
      <x:alignment horizontal="left" vertical="bottom"/>
    </x:xf>
    <x:xf numFmtId="49" fontId="0" fillId="7" borderId="38" xfId="0" applyAlignment="1">
      <x:alignment vertical="bottom"/>
    </x:xf>
    <x:xf numFmtId="179" fontId="0" fillId="7" borderId="39" xfId="0" applyAlignment="1">
      <x:alignment vertical="bottom"/>
    </x:xf>
    <x:xf numFmtId="49" fontId="0" fillId="7" borderId="4" xfId="0" applyAlignment="1">
      <x:alignment vertical="bottom"/>
    </x:xf>
    <x:xf numFmtId="179" fontId="0" fillId="7" borderId="5" xfId="0" applyAlignment="1">
      <x:alignment vertical="bottom"/>
    </x:xf>
    <x:xf numFmtId="49" fontId="0" fillId="4" borderId="38" xfId="0" applyAlignment="1">
      <x:alignment vertical="bottom"/>
    </x:xf>
    <x:xf numFmtId="170" fontId="7" fillId="4" borderId="39" xfId="0" applyAlignment="1">
      <x:alignment horizontal="right" vertical="bottom"/>
    </x:xf>
    <x:xf numFmtId="49" fontId="0" fillId="4" borderId="39" xfId="0" applyAlignment="1">
      <x:alignment vertical="bottom"/>
    </x:xf>
    <x:xf numFmtId="179" fontId="7" fillId="4" borderId="41" xfId="0" applyAlignment="1">
      <x:alignment horizontal="right" vertical="bottom"/>
    </x:xf>
    <x:xf numFmtId="49" fontId="0" fillId="4" borderId="4" xfId="0" applyAlignment="1">
      <x:alignment vertical="bottom"/>
    </x:xf>
    <x:xf numFmtId="170" fontId="7" fillId="4" borderId="5" xfId="0" applyAlignment="1">
      <x:alignment horizontal="right" vertical="bottom"/>
    </x:xf>
    <x:xf numFmtId="49" fontId="0" fillId="4" borderId="5" xfId="0" applyAlignment="1">
      <x:alignment vertical="bottom"/>
    </x:xf>
    <x:xf numFmtId="0" fontId="7" fillId="4" borderId="51" xfId="0" applyAlignment="1">
      <x:alignment horizontal="right" vertical="bottom"/>
    </x:xf>
    <x:xf numFmtId="49" fontId="24" fillId="4" borderId="18" xfId="0" applyAlignment="1">
      <x:alignment vertical="bottom"/>
    </x:xf>
    <x:xf numFmtId="1" fontId="24" fillId="4" borderId="18" xfId="0" applyAlignment="1">
      <x:alignment vertical="bottom"/>
    </x:xf>
    <x:xf numFmtId="1" fontId="24" fillId="4" borderId="6" xfId="0" applyAlignment="1">
      <x:alignment vertical="bottom"/>
    </x:xf>
    <x:xf numFmtId="179" fontId="24" fillId="4" borderId="6" xfId="0" applyAlignment="1">
      <x:alignment vertical="bottom"/>
    </x:xf>
    <x:xf numFmtId="49" fontId="0" fillId="27" borderId="38" xfId="0" applyAlignment="1">
      <x:alignment vertical="bottom"/>
    </x:xf>
    <x:xf numFmtId="179" fontId="0" fillId="27" borderId="39" xfId="0" applyAlignment="1">
      <x:alignment vertical="bottom"/>
    </x:xf>
    <x:xf numFmtId="49" fontId="0" fillId="27" borderId="4" xfId="0" applyAlignment="1">
      <x:alignment vertical="bottom"/>
    </x:xf>
    <x:xf numFmtId="179" fontId="0" fillId="27" borderId="5" xfId="0" applyAlignment="1">
      <x:alignment vertical="bottom"/>
    </x:xf>
    <x:xf numFmtId="49" fontId="0" fillId="27" borderId="238" xfId="0" applyAlignment="1">
      <x:alignment vertical="bottom"/>
    </x:xf>
    <x:xf numFmtId="179" fontId="0" fillId="27" borderId="198" xfId="0" applyAlignment="1">
      <x:alignment vertical="bottom"/>
    </x:xf>
    <x:xf numFmtId="1" fontId="0" fillId="4" borderId="187" xfId="0" applyAlignment="1">
      <x:alignment vertical="bottom"/>
    </x:xf>
    <x:xf numFmtId="1" fontId="0" fillId="4" borderId="177" xfId="0" applyAlignment="1">
      <x:alignment vertical="bottom"/>
    </x:xf>
    <x:xf numFmtId="49" fontId="26" fillId="4" borderId="18" xfId="0" applyAlignment="1">
      <x:alignment vertical="bottom"/>
    </x:xf>
    <x:xf numFmtId="49" fontId="26" fillId="4" borderId="19" xfId="0" applyAlignment="1">
      <x:alignment vertical="bottom"/>
    </x:xf>
    <x:xf numFmtId="0" fontId="0" fillId="0" borderId="0" xfId="0" applyAlignment="1">
      <x:alignment vertical="bottom"/>
    </x:xf>
    <x:xf numFmtId="170" fontId="0" fillId="4" borderId="37" xfId="0" applyAlignment="1">
      <x:alignment vertical="top"/>
    </x:xf>
    <x:xf numFmtId="179" fontId="0" fillId="4" borderId="37" xfId="0" applyAlignment="1">
      <x:alignment vertical="top"/>
    </x:xf>
    <x:xf numFmtId="184" fontId="0" fillId="4" borderId="37" xfId="0" applyAlignment="1">
      <x:alignment vertical="top"/>
    </x:xf>
    <x:xf numFmtId="49" fontId="23" fillId="38" borderId="2" xfId="0" applyAlignment="1">
      <x:alignment horizontal="center" vertical="center"/>
    </x:xf>
    <x:xf numFmtId="212" fontId="23" fillId="38" borderId="2" xfId="0" applyAlignment="1">
      <x:alignment horizontal="center" vertical="center"/>
    </x:xf>
    <x:xf numFmtId="170" fontId="7" fillId="4" borderId="39" xfId="0" applyAlignment="1">
      <x:alignment horizontal="left" vertical="top"/>
    </x:xf>
    <x:xf numFmtId="14" fontId="22" fillId="4" borderId="39" xfId="0" applyAlignment="1">
      <x:alignment horizontal="right" vertical="bottom"/>
    </x:xf>
    <x:xf numFmtId="170" fontId="7" fillId="4" borderId="6" xfId="0" applyAlignment="1">
      <x:alignment horizontal="left" vertical="top"/>
    </x:xf>
    <x:xf numFmtId="14" fontId="22" fillId="4" borderId="6" xfId="0" applyAlignment="1">
      <x:alignment horizontal="right" vertical="bottom"/>
    </x:xf>
    <x:xf numFmtId="1" fontId="0" fillId="4" borderId="6" xfId="0" applyAlignment="1">
      <x:alignment vertical="top" wrapText="1"/>
    </x:xf>
    <x:xf numFmtId="49" fontId="0" fillId="4" borderId="6" xfId="0" applyAlignment="1">
      <x:alignment vertical="top"/>
    </x:xf>
    <x:xf numFmtId="49" fontId="12" fillId="13" borderId="18" xfId="0" applyAlignment="1">
      <x:alignment vertical="top"/>
    </x:xf>
    <x:xf numFmtId="170" fontId="12" fillId="13" borderId="6" xfId="0" applyAlignment="1">
      <x:alignment vertical="top"/>
    </x:xf>
    <x:xf numFmtId="49" fontId="12" fillId="13" borderId="6" xfId="0" applyAlignment="1">
      <x:alignment horizontal="center" vertical="top"/>
    </x:xf>
    <x:xf numFmtId="49" fontId="12" fillId="13" borderId="6" xfId="0" applyAlignment="1">
      <x:alignment horizontal="left" vertical="top" wrapText="1"/>
    </x:xf>
    <x:xf numFmtId="49" fontId="7" fillId="4" borderId="239" xfId="0" applyAlignment="1">
      <x:alignment horizontal="left" vertical="top"/>
    </x:xf>
    <x:xf numFmtId="213" fontId="20" fillId="7" borderId="58" xfId="0" applyAlignment="1">
      <x:alignment vertical="top"/>
    </x:xf>
    <x:xf numFmtId="179" fontId="0" fillId="4" borderId="58" xfId="0" applyAlignment="1">
      <x:alignment vertical="top"/>
    </x:xf>
    <x:xf numFmtId="184" fontId="0" fillId="4" borderId="58" xfId="0" applyAlignment="1">
      <x:alignment vertical="top"/>
    </x:xf>
    <x:xf numFmtId="179" fontId="7" fillId="4" borderId="58" xfId="0" applyAlignment="1">
      <x:alignment horizontal="left" vertical="top"/>
    </x:xf>
    <x:xf numFmtId="49" fontId="20" fillId="4" borderId="58" xfId="0" applyAlignment="1">
      <x:alignment horizontal="left" vertical="top" wrapText="1"/>
    </x:xf>
    <x:xf numFmtId="0" fontId="0" fillId="4" borderId="6" xfId="0" applyAlignment="1">
      <x:alignment vertical="top"/>
    </x:xf>
    <x:xf numFmtId="49" fontId="7" fillId="4" borderId="240" xfId="0" applyAlignment="1">
      <x:alignment horizontal="left" vertical="top"/>
    </x:xf>
    <x:xf numFmtId="170" fontId="20" fillId="7" borderId="61" xfId="0" applyAlignment="1">
      <x:alignment vertical="top"/>
    </x:xf>
    <x:xf numFmtId="179" fontId="0" fillId="4" borderId="61" xfId="0" applyAlignment="1">
      <x:alignment vertical="top"/>
    </x:xf>
    <x:xf numFmtId="184" fontId="0" fillId="4" borderId="61" xfId="0" applyAlignment="1">
      <x:alignment vertical="top"/>
    </x:xf>
    <x:xf numFmtId="179" fontId="7" fillId="4" borderId="61" xfId="0" applyAlignment="1">
      <x:alignment horizontal="left" vertical="top"/>
    </x:xf>
    <x:xf numFmtId="1" fontId="20" fillId="4" borderId="61" xfId="0" applyAlignment="1">
      <x:alignment horizontal="left" vertical="top" wrapText="1"/>
    </x:xf>
    <x:xf numFmtId="170" fontId="0" fillId="4" borderId="61" xfId="0" applyAlignment="1">
      <x:alignment vertical="top"/>
    </x:xf>
    <x:xf numFmtId="179" fontId="20" fillId="4" borderId="61" xfId="0" applyAlignment="1">
      <x:alignment vertical="top"/>
    </x:xf>
    <x:xf numFmtId="49" fontId="20" fillId="4" borderId="61" xfId="0" applyAlignment="1">
      <x:alignment horizontal="left" vertical="top" wrapText="1"/>
    </x:xf>
    <x:xf numFmtId="1" fontId="24" fillId="4" borderId="61" xfId="0" applyAlignment="1">
      <x:alignment horizontal="left" vertical="top" wrapText="1"/>
    </x:xf>
    <x:xf numFmtId="49" fontId="7" fillId="7" borderId="241" xfId="0" applyAlignment="1">
      <x:alignment horizontal="left" vertical="top"/>
    </x:xf>
    <x:xf numFmtId="170" fontId="0" fillId="7" borderId="69" xfId="0" applyAlignment="1">
      <x:alignment vertical="top"/>
    </x:xf>
    <x:xf numFmtId="179" fontId="0" fillId="7" borderId="69" xfId="0" applyAlignment="1">
      <x:alignment vertical="top"/>
    </x:xf>
    <x:xf numFmtId="184" fontId="0" fillId="7" borderId="69" xfId="0" applyAlignment="1">
      <x:alignment vertical="top"/>
    </x:xf>
    <x:xf numFmtId="1" fontId="0" fillId="7" borderId="69" xfId="0" applyAlignment="1">
      <x:alignment vertical="top" wrapText="1"/>
    </x:xf>
    <x:xf numFmtId="1" fontId="7" fillId="4" borderId="18" xfId="0" applyAlignment="1">
      <x:alignment horizontal="left" vertical="top"/>
    </x:xf>
    <x:xf numFmtId="170" fontId="0" fillId="4" borderId="6" xfId="0" applyAlignment="1">
      <x:alignment vertical="top"/>
    </x:xf>
    <x:xf numFmtId="184" fontId="0" fillId="4" borderId="6" xfId="0" applyAlignment="1">
      <x:alignment vertical="top"/>
    </x:xf>
    <x:xf numFmtId="170" fontId="0" fillId="4" borderId="58" xfId="0" applyAlignment="1">
      <x:alignment vertical="top"/>
    </x:xf>
    <x:xf numFmtId="179" fontId="20" fillId="38" borderId="58" xfId="0" applyAlignment="1">
      <x:alignment vertical="top"/>
    </x:xf>
    <x:xf numFmtId="179" fontId="24" fillId="4" borderId="61" xfId="0" applyAlignment="1">
      <x:alignment vertical="top"/>
    </x:xf>
    <x:xf numFmtId="49" fontId="24" fillId="4" borderId="61" xfId="0" applyAlignment="1">
      <x:alignment horizontal="left" vertical="top" wrapText="1"/>
    </x:xf>
    <x:xf numFmtId="179" fontId="20" fillId="38" borderId="61" xfId="0" applyAlignment="1">
      <x:alignment vertical="top"/>
    </x:xf>
    <x:xf numFmtId="179" fontId="20" fillId="34" borderId="61" xfId="0" applyAlignment="1">
      <x:alignment vertical="top"/>
    </x:xf>
    <x:xf numFmtId="49" fontId="20" fillId="4" borderId="61" xfId="0" applyAlignment="1">
      <x:alignment vertical="top" wrapText="1"/>
    </x:xf>
    <x:xf numFmtId="1" fontId="0" fillId="4" borderId="18" xfId="0" applyAlignment="1">
      <x:alignment vertical="top"/>
    </x:xf>
    <x:xf numFmtId="179" fontId="20" fillId="4" borderId="58" xfId="0" applyAlignment="1">
      <x:alignment vertical="top"/>
    </x:xf>
    <x:xf numFmtId="1" fontId="20" fillId="4" borderId="58" xfId="0" applyAlignment="1">
      <x:alignment horizontal="left" vertical="top" wrapText="1"/>
    </x:xf>
    <x:xf numFmtId="184" fontId="20" fillId="7" borderId="61" xfId="0" applyAlignment="1">
      <x:alignment vertical="top"/>
    </x:xf>
    <x:xf numFmtId="179" fontId="12" fillId="13" borderId="6" xfId="0" applyAlignment="1">
      <x:alignment horizontal="center" vertical="top"/>
    </x:xf>
    <x:xf numFmtId="184" fontId="0" fillId="4" borderId="58" xfId="0" applyAlignment="1">
      <x:alignment vertical="bottom"/>
    </x:xf>
    <x:xf numFmtId="179" fontId="24" fillId="4" borderId="58" xfId="0" applyAlignment="1">
      <x:alignment vertical="top" wrapText="1"/>
    </x:xf>
    <x:xf numFmtId="186" fontId="0" fillId="4" borderId="6" xfId="0" applyAlignment="1">
      <x:alignment vertical="top"/>
    </x:xf>
    <x:xf numFmtId="179" fontId="23" fillId="4" borderId="6" xfId="0" applyAlignment="1">
      <x:alignment horizontal="left" vertical="top"/>
    </x:xf>
    <x:xf numFmtId="201" fontId="0" fillId="4" borderId="6" xfId="0" applyAlignment="1">
      <x:alignment vertical="top"/>
    </x:xf>
    <x:xf numFmtId="10" fontId="0" fillId="4" borderId="61" xfId="0" applyAlignment="1">
      <x:alignment vertical="top"/>
    </x:xf>
    <x:xf numFmtId="179" fontId="20" fillId="4" borderId="61" xfId="0" applyAlignment="1">
      <x:alignment vertical="top" wrapText="1"/>
    </x:xf>
    <x:xf numFmtId="1" fontId="22" fillId="4" borderId="6" xfId="0" applyAlignment="1">
      <x:alignment vertical="top" wrapText="1"/>
    </x:xf>
    <x:xf numFmtId="1" fontId="23" fillId="4" borderId="6" xfId="0" applyAlignment="1">
      <x:alignment vertical="top"/>
    </x:xf>
    <x:xf numFmtId="179" fontId="23" fillId="4" borderId="6" xfId="0" applyAlignment="1">
      <x:alignment vertical="top"/>
    </x:xf>
    <x:xf numFmtId="179" fontId="23" fillId="4" borderId="7" xfId="0" applyAlignment="1">
      <x:alignment vertical="top"/>
    </x:xf>
    <x:xf numFmtId="49" fontId="23" fillId="4" borderId="6" xfId="0" applyAlignment="1">
      <x:alignment vertical="top"/>
    </x:xf>
    <x:xf numFmtId="49" fontId="7" fillId="10" borderId="18" xfId="0" applyAlignment="1">
      <x:alignment horizontal="left" vertical="top"/>
    </x:xf>
    <x:xf numFmtId="170" fontId="12" fillId="10" borderId="6" xfId="0" applyAlignment="1">
      <x:alignment vertical="top"/>
    </x:xf>
    <x:xf numFmtId="179" fontId="12" fillId="10" borderId="6" xfId="0" applyAlignment="1">
      <x:alignment horizontal="center" vertical="top"/>
    </x:xf>
    <x:xf numFmtId="184" fontId="12" fillId="10" borderId="6" xfId="0" applyAlignment="1">
      <x:alignment horizontal="center" vertical="top"/>
    </x:xf>
    <x:xf numFmtId="1" fontId="22" fillId="10" borderId="6" xfId="0" applyAlignment="1">
      <x:alignment horizontal="left" vertical="top" wrapText="1"/>
    </x:xf>
    <x:xf numFmtId="179" fontId="22" fillId="4" borderId="61" xfId="0" applyAlignment="1">
      <x:alignment vertical="top"/>
    </x:xf>
    <x:xf numFmtId="213" fontId="50" fillId="7" borderId="61" xfId="0" applyAlignment="1">
      <x:alignment vertical="top"/>
    </x:xf>
    <x:xf numFmtId="179" fontId="14" fillId="4" borderId="61" xfId="0" applyAlignment="1">
      <x:alignment vertical="top"/>
    </x:xf>
    <x:xf numFmtId="49" fontId="14" fillId="4" borderId="61" xfId="0" applyAlignment="1">
      <x:alignment horizontal="left" vertical="top" wrapText="1"/>
    </x:xf>
    <x:xf numFmtId="179" fontId="7" fillId="10" borderId="6" xfId="0" applyAlignment="1">
      <x:alignment horizontal="center" vertical="top"/>
    </x:xf>
    <x:xf numFmtId="213" fontId="50" fillId="7" borderId="58" xfId="0" applyAlignment="1">
      <x:alignment vertical="top"/>
    </x:xf>
    <x:xf numFmtId="179" fontId="14" fillId="4" borderId="58" xfId="0" applyAlignment="1">
      <x:alignment vertical="top"/>
    </x:xf>
    <x:xf numFmtId="49" fontId="14" fillId="4" borderId="58" xfId="0" applyAlignment="1">
      <x:alignment horizontal="left" vertical="top" wrapText="1"/>
    </x:xf>
    <x:xf numFmtId="9" fontId="0" fillId="4" borderId="6" xfId="0" applyAlignment="1">
      <x:alignment vertical="top"/>
    </x:xf>
    <x:xf numFmtId="213" fontId="20" fillId="7" borderId="61" xfId="0" applyAlignment="1">
      <x:alignment vertical="top"/>
    </x:xf>
    <x:xf numFmtId="214" fontId="20" fillId="7" borderId="61" xfId="0" applyAlignment="1">
      <x:alignment vertical="top"/>
    </x:xf>
    <x:xf numFmtId="49" fontId="7" fillId="7" borderId="18" xfId="0" applyAlignment="1">
      <x:alignment horizontal="left" vertical="top"/>
    </x:xf>
    <x:xf numFmtId="170" fontId="0" fillId="7" borderId="6" xfId="0" applyAlignment="1">
      <x:alignment vertical="top"/>
    </x:xf>
    <x:xf numFmtId="179" fontId="0" fillId="7" borderId="6" xfId="0" applyAlignment="1">
      <x:alignment vertical="top"/>
    </x:xf>
    <x:xf numFmtId="184" fontId="0" fillId="7" borderId="6" xfId="0" applyAlignment="1">
      <x:alignment vertical="top"/>
    </x:xf>
    <x:xf numFmtId="1" fontId="0" fillId="7" borderId="6" xfId="0" applyAlignment="1">
      <x:alignment vertical="top" wrapText="1"/>
    </x:xf>
    <x:xf numFmtId="10" fontId="20" fillId="7" borderId="61" xfId="0" applyAlignment="1">
      <x:alignment vertical="top"/>
    </x:xf>
    <x:xf numFmtId="179" fontId="20" fillId="7" borderId="61" xfId="0" applyAlignment="1">
      <x:alignment vertical="top"/>
    </x:xf>
    <x:xf numFmtId="179" fontId="7" fillId="4" borderId="6" xfId="0" applyAlignment="1">
      <x:alignment horizontal="left" vertical="top"/>
    </x:xf>
    <x:xf numFmtId="1" fontId="22" fillId="4" borderId="6" xfId="0" applyAlignment="1">
      <x:alignment horizontal="left" vertical="top" wrapText="1"/>
    </x:xf>
    <x:xf numFmtId="10" fontId="0" fillId="7" borderId="61" xfId="0" applyAlignment="1">
      <x:alignment vertical="top"/>
    </x:xf>
    <x:xf numFmtId="179" fontId="14" fillId="34" borderId="61" xfId="0" applyAlignment="1">
      <x:alignment vertical="top"/>
    </x:xf>
    <x:xf numFmtId="213" fontId="24" fillId="7" borderId="58" xfId="0" applyAlignment="1">
      <x:alignment vertical="top"/>
    </x:xf>
    <x:xf numFmtId="179" fontId="24" fillId="34" borderId="58" xfId="0" applyAlignment="1">
      <x:alignment vertical="top"/>
    </x:xf>
    <x:xf numFmtId="170" fontId="20" fillId="4" borderId="61" xfId="0" applyAlignment="1">
      <x:alignment vertical="top"/>
    </x:xf>
    <x:xf numFmtId="213" fontId="0" fillId="7" borderId="61" xfId="0" applyAlignment="1">
      <x:alignment vertical="top"/>
    </x:xf>
    <x:xf numFmtId="213" fontId="24" fillId="7" borderId="61" xfId="0" applyAlignment="1">
      <x:alignment vertical="top"/>
    </x:xf>
    <x:xf numFmtId="179" fontId="24" fillId="34" borderId="61" xfId="0" applyAlignment="1">
      <x:alignment vertical="top"/>
    </x:xf>
    <x:xf numFmtId="179" fontId="0" fillId="34" borderId="58" xfId="0" applyAlignment="1">
      <x:alignment vertical="top"/>
    </x:xf>
    <x:xf numFmtId="215" fontId="20" fillId="4" borderId="58" xfId="0" applyAlignment="1">
      <x:alignment horizontal="left" vertical="top" wrapText="1"/>
    </x:xf>
    <x:xf numFmtId="179" fontId="0" fillId="34" borderId="61" xfId="0" applyAlignment="1">
      <x:alignment vertical="top"/>
    </x:xf>
    <x:xf numFmtId="215" fontId="20" fillId="4" borderId="61" xfId="0" applyAlignment="1">
      <x:alignment horizontal="left" vertical="top" wrapText="1"/>
    </x:xf>
    <x:xf numFmtId="49" fontId="20" fillId="4" borderId="61" xfId="0" applyAlignment="1">
      <x:alignment horizontal="left" vertical="top"/>
    </x:xf>
    <x:xf numFmtId="184" fontId="7" fillId="4" borderId="6" xfId="0" applyAlignment="1">
      <x:alignment horizontal="left" vertical="top"/>
    </x:xf>
    <x:xf numFmtId="49" fontId="12" fillId="39" borderId="18" xfId="0" applyAlignment="1">
      <x:alignment vertical="top"/>
    </x:xf>
    <x:xf numFmtId="170" fontId="12" fillId="39" borderId="6" xfId="0" applyAlignment="1">
      <x:alignment vertical="top"/>
    </x:xf>
    <x:xf numFmtId="179" fontId="12" fillId="39" borderId="6" xfId="0" applyAlignment="1">
      <x:alignment vertical="top"/>
    </x:xf>
    <x:xf numFmtId="184" fontId="12" fillId="39" borderId="6" xfId="0" applyAlignment="1">
      <x:alignment vertical="top"/>
    </x:xf>
    <x:xf numFmtId="1" fontId="22" fillId="39" borderId="6" xfId="0" applyAlignment="1">
      <x:alignment vertical="top" wrapText="1"/>
    </x:xf>
    <x:xf numFmtId="184" fontId="23" fillId="4" borderId="6" xfId="0" applyAlignment="1">
      <x:alignment vertical="top"/>
    </x:xf>
    <x:xf numFmtId="49" fontId="0" fillId="4" borderId="18" xfId="0" applyAlignment="1">
      <x:alignment vertical="top"/>
    </x:xf>
    <x:xf numFmtId="49" fontId="52" fillId="4" borderId="18" xfId="0" applyAlignment="1">
      <x:alignment horizontal="right" vertical="bottom"/>
    </x:xf>
    <x:xf numFmtId="179" fontId="14" fillId="4" borderId="6" xfId="0" applyAlignment="1">
      <x:alignment vertical="top"/>
    </x:xf>
    <x:xf numFmtId="49" fontId="52" fillId="4" borderId="4" xfId="0" applyAlignment="1">
      <x:alignment horizontal="right" vertical="bottom"/>
    </x:xf>
    <x:xf numFmtId="179" fontId="0" fillId="4" borderId="5" xfId="0" applyAlignment="1">
      <x:alignment vertical="top"/>
    </x:xf>
    <x:xf numFmtId="49" fontId="0" fillId="4" borderId="238" xfId="0" applyAlignment="1">
      <x:alignment vertical="top"/>
    </x:xf>
    <x:xf numFmtId="170" fontId="0" fillId="4" borderId="198" xfId="0" applyAlignment="1">
      <x:alignment vertical="top"/>
    </x:xf>
    <x:xf numFmtId="179" fontId="0" fillId="4" borderId="198" xfId="0" applyAlignment="1">
      <x:alignment vertical="top"/>
    </x:xf>
    <x:xf numFmtId="49" fontId="7" fillId="4" borderId="177" xfId="0" applyAlignment="1">
      <x:alignment horizontal="right" vertical="top"/>
    </x:xf>
    <x:xf numFmtId="179" fontId="0" fillId="4" borderId="177" xfId="0" applyAlignment="1">
      <x:alignment vertical="top"/>
    </x:xf>
    <x:xf numFmtId="49" fontId="53" fillId="4" borderId="18" xfId="0" applyAlignment="1">
      <x:alignment horizontal="right" vertical="bottom"/>
    </x:xf>
    <x:xf numFmtId="49" fontId="53" fillId="4" borderId="4" xfId="0" applyAlignment="1">
      <x:alignment horizontal="right" vertical="bottom"/>
    </x:xf>
    <x:xf numFmtId="49" fontId="53" fillId="4" borderId="238" xfId="0" applyAlignment="1">
      <x:alignment horizontal="right" vertical="bottom"/>
    </x:xf>
    <x:xf numFmtId="49" fontId="18" fillId="0" borderId="18" xfId="0" applyAlignment="1">
      <x:alignment vertical="bottom"/>
    </x:xf>
    <x:xf numFmtId="49" fontId="0" fillId="4" borderId="19" xfId="0" applyAlignment="1">
      <x:alignment vertical="top"/>
    </x:xf>
    <x:xf numFmtId="0" fontId="0" fillId="0" borderId="0" xfId="0" applyAlignment="1">
      <x:alignment vertical="bottom"/>
    </x:xf>
    <x:xf numFmtId="49" fontId="7" fillId="38" borderId="37" xfId="0" applyAlignment="1">
      <x:alignment horizontal="center" vertical="bottom"/>
    </x:xf>
    <x:xf numFmtId="1" fontId="0" fillId="16" borderId="6" xfId="0" applyAlignment="1">
      <x:alignment vertical="bottom"/>
    </x:xf>
    <x:xf numFmtId="14" fontId="7" fillId="4" borderId="6" xfId="0" applyAlignment="1">
      <x:alignment horizontal="right" vertical="bottom"/>
    </x:xf>
    <x:xf numFmtId="186" fontId="7" fillId="4" borderId="6" xfId="0" applyAlignment="1">
      <x:alignment horizontal="left" vertical="bottom"/>
    </x:xf>
    <x:xf numFmtId="10" fontId="7" fillId="4" borderId="6" xfId="0" applyAlignment="1">
      <x:alignment horizontal="left" vertical="bottom"/>
    </x:xf>
    <x:xf numFmtId="49" fontId="7" fillId="4" borderId="6" xfId="0" applyAlignment="1">
      <x:alignment horizontal="left" vertical="bottom"/>
    </x:xf>
    <x:xf numFmtId="9" fontId="7" fillId="4" borderId="6" xfId="0" applyAlignment="1">
      <x:alignment horizontal="left" vertical="bottom"/>
    </x:xf>
    <x:xf numFmtId="49" fontId="12" fillId="13" borderId="18" xfId="0" applyAlignment="1">
      <x:alignment vertical="bottom" wrapText="1"/>
    </x:xf>
    <x:xf numFmtId="49" fontId="12" fillId="13" borderId="6" xfId="0" applyAlignment="1">
      <x:alignment horizontal="center" vertical="bottom" wrapText="1"/>
    </x:xf>
    <x:xf numFmtId="49" fontId="23" fillId="4" borderId="6" xfId="0" applyAlignment="1">
      <x:alignment vertical="bottom"/>
    </x:xf>
    <x:xf numFmtId="49" fontId="23" fillId="7" borderId="6" xfId="0" applyAlignment="1">
      <x:alignment vertical="bottom" wrapText="1"/>
    </x:xf>
    <x:xf numFmtId="1" fontId="23" fillId="7" borderId="6" xfId="0" applyAlignment="1">
      <x:alignment vertical="bottom" wrapText="1"/>
    </x:xf>
    <x:xf numFmtId="0" fontId="7" fillId="4" borderId="18" xfId="0" applyAlignment="1">
      <x:alignment horizontal="left" vertical="bottom"/>
    </x:xf>
    <x:xf numFmtId="179" fontId="0" fillId="4" borderId="71" xfId="0" applyAlignment="1">
      <x:alignment vertical="bottom"/>
    </x:xf>
    <x:xf numFmtId="179" fontId="0" fillId="4" borderId="72" xfId="0" applyAlignment="1">
      <x:alignment vertical="bottom"/>
    </x:xf>
    <x:xf numFmtId="1" fontId="23" fillId="7" borderId="6" xfId="0" applyAlignment="1">
      <x:alignment horizontal="left" vertical="bottom"/>
    </x:xf>
    <x:xf numFmtId="179" fontId="0" fillId="7" borderId="6" xfId="0" applyAlignment="1">
      <x:alignment vertical="bottom"/>
    </x:xf>
    <x:xf numFmtId="0" fontId="23" fillId="7" borderId="6" xfId="0" applyAlignment="1">
      <x:alignment horizontal="left" vertical="bottom"/>
    </x:xf>
    <x:xf numFmtId="0" fontId="0" fillId="7" borderId="6" xfId="0" applyAlignment="1">
      <x:alignment vertical="bottom"/>
    </x:xf>
    <x:xf numFmtId="1" fontId="0" fillId="4" borderId="6" xfId="0" applyAlignment="1">
      <x:alignment vertical="bottom" wrapText="1"/>
    </x:xf>
    <x:xf numFmtId="201" fontId="0" fillId="4" borderId="6" xfId="0" applyAlignment="1">
      <x:alignment vertical="bottom"/>
    </x:xf>
    <x:xf numFmtId="201" fontId="0" fillId="4" borderId="6" xfId="0" applyAlignment="1">
      <x:alignment vertical="bottom" wrapText="1"/>
    </x:xf>
    <x:xf numFmtId="10" fontId="0" fillId="4" borderId="6" xfId="0" applyAlignment="1">
      <x:alignment vertical="bottom"/>
    </x:xf>
    <x:xf numFmtId="0" fontId="7" fillId="4" borderId="4" xfId="0" applyAlignment="1">
      <x:alignment horizontal="left" vertical="bottom"/>
    </x:xf>
    <x:xf numFmtId="179" fontId="0" fillId="4" borderId="73" xfId="0" applyAlignment="1">
      <x:alignment vertical="bottom"/>
    </x:xf>
    <x:xf numFmtId="179" fontId="0" fillId="4" borderId="74" xfId="0" applyAlignment="1">
      <x:alignment vertical="bottom"/>
    </x:xf>
    <x:xf numFmtId="0" fontId="0" fillId="4" borderId="5" xfId="0" applyAlignment="1">
      <x:alignment vertical="bottom"/>
    </x:xf>
    <x:xf numFmtId="1" fontId="0" fillId="16" borderId="5" xfId="0" applyAlignment="1">
      <x:alignment vertical="bottom"/>
    </x:xf>
    <x:xf numFmtId="1" fontId="23" fillId="4" borderId="5" xfId="0" applyAlignment="1">
      <x:alignment horizontal="left" vertical="bottom"/>
    </x:xf>
    <x:xf numFmtId="0" fontId="7" fillId="4" borderId="40" xfId="0" applyAlignment="1">
      <x:alignment horizontal="left" vertical="bottom"/>
    </x:xf>
    <x:xf numFmtId="179" fontId="0" fillId="4" borderId="75" xfId="0" applyAlignment="1">
      <x:alignment vertical="bottom"/>
    </x:xf>
    <x:xf numFmtId="179" fontId="0" fillId="4" borderId="76" xfId="0" applyAlignment="1">
      <x:alignment vertical="bottom"/>
    </x:xf>
    <x:xf numFmtId="1" fontId="0" fillId="16" borderId="39" xfId="0" applyAlignment="1">
      <x:alignment vertical="bottom"/>
    </x:xf>
    <x:xf numFmtId="1" fontId="23" fillId="4" borderId="41" xfId="0" applyAlignment="1">
      <x:alignment horizontal="left" vertical="bottom"/>
    </x:xf>
    <x:xf numFmtId="1" fontId="0" fillId="4" borderId="11" xfId="0" applyAlignment="1">
      <x:alignment vertical="bottom" wrapText="1"/>
    </x:xf>
    <x:xf numFmtId="191" fontId="0" fillId="4" borderId="6" xfId="0" applyAlignment="1">
      <x:alignment vertical="bottom"/>
    </x:xf>
    <x:xf numFmtId="0" fontId="7" fillId="4" borderId="11" xfId="0" applyAlignment="1">
      <x:alignment horizontal="left" vertical="bottom"/>
    </x:xf>
    <x:xf numFmtId="0" fontId="0" fillId="4" borderId="71" xfId="0" applyAlignment="1">
      <x:alignment vertical="bottom"/>
    </x:xf>
    <x:xf numFmtId="0" fontId="0" fillId="4" borderId="72" xfId="0" applyAlignment="1">
      <x:alignment vertical="bottom"/>
    </x:xf>
    <x:xf numFmtId="49" fontId="23" fillId="4" borderId="46" xfId="0" applyAlignment="1">
      <x:alignment horizontal="left" vertical="bottom"/>
    </x:xf>
    <x:xf numFmtId="0" fontId="7" fillId="4" borderId="50" xfId="0" applyAlignment="1">
      <x:alignment horizontal="left" vertical="bottom"/>
    </x:xf>
    <x:xf numFmtId="0" fontId="0" fillId="4" borderId="73" xfId="0" applyAlignment="1">
      <x:alignment vertical="bottom"/>
    </x:xf>
    <x:xf numFmtId="0" fontId="0" fillId="4" borderId="74" xfId="0" applyAlignment="1">
      <x:alignment vertical="bottom"/>
    </x:xf>
    <x:xf numFmtId="49" fontId="23" fillId="4" borderId="51" xfId="0" applyAlignment="1">
      <x:alignment horizontal="left" vertical="bottom"/>
    </x:xf>
    <x:xf numFmtId="0" fontId="7" fillId="4" borderId="38" xfId="0" applyAlignment="1">
      <x:alignment horizontal="left" vertical="bottom"/>
    </x:xf>
    <x:xf numFmtId="0" fontId="0" fillId="4" borderId="75" xfId="0" applyAlignment="1">
      <x:alignment vertical="bottom"/>
    </x:xf>
    <x:xf numFmtId="0" fontId="0" fillId="4" borderId="76" xfId="0" applyAlignment="1">
      <x:alignment vertical="bottom"/>
    </x:xf>
    <x:xf numFmtId="49" fontId="23" fillId="4" borderId="39" xfId="0" applyAlignment="1">
      <x:alignment horizontal="left" vertical="bottom"/>
    </x:xf>
    <x:xf numFmtId="0" fontId="0" fillId="4" borderId="6" xfId="0" applyAlignment="1">
      <x:alignment vertical="bottom" wrapText="1"/>
    </x:xf>
    <x:xf numFmtId="0" fontId="23" fillId="4" borderId="20" xfId="0" applyAlignment="1">
      <x:alignment horizontal="left" vertical="bottom"/>
    </x:xf>
    <x:xf numFmtId="0" fontId="0" fillId="0" borderId="0" xfId="0" applyAlignment="1">
      <x:alignment vertical="bottom"/>
    </x:xf>
    <x:xf numFmtId="1" fontId="6" fillId="4" borderId="37" xfId="0" applyAlignment="1">
      <x:alignment horizontal="left" vertical="top"/>
    </x:xf>
    <x:xf numFmtId="1" fontId="1" fillId="4" borderId="39" xfId="0" applyAlignment="1">
      <x:alignment horizontal="left" vertical="center"/>
    </x:xf>
    <x:xf numFmtId="2" fontId="7" fillId="4" borderId="6" xfId="0" applyAlignment="1">
      <x:alignment horizontal="left" vertical="bottom"/>
    </x:xf>
    <x:xf numFmtId="3" fontId="7" fillId="4" borderId="6" xfId="0" applyAlignment="1">
      <x:alignment horizontal="left" vertical="bottom"/>
    </x:xf>
    <x:xf numFmtId="49" fontId="12" fillId="13" borderId="18" xfId="0" applyAlignment="1">
      <x:alignment vertical="bottom"/>
    </x:xf>
    <x:xf numFmtId="1" fontId="12" fillId="13" borderId="6" xfId="0" applyAlignment="1">
      <x:alignment vertical="bottom" wrapText="1"/>
    </x:xf>
    <x:xf numFmtId="186" fontId="7" fillId="4" borderId="18" xfId="0" applyAlignment="1">
      <x:alignment horizontal="left" vertical="bottom"/>
    </x:xf>
    <x:xf numFmtId="174" fontId="7" fillId="4" borderId="6" xfId="0" applyAlignment="1">
      <x:alignment horizontal="left" vertical="bottom"/>
    </x:xf>
    <x:xf numFmtId="186" fontId="0" fillId="4" borderId="6" xfId="0" applyAlignment="1">
      <x:alignment vertical="bottom"/>
    </x:xf>
    <x:xf numFmtId="0" fontId="7" fillId="4" borderId="6" xfId="0" applyAlignment="1">
      <x:alignment horizontal="left" vertical="bottom"/>
    </x:xf>
    <x:xf numFmtId="0" fontId="23" fillId="4" borderId="6" xfId="0" applyAlignment="1">
      <x:alignment horizontal="left" vertical="bottom"/>
    </x:xf>
    <x:xf numFmtId="0" fontId="0" fillId="0" borderId="0" xfId="0" applyAlignment="1">
      <x:alignment vertical="bottom"/>
    </x:xf>
    <x:xf numFmtId="1" fontId="7" fillId="4" borderId="37" xfId="0" applyAlignment="1">
      <x:alignment vertical="bottom"/>
    </x:xf>
    <x:xf numFmtId="1" fontId="54" fillId="4" borderId="37" xfId="0" applyAlignment="1">
      <x:alignment vertical="bottom"/>
    </x:xf>
    <x:xf numFmtId="1" fontId="1" fillId="4" borderId="37" xfId="0" applyAlignment="1">
      <x:alignment horizontal="right" vertical="bottom"/>
    </x:xf>
    <x:xf numFmtId="0" fontId="7" fillId="4" borderId="37" xfId="0" applyAlignment="1">
      <x:alignment horizontal="right" vertical="bottom"/>
    </x:xf>
    <x:xf numFmtId="0" fontId="21" fillId="4" borderId="38" xfId="0" applyAlignment="1">
      <x:alignment horizontal="left" vertical="center"/>
    </x:xf>
    <x:xf numFmtId="1" fontId="55" fillId="4" borderId="39" xfId="0" applyAlignment="1">
      <x:alignment vertical="bottom"/>
    </x:xf>
    <x:xf numFmtId="1" fontId="56" fillId="4" borderId="39" xfId="0" applyAlignment="1">
      <x:alignment horizontal="right" vertical="bottom"/>
    </x:xf>
    <x:xf numFmtId="49" fontId="12" fillId="13" borderId="242" xfId="0" applyAlignment="1">
      <x:alignment horizontal="left" vertical="bottom"/>
    </x:xf>
    <x:xf numFmtId="1" fontId="12" fillId="13" borderId="242" xfId="0" applyAlignment="1">
      <x:alignment horizontal="left" vertical="bottom"/>
    </x:xf>
    <x:xf numFmtId="1" fontId="12" fillId="13" borderId="40" xfId="0" applyAlignment="1">
      <x:alignment horizontal="left" vertical="bottom"/>
    </x:xf>
    <x:xf numFmtId="49" fontId="12" fillId="13" borderId="41" xfId="0" applyAlignment="1">
      <x:alignment horizontal="center" vertical="bottom"/>
    </x:xf>
    <x:xf numFmtId="1" fontId="12" fillId="13" borderId="242" xfId="0" applyAlignment="1">
      <x:alignment horizontal="center" vertical="bottom"/>
    </x:xf>
    <x:xf numFmtId="49" fontId="12" fillId="13" borderId="40" xfId="0" applyAlignment="1">
      <x:alignment horizontal="left" vertical="bottom"/>
    </x:xf>
    <x:xf numFmtId="1" fontId="12" fillId="13" borderId="39" xfId="0" applyAlignment="1">
      <x:alignment horizontal="center" vertical="bottom"/>
    </x:xf>
    <x:xf numFmtId="1" fontId="12" fillId="13" borderId="41" xfId="0" applyAlignment="1">
      <x:alignment horizontal="center" vertical="bottom"/>
    </x:xf>
    <x:xf numFmtId="1" fontId="12" fillId="13" borderId="11" xfId="0" applyAlignment="1">
      <x:alignment vertical="bottom"/>
    </x:xf>
    <x:xf numFmtId="1" fontId="12" fillId="13" borderId="6" xfId="0" applyAlignment="1">
      <x:alignment vertical="bottom"/>
    </x:xf>
    <x:xf numFmtId="49" fontId="12" fillId="13" borderId="6" xfId="0" applyAlignment="1">
      <x:alignment horizontal="center" vertical="bottom"/>
    </x:xf>
    <x:xf numFmtId="49" fontId="12" fillId="13" borderId="46" xfId="0" applyAlignment="1">
      <x:alignment horizontal="center" vertical="bottom"/>
    </x:xf>
    <x:xf numFmtId="1" fontId="12" fillId="13" borderId="11" xfId="0" applyAlignment="1">
      <x:alignment horizontal="left" vertical="bottom"/>
    </x:xf>
    <x:xf numFmtId="1" fontId="12" fillId="13" borderId="6" xfId="0" applyAlignment="1">
      <x:alignment horizontal="center" vertical="bottom"/>
    </x:xf>
    <x:xf numFmtId="9" fontId="57" fillId="4" borderId="6" xfId="0" applyAlignment="1">
      <x:alignment horizontal="center" vertical="bottom"/>
    </x:xf>
    <x:xf numFmtId="170" fontId="57" fillId="4" borderId="6" xfId="0" applyAlignment="1">
      <x:alignment horizontal="center" vertical="bottom"/>
    </x:xf>
    <x:xf numFmtId="170" fontId="0" fillId="4" borderId="46" xfId="0" applyAlignment="1">
      <x:alignment vertical="bottom"/>
    </x:xf>
    <x:xf numFmtId="1" fontId="7" fillId="4" borderId="46" xfId="0" applyAlignment="1">
      <x:alignment vertical="bottom"/>
    </x:xf>
    <x:xf numFmtId="170" fontId="0" fillId="4" borderId="6" xfId="0" applyAlignment="1">
      <x:alignment vertical="bottom"/>
    </x:xf>
    <x:xf numFmtId="1" fontId="0" fillId="7" borderId="6" xfId="0" applyAlignment="1">
      <x:alignment vertical="bottom"/>
    </x:xf>
    <x:xf numFmtId="179" fontId="0" fillId="4" borderId="46" xfId="0" applyAlignment="1">
      <x:alignment vertical="bottom"/>
    </x:xf>
    <x:xf numFmtId="1" fontId="57" fillId="4" borderId="6" xfId="0" applyAlignment="1">
      <x:alignment horizontal="center" vertical="bottom"/>
    </x:xf>
    <x:xf numFmtId="184" fontId="0" fillId="4" borderId="7" xfId="0" applyAlignment="1">
      <x:alignment vertical="bottom"/>
    </x:xf>
    <x:xf numFmtId="1" fontId="57" fillId="4" borderId="5" xfId="0" applyAlignment="1">
      <x:alignment horizontal="center" vertical="bottom"/>
    </x:xf>
    <x:xf numFmtId="9" fontId="57" fillId="4" borderId="5" xfId="0" applyAlignment="1">
      <x:alignment horizontal="center" vertical="bottom"/>
    </x:xf>
    <x:xf numFmtId="9" fontId="0" fillId="4" borderId="51" xfId="0" applyAlignment="1">
      <x:alignment vertical="bottom"/>
    </x:xf>
    <x:xf numFmtId="1" fontId="57" fillId="4" borderId="39" xfId="0" applyAlignment="1">
      <x:alignment horizontal="center" vertical="bottom"/>
    </x:xf>
    <x:xf numFmtId="9" fontId="57" fillId="4" borderId="39" xfId="0" applyAlignment="1">
      <x:alignment horizontal="center" vertical="bottom"/>
    </x:xf>
    <x:xf numFmtId="9" fontId="0" fillId="4" borderId="39" xfId="0" applyAlignment="1">
      <x:alignment vertical="bottom"/>
    </x:xf>
    <x:xf numFmtId="9" fontId="0" fillId="4" borderId="46" xfId="0" applyAlignment="1">
      <x:alignment vertical="bottom"/>
    </x:xf>
    <x:xf numFmtId="216" fontId="0" fillId="4" borderId="6" xfId="0" applyAlignment="1">
      <x:alignment vertical="bottom"/>
    </x:xf>
    <x:xf numFmtId="216" fontId="0" fillId="4" borderId="46" xfId="0" applyAlignment="1">
      <x:alignment vertical="bottom"/>
    </x:xf>
    <x:xf numFmtId="217" fontId="0" fillId="4" borderId="6" xfId="0" applyAlignment="1">
      <x:alignment vertical="bottom"/>
    </x:xf>
    <x:xf numFmtId="184" fontId="0" fillId="4" borderId="6" xfId="0" applyAlignment="1">
      <x:alignment vertical="bottom"/>
    </x:xf>
    <x:xf numFmtId="179" fontId="7" fillId="4" borderId="6" xfId="0" applyAlignment="1">
      <x:alignment horizontal="center" vertical="bottom"/>
    </x:xf>
    <x:xf numFmtId="49" fontId="7" fillId="7" borderId="18" xfId="0" applyAlignment="1">
      <x:alignment horizontal="left" vertical="bottom"/>
    </x:xf>
    <x:xf numFmtId="1" fontId="7" fillId="7" borderId="6" xfId="0" applyAlignment="1">
      <x:alignment horizontal="left" vertical="bottom"/>
    </x:xf>
    <x:xf numFmtId="179" fontId="7" fillId="7" borderId="6" xfId="0" applyAlignment="1">
      <x:alignment horizontal="center" vertical="bottom"/>
    </x:xf>
    <x:xf numFmtId="218" fontId="7" fillId="4" borderId="6" xfId="0" applyAlignment="1">
      <x:alignment horizontal="right" vertical="center"/>
    </x:xf>
    <x:xf numFmtId="1" fontId="7" fillId="4" borderId="6" xfId="0" applyAlignment="1">
      <x:alignment horizontal="center" vertical="bottom"/>
    </x:xf>
    <x:xf numFmtId="1" fontId="12" fillId="22" borderId="18" xfId="0" applyAlignment="1">
      <x:alignment vertical="bottom"/>
    </x:xf>
    <x:xf numFmtId="1" fontId="12" fillId="22" borderId="6" xfId="0" applyAlignment="1">
      <x:alignment vertical="bottom"/>
    </x:xf>
    <x:xf numFmtId="1" fontId="12" fillId="22" borderId="6" xfId="0" applyAlignment="1">
      <x:alignment horizontal="center" vertical="bottom"/>
    </x:xf>
    <x:xf numFmtId="49" fontId="0" fillId="7" borderId="18" xfId="0" applyAlignment="1">
      <x:alignment vertical="bottom"/>
    </x:xf>
    <x:xf numFmtId="0" fontId="12" fillId="13" borderId="6" xfId="0" applyAlignment="1">
      <x:alignment horizontal="center" vertical="bottom"/>
    </x:xf>
    <x:xf numFmtId="49" fontId="12" fillId="22" borderId="18" xfId="0" applyAlignment="1">
      <x:alignment vertical="bottom"/>
    </x:xf>
    <x:xf numFmtId="174" fontId="12" fillId="22" borderId="6" xfId="0" applyAlignment="1">
      <x:alignment vertical="bottom"/>
    </x:xf>
    <x:xf numFmtId="0" fontId="12" fillId="22" borderId="6" xfId="0" applyAlignment="1">
      <x:alignment horizontal="center" vertical="bottom"/>
    </x:xf>
    <x:xf numFmtId="179" fontId="12" fillId="22" borderId="6" xfId="0" applyAlignment="1">
      <x:alignment horizontal="center" vertical="bottom"/>
    </x:xf>
    <x:xf numFmtId="198" fontId="0" fillId="4" borderId="7" xfId="0" applyAlignment="1">
      <x:alignment vertical="bottom"/>
    </x:xf>
    <x:xf numFmtId="49" fontId="0" fillId="4" borderId="19" xfId="0" applyAlignment="1">
      <x:alignment vertical="bottom"/>
    </x:xf>
    <x:xf numFmtId="218" fontId="7" fillId="4" borderId="20" xfId="0" applyAlignment="1">
      <x:alignment horizontal="right" vertical="center"/>
    </x:xf>
    <x:xf numFmtId="1" fontId="7" fillId="4" borderId="20" xfId="0" applyAlignment="1">
      <x:alignment horizontal="center" vertical="bottom"/>
    </x:xf>
    <x:xf numFmtId="0" fontId="0" fillId="0" borderId="0" xfId="0" applyAlignment="1">
      <x:alignment vertical="bottom"/>
    </x:xf>
    <x:xf numFmtId="1" fontId="22" fillId="4" borderId="37" xfId="0" applyAlignment="1">
      <x:alignment horizontal="left" vertical="center"/>
    </x:xf>
    <x:xf numFmtId="170" fontId="7" fillId="4" borderId="37" xfId="0" applyAlignment="1">
      <x:alignment horizontal="left" vertical="center"/>
    </x:xf>
    <x:xf numFmtId="1" fontId="7" fillId="4" borderId="37" xfId="0" applyAlignment="1">
      <x:alignment vertical="center"/>
    </x:xf>
    <x:xf numFmtId="49" fontId="7" fillId="4" borderId="111" xfId="0" applyAlignment="1">
      <x:alignment horizontal="right" vertical="top"/>
    </x:xf>
    <x:xf numFmtId="170" fontId="7" fillId="4" borderId="39" xfId="0" applyAlignment="1">
      <x:alignment horizontal="left" vertical="center"/>
    </x:xf>
    <x:xf numFmtId="1" fontId="7" fillId="4" borderId="243" xfId="0" applyAlignment="1">
      <x:alignment horizontal="left" vertical="center"/>
    </x:xf>
    <x:xf numFmtId="1" fontId="22" fillId="4" borderId="6" xfId="0" applyAlignment="1">
      <x:alignment horizontal="left" vertical="center"/>
    </x:xf>
    <x:xf numFmtId="170" fontId="7" fillId="4" borderId="6" xfId="0" applyAlignment="1">
      <x:alignment horizontal="left" vertical="center"/>
    </x:xf>
    <x:xf numFmtId="1" fontId="7" fillId="4" borderId="7" xfId="0" applyAlignment="1">
      <x:alignment horizontal="left" vertical="center"/>
    </x:xf>
    <x:xf numFmtId="1" fontId="7" fillId="4" borderId="4" xfId="0" applyAlignment="1">
      <x:alignment horizontal="left" vertical="center"/>
    </x:xf>
    <x:xf numFmtId="1" fontId="22" fillId="4" borderId="5" xfId="0" applyAlignment="1">
      <x:alignment horizontal="left" vertical="center"/>
    </x:xf>
    <x:xf numFmtId="170" fontId="7" fillId="4" borderId="5" xfId="0" applyAlignment="1">
      <x:alignment horizontal="left" vertical="center"/>
    </x:xf>
    <x:xf numFmtId="1" fontId="7" fillId="4" borderId="244" xfId="0" applyAlignment="1">
      <x:alignment horizontal="left" vertical="center"/>
    </x:xf>
    <x:xf numFmtId="49" fontId="58" fillId="4" borderId="54" xfId="0" applyAlignment="1">
      <x:alignment vertical="bottom"/>
    </x:xf>
    <x:xf numFmtId="1" fontId="58" fillId="4" borderId="9" xfId="0" applyAlignment="1">
      <x:alignment vertical="bottom"/>
    </x:xf>
    <x:xf numFmtId="1" fontId="58" fillId="4" borderId="245" xfId="0" applyAlignment="1">
      <x:alignment vertical="bottom"/>
    </x:xf>
    <x:xf numFmtId="1" fontId="18" fillId="13" borderId="40" xfId="0" applyAlignment="1">
      <x:alignment vertical="bottom"/>
    </x:xf>
    <x:xf numFmtId="182" fontId="18" fillId="13" borderId="39" xfId="0" applyAlignment="1">
      <x:alignment horizontal="center" vertical="bottom"/>
    </x:xf>
    <x:xf numFmtId="182" fontId="18" fillId="13" borderId="41" xfId="0" applyAlignment="1">
      <x:alignment horizontal="center" vertical="bottom"/>
    </x:xf>
    <x:xf numFmtId="49" fontId="18" fillId="13" borderId="11" xfId="0" applyAlignment="1">
      <x:alignment vertical="bottom"/>
    </x:xf>
    <x:xf numFmtId="1" fontId="18" fillId="13" borderId="6" xfId="0" applyAlignment="1">
      <x:alignment horizontal="center" vertical="bottom"/>
    </x:xf>
    <x:xf numFmtId="1" fontId="18" fillId="13" borderId="46" xfId="0" applyAlignment="1">
      <x:alignment horizontal="center" vertical="bottom"/>
    </x:xf>
    <x:xf numFmtId="49" fontId="0" fillId="5" borderId="18" xfId="0" applyAlignment="1">
      <x:alignment vertical="bottom"/>
    </x:xf>
    <x:xf numFmtId="179" fontId="0" fillId="5" borderId="6" xfId="0" applyAlignment="1">
      <x:alignment vertical="bottom"/>
    </x:xf>
    <x:xf numFmtId="179" fontId="0" fillId="5" borderId="7" xfId="0" applyAlignment="1">
      <x:alignment vertical="bottom"/>
    </x:xf>
    <x:xf numFmtId="179" fontId="0" fillId="4" borderId="7" xfId="0" applyAlignment="1">
      <x:alignment vertical="bottom"/>
    </x:xf>
    <x:xf numFmtId="176" fontId="0" fillId="4" borderId="6" xfId="0" applyAlignment="1">
      <x:alignment vertical="bottom"/>
    </x:xf>
    <x:xf numFmtId="176" fontId="0" fillId="4" borderId="5" xfId="0" applyAlignment="1">
      <x:alignment vertical="bottom"/>
    </x:xf>
    <x:xf numFmtId="179" fontId="0" fillId="4" borderId="244" xfId="0" applyAlignment="1">
      <x:alignment vertical="bottom"/>
    </x:xf>
    <x:xf numFmtId="176" fontId="0" fillId="4" borderId="39" xfId="0" applyAlignment="1">
      <x:alignment vertical="bottom"/>
    </x:xf>
    <x:xf numFmtId="179" fontId="0" fillId="4" borderId="243" xfId="0" applyAlignment="1">
      <x:alignment vertical="bottom"/>
    </x:xf>
    <x:xf numFmtId="1" fontId="18" fillId="5" borderId="6" xfId="0" applyAlignment="1">
      <x:alignment horizontal="center" vertical="bottom"/>
    </x:xf>
    <x:xf numFmtId="1" fontId="18" fillId="5" borderId="7" xfId="0" applyAlignment="1">
      <x:alignment horizontal="center" vertical="bottom"/>
    </x:xf>
    <x:xf numFmtId="9" fontId="59" fillId="4" borderId="6" xfId="0" applyAlignment="1">
      <x:alignment vertical="bottom"/>
    </x:xf>
    <x:xf numFmtId="9" fontId="59" fillId="4" borderId="7" xfId="0" applyAlignment="1">
      <x:alignment vertical="bottom"/>
    </x:xf>
    <x:xf numFmtId="178" fontId="59" fillId="4" borderId="5" xfId="0" applyAlignment="1">
      <x:alignment vertical="bottom"/>
    </x:xf>
    <x:xf numFmtId="184" fontId="59" fillId="4" borderId="5" xfId="0" applyAlignment="1">
      <x:alignment vertical="bottom"/>
    </x:xf>
    <x:xf numFmtId="184" fontId="59" fillId="4" borderId="244" xfId="0" applyAlignment="1">
      <x:alignment vertical="bottom"/>
    </x:xf>
    <x:xf numFmtId="179" fontId="59" fillId="4" borderId="6" xfId="0" applyAlignment="1">
      <x:alignment vertical="bottom"/>
    </x:xf>
    <x:xf numFmtId="179" fontId="59" fillId="4" borderId="7" xfId="0" applyAlignment="1">
      <x:alignment vertical="bottom"/>
    </x:xf>
    <x:xf numFmtId="176" fontId="0" fillId="4" borderId="9" xfId="0" applyAlignment="1">
      <x:alignment vertical="bottom"/>
    </x:xf>
    <x:xf numFmtId="179" fontId="0" fillId="4" borderId="245" xfId="0" applyAlignment="1">
      <x:alignment vertical="bottom"/>
    </x:xf>
    <x:xf numFmtId="176" fontId="59" fillId="4" borderId="6" xfId="0" applyAlignment="1">
      <x:alignment vertical="bottom"/>
    </x:xf>
    <x:xf numFmtId="178" fontId="0" fillId="4" borderId="20" xfId="0" applyAlignment="1">
      <x:alignment vertical="bottom"/>
    </x:xf>
    <x:xf numFmtId="184" fontId="0" fillId="4" borderId="20" xfId="0" applyAlignment="1">
      <x:alignment vertical="bottom"/>
    </x:xf>
    <x:xf numFmtId="184" fontId="0" fillId="4" borderId="21" xfId="0" applyAlignment="1">
      <x:alignment vertical="bottom"/>
    </x:xf>
    <x:xf numFmtId="0" fontId="0" fillId="0" borderId="0" xfId="0" applyAlignment="1">
      <x:alignment vertical="bottom"/>
    </x:xf>
    <x:xf numFmtId="49" fontId="0" fillId="27" borderId="8" xfId="0" applyAlignment="1">
      <x:alignment vertical="bottom"/>
    </x:xf>
    <x:xf numFmtId="191" fontId="0" fillId="27" borderId="10" xfId="0" applyAlignment="1">
      <x:alignment vertical="bottom"/>
    </x:xf>
    <x:xf numFmtId="219" fontId="0" fillId="4" borderId="20" xfId="0" applyAlignment="1">
      <x:alignment vertical="bottom"/>
    </x:xf>
    <x:xf numFmtId="0" fontId="0" fillId="0" borderId="0" xfId="0" applyAlignment="1">
      <x:alignment vertical="bottom"/>
    </x:xf>
    <x:xf numFmtId="49" fontId="6" fillId="4" borderId="1" xfId="0" applyAlignment="1">
      <x:alignment horizontal="left" vertical="top"/>
    </x:xf>
    <x:xf numFmtId="49" fontId="7" fillId="4" borderId="2" xfId="0" applyAlignment="1">
      <x:alignment horizontal="right" vertical="top"/>
    </x:xf>
    <x:xf numFmtId="49" fontId="7" fillId="38" borderId="2" xfId="0" applyAlignment="1">
      <x:alignment horizontal="center" vertical="center"/>
    </x:xf>
    <x:xf numFmtId="220" fontId="7" fillId="4" borderId="2" xfId="0" applyAlignment="1">
      <x:alignment horizontal="center" vertical="center"/>
    </x:xf>
    <x:xf numFmtId="49" fontId="21" fillId="4" borderId="18" xfId="0" applyAlignment="1">
      <x:alignment horizontal="left" vertical="center"/>
    </x:xf>
    <x:xf numFmtId="49" fontId="7" fillId="10" borderId="9" xfId="0" applyAlignment="1">
      <x:alignment horizontal="center" vertical="bottom"/>
    </x:xf>
    <x:xf numFmtId="1" fontId="7" fillId="10" borderId="9" xfId="0" applyAlignment="1">
      <x:alignment horizontal="center" vertical="bottom"/>
    </x:xf>
    <x:xf numFmtId="1" fontId="7" fillId="10" borderId="10" xfId="0" applyAlignment="1">
      <x:alignment horizontal="center" vertical="bottom"/>
    </x:xf>
    <x:xf numFmtId="184" fontId="0" fillId="4" borderId="39" xfId="0" applyAlignment="1">
      <x:alignment vertical="bottom"/>
    </x:xf>
    <x:xf numFmtId="0" fontId="0" fillId="4" borderId="11" xfId="0" applyAlignment="1">
      <x:alignment vertical="bottom"/>
    </x:xf>
    <x:xf numFmtId="9" fontId="0" fillId="4" borderId="5" xfId="0" applyAlignment="1">
      <x:alignment vertical="bottom"/>
    </x:xf>
    <x:xf numFmtId="184" fontId="0" fillId="4" borderId="5" xfId="0" applyAlignment="1">
      <x:alignment vertical="bottom"/>
    </x:xf>
    <x:xf numFmtId="49" fontId="7" fillId="5" borderId="8" xfId="0" applyAlignment="1">
      <x:alignment horizontal="left" vertical="bottom"/>
    </x:xf>
    <x:xf numFmtId="1" fontId="0" fillId="5" borderId="9" xfId="0" applyAlignment="1">
      <x:alignment vertical="bottom"/>
    </x:xf>
    <x:xf numFmtId="179" fontId="0" fillId="5" borderId="9" xfId="0" applyAlignment="1">
      <x:alignment vertical="bottom"/>
    </x:xf>
    <x:xf numFmtId="9" fontId="0" fillId="5" borderId="9" xfId="0" applyAlignment="1">
      <x:alignment vertical="bottom"/>
    </x:xf>
    <x:xf numFmtId="184" fontId="0" fillId="5" borderId="9" xfId="0" applyAlignment="1">
      <x:alignment vertical="bottom"/>
    </x:xf>
    <x:xf numFmtId="1" fontId="0" fillId="5" borderId="10" xfId="0" applyAlignment="1">
      <x:alignment vertical="bottom"/>
    </x:xf>
    <x:xf numFmtId="1" fontId="0" fillId="5" borderId="7" xfId="0" applyAlignment="1">
      <x:alignment vertical="bottom"/>
    </x:xf>
    <x:xf numFmtId="174" fontId="0" fillId="4" borderId="6" xfId="0" applyAlignment="1">
      <x:alignment vertical="bottom"/>
    </x:xf>
    <x:xf numFmtId="0" fontId="7" fillId="4" borderId="7" xfId="0" applyAlignment="1">
      <x:alignment horizontal="left" vertical="bottom"/>
    </x:xf>
    <x:xf numFmtId="0" fontId="0" fillId="4" borderId="40" xfId="0" applyAlignment="1">
      <x:alignment vertical="bottom"/>
    </x:xf>
    <x:xf numFmtId="0" fontId="0" fillId="4" borderId="50" xfId="0" applyAlignment="1">
      <x:alignment vertical="bottom"/>
    </x:xf>
    <x:xf numFmtId="49" fontId="7" fillId="10" borderId="10" xfId="0" applyAlignment="1">
      <x:alignment horizontal="center" vertical="bottom"/>
    </x:xf>
    <x:xf numFmtId="1" fontId="7" fillId="4" borderId="13" xfId="0" applyAlignment="1">
      <x:alignment horizontal="center" vertical="bottom"/>
    </x:xf>
    <x:xf numFmtId="174" fontId="7" fillId="4" borderId="13" xfId="0" applyAlignment="1">
      <x:alignment horizontal="center" vertical="bottom"/>
    </x:xf>
    <x:xf numFmtId="49" fontId="60" fillId="4" borderId="5" xfId="0" applyAlignment="1">
      <x:alignment horizontal="left" vertical="bottom"/>
    </x:xf>
    <x:xf numFmtId="1" fontId="60" fillId="4" borderId="39" xfId="0" applyAlignment="1">
      <x:alignment horizontal="left" vertical="bottom"/>
    </x:xf>
    <x:xf numFmtId="1" fontId="60" fillId="4" borderId="6" xfId="0" applyAlignment="1">
      <x:alignment horizontal="left" vertical="bottom"/>
    </x:xf>
    <x:xf numFmtId="1" fontId="7" fillId="4" borderId="17" xfId="0" applyAlignment="1">
      <x:alignment horizontal="center" vertical="bottom"/>
    </x:xf>
    <x:xf numFmtId="174" fontId="7" fillId="4" borderId="17" xfId="0" applyAlignment="1">
      <x:alignment horizontal="center" vertical="bottom"/>
    </x:xf>
    <x:xf numFmtId="174" fontId="7" fillId="4" borderId="6" xfId="0" applyAlignment="1">
      <x:alignment horizontal="center" vertical="bottom"/>
    </x:xf>
    <x:xf numFmtId="14" fontId="7" fillId="4" borderId="6" xfId="0" applyAlignment="1">
      <x:alignment horizontal="center" vertical="bottom"/>
    </x:xf>
    <x:xf numFmtId="49" fontId="7" fillId="4" borderId="6" xfId="0" applyAlignment="1">
      <x:alignment vertical="bottom"/>
    </x:xf>
    <x:xf numFmtId="1" fontId="7" fillId="4" borderId="20" xfId="0" applyAlignment="1">
      <x:alignment horizontal="left" vertical="bottom"/>
    </x:xf>
    <x:xf numFmtId="174" fontId="7" fillId="4" borderId="20" xfId="0" applyAlignment="1">
      <x:alignment horizontal="left" vertical="bottom"/>
    </x:xf>
    <x:xf numFmtId="1" fontId="7" fillId="4" borderId="20" xfId="0" applyAlignment="1">
      <x:alignment vertical="bottom"/>
    </x:xf>
    <x:xf numFmtId="0" fontId="0" fillId="0" borderId="0" xfId="0" applyAlignment="1">
      <x:alignment vertical="bottom"/>
    </x:xf>
    <x:xf numFmtId="1" fontId="18" fillId="22" borderId="18" xfId="0" applyAlignment="1">
      <x:alignment horizontal="center" vertical="bottom"/>
    </x:xf>
    <x:xf numFmtId="1" fontId="18" fillId="22" borderId="6" xfId="0" applyAlignment="1">
      <x:alignment horizontal="center" vertical="bottom"/>
    </x:xf>
    <x:xf numFmtId="49" fontId="18" fillId="22" borderId="6" xfId="0" applyAlignment="1">
      <x:alignment horizontal="center" vertical="bottom"/>
    </x:xf>
    <x:xf numFmtId="49" fontId="0" fillId="4" borderId="25" xfId="0" applyAlignment="1">
      <x:alignment vertical="bottom"/>
    </x:xf>
    <x:xf numFmtId="189" fontId="0" fillId="4" borderId="25" xfId="0" applyAlignment="1">
      <x:alignment vertical="bottom"/>
    </x:xf>
    <x:xf numFmtId="3" fontId="0" fillId="4" borderId="25" xfId="0" applyAlignment="1">
      <x:alignment vertical="bottom"/>
    </x:xf>
    <x:xf numFmtId="1" fontId="55" fillId="4" borderId="22" xfId="0" applyAlignment="1">
      <x:alignment vertical="bottom"/>
    </x:xf>
    <x:xf numFmtId="189" fontId="0" fillId="4" borderId="22" xfId="0" applyAlignment="1">
      <x:alignment vertical="bottom"/>
    </x:xf>
    <x:xf numFmtId="2" fontId="0" fillId="4" borderId="22" xfId="0" applyAlignment="1">
      <x:alignment vertical="bottom"/>
    </x:xf>
    <x:xf numFmtId="3" fontId="0" fillId="4" borderId="22" xfId="0" applyAlignment="1">
      <x:alignment vertical="bottom"/>
    </x:xf>
    <x:xf numFmtId="191" fontId="0" fillId="4" borderId="22" xfId="0" applyAlignment="1">
      <x:alignment vertical="bottom"/>
    </x:xf>
    <x:xf numFmtId="3" fontId="0" fillId="4" borderId="23" xfId="0" applyAlignment="1">
      <x:alignment vertical="bottom"/>
    </x:xf>
    <x:xf numFmtId="189" fontId="0" fillId="4" borderId="23" xfId="0" applyAlignment="1">
      <x:alignment vertical="bottom"/>
    </x:xf>
    <x:xf numFmtId="2" fontId="0" fillId="4" borderId="23" xfId="0" applyAlignment="1">
      <x:alignment vertical="bottom"/>
    </x:xf>
    <x:xf numFmtId="1" fontId="0" fillId="5" borderId="18" xfId="0" applyAlignment="1">
      <x:alignment vertical="bottom"/>
    </x:xf>
    <x:xf numFmtId="3" fontId="0" fillId="5" borderId="6" xfId="0" applyAlignment="1">
      <x:alignment vertical="bottom"/>
    </x:xf>
    <x:xf numFmtId="189" fontId="0" fillId="5" borderId="6" xfId="0" applyAlignment="1">
      <x:alignment vertical="bottom"/>
    </x:xf>
    <x:xf numFmtId="2" fontId="0" fillId="5" borderId="6" xfId="0" applyAlignment="1">
      <x:alignment vertical="bottom"/>
    </x:xf>
    <x:xf numFmtId="179" fontId="0" fillId="5" borderId="6" xfId="0" applyAlignment="1">
      <x:alignment horizontal="center" vertical="bottom"/>
    </x:xf>
    <x:xf numFmtId="49" fontId="0" fillId="4" borderId="91" xfId="0" applyAlignment="1">
      <x:alignment vertical="bottom"/>
    </x:xf>
    <x:xf numFmtId="1" fontId="0" fillId="4" borderId="91" xfId="0" applyAlignment="1">
      <x:alignment vertical="bottom"/>
    </x:xf>
    <x:xf numFmtId="1" fontId="0" fillId="4" borderId="92" xfId="0" applyAlignment="1">
      <x:alignment vertical="bottom"/>
    </x:xf>
    <x:xf numFmtId="49" fontId="0" fillId="4" borderId="92" xfId="0" applyAlignment="1">
      <x:alignment horizontal="center" vertical="bottom"/>
    </x:xf>
    <x:xf numFmtId="217" fontId="0" fillId="4" borderId="22" xfId="0" applyAlignment="1">
      <x:alignment vertical="bottom"/>
    </x:xf>
    <x:xf numFmtId="221" fontId="0" fillId="4" borderId="22" xfId="0" applyAlignment="1">
      <x:alignment vertical="bottom"/>
    </x:xf>
    <x:xf numFmtId="179" fontId="0" fillId="4" borderId="91" xfId="0" applyAlignment="1">
      <x:alignment vertical="bottom"/>
    </x:xf>
    <x:xf numFmtId="217" fontId="0" fillId="4" borderId="91" xfId="0" applyAlignment="1">
      <x:alignment vertical="bottom"/>
    </x:xf>
    <x:xf numFmtId="179" fontId="0" fillId="4" borderId="92" xfId="0" applyAlignment="1">
      <x:alignment vertical="bottom"/>
    </x:xf>
    <x:xf numFmtId="217" fontId="0" fillId="4" borderId="92" xfId="0" applyAlignment="1">
      <x:alignment vertical="bottom"/>
    </x:xf>
    <x:xf numFmtId="0" fontId="0" fillId="0" borderId="0" xfId="0" applyAlignment="1">
      <x:alignment vertical="bottom"/>
    </x:xf>
    <x:xf numFmtId="0" fontId="63" fillId="12" borderId="6" xfId="0" applyAlignment="1">
      <x:alignment vertical="bottom"/>
    </x:xf>
    <x:xf numFmtId="1" fontId="63" fillId="12" borderId="6" xfId="0" applyAlignment="1">
      <x:alignment vertical="bottom"/>
    </x:xf>
    <x:xf numFmtId="1" fontId="63" fillId="4" borderId="26" xfId="0" applyAlignment="1">
      <x:alignment vertical="bottom"/>
    </x:xf>
    <x:xf numFmtId="1" fontId="63" fillId="4" borderId="22" xfId="0" applyAlignment="1">
      <x:alignment vertical="bottom"/>
    </x:xf>
    <x:xf numFmtId="49" fontId="63" fillId="12" borderId="246" xfId="0" applyAlignment="1">
      <x:alignment vertical="bottom"/>
    </x:xf>
    <x:xf numFmtId="1" fontId="63" fillId="12" borderId="246" xfId="0" applyAlignment="1">
      <x:alignment vertical="bottom"/>
    </x:xf>
    <x:xf numFmtId="1" fontId="64" fillId="4" borderId="247" xfId="0" applyAlignment="1">
      <x:alignment vertical="bottom"/>
    </x:xf>
    <x:xf numFmtId="1" fontId="63" fillId="4" borderId="247" xfId="0" applyAlignment="1">
      <x:alignment vertical="bottom"/>
    </x:xf>
    <x:xf numFmtId="1" fontId="63" fillId="4" borderId="248" xfId="0" applyAlignment="1">
      <x:alignment vertical="bottom"/>
    </x:xf>
    <x:xf numFmtId="1" fontId="64" fillId="4" borderId="22" xfId="0" applyAlignment="1">
      <x:alignment vertical="bottom"/>
    </x:xf>
    <x:xf numFmtId="1" fontId="64" fillId="4" borderId="27" xfId="0" applyAlignment="1">
      <x:alignment vertical="bottom"/>
    </x:xf>
    <x:xf numFmtId="222" fontId="65" fillId="12" borderId="6" xfId="0" applyAlignment="1">
      <x:alignment vertical="bottom"/>
    </x:xf>
    <x:xf numFmtId="49" fontId="27" fillId="4" borderId="22" xfId="0" applyAlignment="1">
      <x:alignment horizontal="right" vertical="bottom"/>
    </x:xf>
    <x:xf numFmtId="1" fontId="66" fillId="4" borderId="25" xfId="0" applyAlignment="1">
      <x:alignment horizontal="right" vertical="bottom"/>
    </x:xf>
    <x:xf numFmtId="1" fontId="27" fillId="4" borderId="25" xfId="0" applyAlignment="1">
      <x:alignment horizontal="right" vertical="bottom"/>
    </x:xf>
    <x:xf numFmtId="1" fontId="27" fillId="4" borderId="23" xfId="0" applyAlignment="1">
      <x:alignment horizontal="right" vertical="bottom"/>
    </x:xf>
    <x:xf numFmtId="49" fontId="0" fillId="0" borderId="5" xfId="0" applyAlignment="1">
      <x:alignment vertical="bottom"/>
    </x:xf>
    <x:xf numFmtId="1" fontId="0" fillId="0" borderId="5" xfId="0" applyAlignment="1">
      <x:alignment vertical="bottom"/>
    </x:xf>
    <x:xf numFmtId="49" fontId="27" fillId="4" borderId="92" xfId="0" applyAlignment="1">
      <x:alignment horizontal="left" vertical="bottom"/>
    </x:xf>
    <x:xf numFmtId="9" fontId="0" fillId="4" borderId="92" xfId="0" applyAlignment="1">
      <x:alignment vertical="bottom"/>
    </x:xf>
    <x:xf numFmtId="191" fontId="66" fillId="4" borderId="92" xfId="0" applyAlignment="1">
      <x:alignment vertical="bottom"/>
    </x:xf>
    <x:xf numFmtId="223" fontId="66" fillId="4" borderId="92" xfId="0" applyAlignment="1">
      <x:alignment vertical="bottom"/>
    </x:xf>
    <x:xf numFmtId="223" fontId="0" fillId="4" borderId="92" xfId="0" applyAlignment="1">
      <x:alignment vertical="bottom"/>
    </x:xf>
    <x:xf numFmtId="49" fontId="27" fillId="4" borderId="22" xfId="0" applyAlignment="1">
      <x:alignment horizontal="left" vertical="bottom"/>
    </x:xf>
    <x:xf numFmtId="9" fontId="0" fillId="4" borderId="22" xfId="0" applyAlignment="1">
      <x:alignment vertical="bottom"/>
    </x:xf>
    <x:xf numFmtId="191" fontId="67" fillId="4" borderId="22" xfId="0" applyAlignment="1">
      <x:alignment vertical="bottom"/>
    </x:xf>
    <x:xf numFmtId="223" fontId="66" fillId="4" borderId="22" xfId="0" applyAlignment="1">
      <x:alignment vertical="bottom"/>
    </x:xf>
    <x:xf numFmtId="223" fontId="0" fillId="4" borderId="22" xfId="0" applyAlignment="1">
      <x:alignment vertical="bottom"/>
    </x:xf>
    <x:xf numFmtId="223" fontId="66" fillId="4" borderId="91" xfId="0" applyAlignment="1">
      <x:alignment vertical="bottom"/>
    </x:xf>
    <x:xf numFmtId="223" fontId="0" fillId="4" borderId="91" xfId="0" applyAlignment="1">
      <x:alignment vertical="bottom"/>
    </x:xf>
    <x:xf numFmtId="49" fontId="68" fillId="4" borderId="22" xfId="0" applyAlignment="1">
      <x:alignment horizontal="left" vertical="bottom"/>
    </x:xf>
    <x:xf numFmtId="1" fontId="68" fillId="4" borderId="22" xfId="0" applyAlignment="1">
      <x:alignment vertical="bottom"/>
    </x:xf>
    <x:xf numFmtId="224" fontId="68" fillId="4" borderId="22" xfId="0" applyAlignment="1">
      <x:alignment horizontal="center" vertical="bottom"/>
    </x:xf>
    <x:xf numFmtId="10" fontId="68" fillId="4" borderId="23" xfId="0" applyAlignment="1">
      <x:alignment horizontal="center" vertical="bottom"/>
    </x:xf>
    <x:xf numFmtId="49" fontId="0" fillId="4" borderId="92" xfId="0" applyAlignment="1">
      <x:alignment vertical="bottom"/>
    </x:xf>
    <x:xf numFmtId="223" fontId="67" fillId="4" borderId="22" xfId="0" applyAlignment="1">
      <x:alignment vertical="bottom"/>
    </x:xf>
    <x:xf numFmtId="223" fontId="67" fillId="4" borderId="91" xfId="0" applyAlignment="1">
      <x:alignment vertical="bottom"/>
    </x:xf>
    <x:xf numFmtId="49" fontId="27" fillId="27" borderId="9" xfId="0" applyAlignment="1">
      <x:alignment horizontal="left" vertical="bottom"/>
    </x:xf>
    <x:xf numFmtId="49" fontId="68" fillId="27" borderId="9" xfId="0" applyAlignment="1">
      <x:alignment vertical="bottom"/>
    </x:xf>
    <x:xf numFmtId="1" fontId="68" fillId="27" borderId="9" xfId="0" applyAlignment="1">
      <x:alignment vertical="bottom"/>
    </x:xf>
    <x:xf numFmtId="1" fontId="0" fillId="27" borderId="9" xfId="0" applyAlignment="1">
      <x:alignment vertical="bottom"/>
    </x:xf>
    <x:xf numFmtId="223" fontId="0" fillId="27" borderId="9" xfId="0" applyAlignment="1">
      <x:alignment vertical="bottom"/>
    </x:xf>
    <x:xf numFmtId="170" fontId="0" fillId="4" borderId="92" xfId="0" applyAlignment="1">
      <x:alignment vertical="bottom"/>
    </x:xf>
    <x:xf numFmtId="49" fontId="69" fillId="4" borderId="22" xfId="0" applyAlignment="1">
      <x:alignment vertical="bottom"/>
    </x:xf>
    <x:xf numFmtId="179" fontId="66" fillId="4" borderId="22" xfId="0" applyAlignment="1">
      <x:alignment vertical="bottom"/>
    </x:xf>
    <x:xf numFmtId="1" fontId="69" fillId="4" borderId="91" xfId="0" applyAlignment="1">
      <x:alignment vertical="bottom"/>
    </x:xf>
    <x:xf numFmtId="170" fontId="0" fillId="4" borderId="91" xfId="0" applyAlignment="1">
      <x:alignment vertical="bottom"/>
    </x:xf>
    <x:xf numFmtId="179" fontId="66" fillId="4" borderId="91" xfId="0" applyAlignment="1">
      <x:alignment vertical="bottom"/>
    </x:xf>
    <x:xf numFmtId="49" fontId="0" fillId="26" borderId="9" xfId="0" applyAlignment="1">
      <x:alignment vertical="bottom"/>
    </x:xf>
    <x:xf numFmtId="179" fontId="0" fillId="26" borderId="9" xfId="0" applyAlignment="1">
      <x:alignment vertical="bottom"/>
    </x:xf>
    <x:xf numFmtId="223" fontId="0" fillId="26" borderId="9" xfId="0" applyAlignment="1">
      <x:alignment vertical="bottom"/>
    </x:xf>
    <x:xf numFmtId="49" fontId="0" fillId="16" borderId="39" xfId="0" applyAlignment="1">
      <x:alignment vertical="bottom"/>
    </x:xf>
    <x:xf numFmtId="170" fontId="0" fillId="16" borderId="39" xfId="0" applyAlignment="1">
      <x:alignment vertical="bottom"/>
    </x:xf>
    <x:xf numFmtId="179" fontId="66" fillId="16" borderId="39" xfId="0" applyAlignment="1">
      <x:alignment vertical="bottom"/>
    </x:xf>
    <x:xf numFmtId="179" fontId="0" fillId="16" borderId="39" xfId="0" applyAlignment="1">
      <x:alignment vertical="bottom"/>
    </x:xf>
    <x:xf numFmtId="223" fontId="0" fillId="16" borderId="39" xfId="0" applyAlignment="1">
      <x:alignment vertical="bottom"/>
    </x:xf>
    <x:xf numFmtId="49" fontId="68" fillId="16" borderId="6" xfId="0" applyAlignment="1">
      <x:alignment horizontal="left" vertical="bottom"/>
    </x:xf>
    <x:xf numFmtId="170" fontId="0" fillId="16" borderId="6" xfId="0" applyAlignment="1">
      <x:alignment vertical="bottom"/>
    </x:xf>
    <x:xf numFmtId="224" fontId="0" fillId="16" borderId="6" xfId="0" applyAlignment="1">
      <x:alignment vertical="bottom"/>
    </x:xf>
    <x:xf numFmtId="184" fontId="0" fillId="16" borderId="6" xfId="0" applyAlignment="1">
      <x:alignment vertical="bottom"/>
    </x:xf>
    <x:xf numFmtId="223" fontId="0" fillId="16" borderId="6" xfId="0" applyAlignment="1">
      <x:alignment vertical="bottom"/>
    </x:xf>
    <x:xf numFmtId="170" fontId="0" fillId="16" borderId="5" xfId="0" applyAlignment="1">
      <x:alignment vertical="bottom"/>
    </x:xf>
    <x:xf numFmtId="224" fontId="0" fillId="16" borderId="5" xfId="0" applyAlignment="1">
      <x:alignment vertical="bottom"/>
    </x:xf>
    <x:xf numFmtId="184" fontId="0" fillId="16" borderId="5" xfId="0" applyAlignment="1">
      <x:alignment vertical="bottom"/>
    </x:xf>
    <x:xf numFmtId="223" fontId="0" fillId="16" borderId="5" xfId="0" applyAlignment="1">
      <x:alignment vertical="bottom"/>
    </x:xf>
    <x:xf numFmtId="49" fontId="0" fillId="16" borderId="9" xfId="0" applyAlignment="1">
      <x:alignment vertical="bottom"/>
    </x:xf>
    <x:xf numFmtId="170" fontId="0" fillId="16" borderId="9" xfId="0" applyAlignment="1">
      <x:alignment vertical="bottom"/>
    </x:xf>
    <x:xf numFmtId="179" fontId="66" fillId="16" borderId="9" xfId="0" applyAlignment="1">
      <x:alignment vertical="bottom"/>
    </x:xf>
    <x:xf numFmtId="179" fontId="0" fillId="16" borderId="9" xfId="0" applyAlignment="1">
      <x:alignment vertical="bottom"/>
    </x:xf>
    <x:xf numFmtId="223" fontId="0" fillId="16" borderId="9" xfId="0" applyAlignment="1">
      <x:alignment vertical="bottom"/>
    </x:xf>
    <x:xf numFmtId="49" fontId="27" fillId="16" borderId="39" xfId="0" applyAlignment="1">
      <x:alignment horizontal="left" vertical="bottom"/>
    </x:xf>
    <x:xf numFmtId="10" fontId="67" fillId="16" borderId="39" xfId="0" applyAlignment="1">
      <x:alignment horizontal="center" vertical="bottom"/>
    </x:xf>
    <x:xf numFmtId="10" fontId="0" fillId="16" borderId="39" xfId="0" applyAlignment="1">
      <x:alignment vertical="bottom"/>
    </x:xf>
    <x:xf numFmtId="49" fontId="0" fillId="16" borderId="6" xfId="0" applyAlignment="1">
      <x:alignment vertical="bottom"/>
    </x:xf>
    <x:xf numFmtId="49" fontId="68" fillId="16" borderId="6" xfId="0" applyAlignment="1">
      <x:alignment vertical="bottom"/>
    </x:xf>
    <x:xf numFmtId="49" fontId="27" fillId="16" borderId="6" xfId="0" applyAlignment="1">
      <x:alignment horizontal="left" vertical="bottom"/>
    </x:xf>
    <x:xf numFmtId="223" fontId="66" fillId="16" borderId="6" xfId="0" applyAlignment="1">
      <x:alignment vertical="bottom"/>
    </x:xf>
    <x:xf numFmtId="223" fontId="66" fillId="16" borderId="5" xfId="0" applyAlignment="1">
      <x:alignment vertical="bottom"/>
    </x:xf>
    <x:xf numFmtId="10" fontId="67" fillId="16" borderId="6" xfId="0" applyAlignment="1">
      <x:alignment horizontal="center" vertical="bottom"/>
    </x:xf>
    <x:xf numFmtId="10" fontId="0" fillId="16" borderId="6" xfId="0" applyAlignment="1">
      <x:alignment vertical="bottom"/>
    </x:xf>
    <x:xf numFmtId="1" fontId="27" fillId="16" borderId="6" xfId="0" applyAlignment="1">
      <x:alignment horizontal="left" vertical="bottom"/>
    </x:xf>
    <x:xf numFmtId="179" fontId="0" fillId="16" borderId="6" xfId="0" applyAlignment="1">
      <x:alignment vertical="bottom"/>
    </x:xf>
    <x:xf numFmtId="1" fontId="0" fillId="40" borderId="6" xfId="0" applyAlignment="1">
      <x:alignment vertical="bottom"/>
    </x:xf>
    <x:xf numFmtId="224" fontId="0" fillId="40" borderId="6" xfId="0" applyAlignment="1">
      <x:alignment vertical="bottom"/>
    </x:xf>
    <x:xf numFmtId="223" fontId="0" fillId="40" borderId="6" xfId="0" applyAlignment="1">
      <x:alignment vertical="bottom"/>
    </x:xf>
    <x:xf numFmtId="49" fontId="68" fillId="40" borderId="6" xfId="0" applyAlignment="1">
      <x:alignment vertical="bottom"/>
    </x:xf>
    <x:xf numFmtId="223" fontId="0" fillId="40" borderId="5" xfId="0" applyAlignment="1">
      <x:alignment vertical="bottom"/>
    </x:xf>
    <x:xf numFmtId="223" fontId="67" fillId="40" borderId="5" xfId="0" applyAlignment="1">
      <x:alignment vertical="bottom"/>
    </x:xf>
    <x:xf numFmtId="49" fontId="27" fillId="40" borderId="6" xfId="0" applyAlignment="1">
      <x:alignment horizontal="left" vertical="bottom"/>
    </x:xf>
    <x:xf numFmtId="223" fontId="0" fillId="40" borderId="39" xfId="0" applyAlignment="1">
      <x:alignment vertical="bottom"/>
    </x:xf>
    <x:xf numFmtId="179" fontId="0" fillId="40" borderId="6" xfId="0" applyAlignment="1">
      <x:alignment vertical="bottom"/>
    </x:xf>
    <x:xf numFmtId="49" fontId="68" fillId="40" borderId="6" xfId="0" applyAlignment="1">
      <x:alignment horizontal="left" vertical="bottom"/>
    </x:xf>
    <x:xf numFmtId="1" fontId="68" fillId="40" borderId="6" xfId="0" applyAlignment="1">
      <x:alignment vertical="bottom"/>
    </x:xf>
    <x:xf numFmtId="1" fontId="68" fillId="4" borderId="25" xfId="0" applyAlignment="1">
      <x:alignment horizontal="left" vertical="bottom"/>
    </x:xf>
    <x:xf numFmtId="1" fontId="68" fillId="4" borderId="25" xfId="0" applyAlignment="1">
      <x:alignment vertical="bottom"/>
    </x:xf>
    <x:xf numFmtId="224" fontId="68" fillId="4" borderId="25" xfId="0" applyAlignment="1">
      <x:alignment horizontal="center" vertical="bottom"/>
    </x:xf>
    <x:xf numFmtId="179" fontId="0" fillId="4" borderId="25" xfId="0" applyAlignment="1">
      <x:alignment vertical="bottom"/>
    </x:xf>
    <x:xf numFmtId="1" fontId="68" fillId="4" borderId="91" xfId="0" applyAlignment="1">
      <x:alignment horizontal="left" vertical="bottom"/>
    </x:xf>
    <x:xf numFmtId="224" fontId="0" fillId="4" borderId="91" xfId="0" applyAlignment="1">
      <x:alignment vertical="bottom"/>
    </x:xf>
    <x:xf numFmtId="49" fontId="0" fillId="41" borderId="9" xfId="0" applyAlignment="1">
      <x:alignment vertical="bottom"/>
    </x:xf>
    <x:xf numFmtId="179" fontId="0" fillId="41" borderId="9" xfId="0" applyAlignment="1">
      <x:alignment vertical="bottom"/>
    </x:xf>
    <x:xf numFmtId="223" fontId="0" fillId="41" borderId="9" xfId="0" applyAlignment="1">
      <x:alignment vertical="bottom"/>
    </x:xf>
    <x:xf numFmtId="49" fontId="0" fillId="42" borderId="39" xfId="0" applyAlignment="1">
      <x:alignment vertical="bottom"/>
    </x:xf>
    <x:xf numFmtId="170" fontId="0" fillId="42" borderId="39" xfId="0" applyAlignment="1">
      <x:alignment vertical="bottom"/>
    </x:xf>
    <x:xf numFmtId="179" fontId="66" fillId="42" borderId="39" xfId="0" applyAlignment="1">
      <x:alignment vertical="bottom"/>
    </x:xf>
    <x:xf numFmtId="179" fontId="0" fillId="42" borderId="39" xfId="0" applyAlignment="1">
      <x:alignment vertical="bottom"/>
    </x:xf>
    <x:xf numFmtId="1" fontId="0" fillId="42" borderId="39" xfId="0" applyAlignment="1">
      <x:alignment vertical="bottom"/>
    </x:xf>
    <x:xf numFmtId="223" fontId="0" fillId="42" borderId="39" xfId="0" applyAlignment="1">
      <x:alignment vertical="bottom"/>
    </x:xf>
    <x:xf numFmtId="49" fontId="68" fillId="42" borderId="6" xfId="0" applyAlignment="1">
      <x:alignment horizontal="left" vertical="bottom"/>
    </x:xf>
    <x:xf numFmtId="170" fontId="0" fillId="42" borderId="6" xfId="0" applyAlignment="1">
      <x:alignment vertical="bottom"/>
    </x:xf>
    <x:xf numFmtId="0" fontId="27" fillId="42" borderId="6" xfId="0" applyAlignment="1">
      <x:alignment horizontal="right" vertical="bottom"/>
    </x:xf>
    <x:xf numFmtId="184" fontId="0" fillId="42" borderId="6" xfId="0" applyAlignment="1">
      <x:alignment vertical="bottom"/>
    </x:xf>
    <x:xf numFmtId="1" fontId="0" fillId="42" borderId="6" xfId="0" applyAlignment="1">
      <x:alignment vertical="bottom"/>
    </x:xf>
    <x:xf numFmtId="223" fontId="0" fillId="42" borderId="6" xfId="0" applyAlignment="1">
      <x:alignment vertical="bottom"/>
    </x:xf>
    <x:xf numFmtId="1" fontId="0" fillId="42" borderId="5" xfId="0" applyAlignment="1">
      <x:alignment vertical="bottom"/>
    </x:xf>
    <x:xf numFmtId="170" fontId="0" fillId="42" borderId="5" xfId="0" applyAlignment="1">
      <x:alignment vertical="bottom"/>
    </x:xf>
    <x:xf numFmtId="224" fontId="0" fillId="42" borderId="5" xfId="0" applyAlignment="1">
      <x:alignment vertical="bottom"/>
    </x:xf>
    <x:xf numFmtId="184" fontId="0" fillId="42" borderId="5" xfId="0" applyAlignment="1">
      <x:alignment vertical="bottom"/>
    </x:xf>
    <x:xf numFmtId="223" fontId="0" fillId="42" borderId="5" xfId="0" applyAlignment="1">
      <x:alignment vertical="bottom"/>
    </x:xf>
    <x:xf numFmtId="49" fontId="0" fillId="42" borderId="9" xfId="0" applyAlignment="1">
      <x:alignment vertical="bottom"/>
    </x:xf>
    <x:xf numFmtId="170" fontId="0" fillId="42" borderId="9" xfId="0" applyAlignment="1">
      <x:alignment vertical="bottom"/>
    </x:xf>
    <x:xf numFmtId="179" fontId="66" fillId="42" borderId="9" xfId="0" applyAlignment="1">
      <x:alignment vertical="bottom"/>
    </x:xf>
    <x:xf numFmtId="179" fontId="0" fillId="42" borderId="9" xfId="0" applyAlignment="1">
      <x:alignment vertical="bottom"/>
    </x:xf>
    <x:xf numFmtId="223" fontId="0" fillId="42" borderId="9" xfId="0" applyAlignment="1">
      <x:alignment vertical="bottom"/>
    </x:xf>
    <x:xf numFmtId="49" fontId="27" fillId="42" borderId="39" xfId="0" applyAlignment="1">
      <x:alignment horizontal="left" vertical="bottom"/>
    </x:xf>
    <x:xf numFmtId="10" fontId="67" fillId="42" borderId="39" xfId="0" applyAlignment="1">
      <x:alignment horizontal="center" vertical="bottom"/>
    </x:xf>
    <x:xf numFmtId="10" fontId="0" fillId="42" borderId="39" xfId="0" applyAlignment="1">
      <x:alignment vertical="bottom"/>
    </x:xf>
    <x:xf numFmtId="49" fontId="0" fillId="42" borderId="6" xfId="0" applyAlignment="1">
      <x:alignment vertical="bottom"/>
    </x:xf>
    <x:xf numFmtId="49" fontId="68" fillId="42" borderId="6" xfId="0" applyAlignment="1">
      <x:alignment vertical="bottom"/>
    </x:xf>
    <x:xf numFmtId="49" fontId="27" fillId="42" borderId="6" xfId="0" applyAlignment="1">
      <x:alignment horizontal="left" vertical="bottom"/>
    </x:xf>
    <x:xf numFmtId="223" fontId="66" fillId="42" borderId="6" xfId="0" applyAlignment="1">
      <x:alignment vertical="bottom"/>
    </x:xf>
    <x:xf numFmtId="10" fontId="67" fillId="42" borderId="6" xfId="0" applyAlignment="1">
      <x:alignment horizontal="center" vertical="bottom"/>
    </x:xf>
    <x:xf numFmtId="10" fontId="0" fillId="42" borderId="6" xfId="0" applyAlignment="1">
      <x:alignment vertical="bottom"/>
    </x:xf>
    <x:xf numFmtId="1" fontId="27" fillId="42" borderId="6" xfId="0" applyAlignment="1">
      <x:alignment horizontal="left" vertical="bottom"/>
    </x:xf>
    <x:xf numFmtId="179" fontId="0" fillId="42" borderId="6" xfId="0" applyAlignment="1">
      <x:alignment vertical="bottom"/>
    </x:xf>
    <x:xf numFmtId="1" fontId="0" fillId="21" borderId="6" xfId="0" applyAlignment="1">
      <x:alignment vertical="bottom"/>
    </x:xf>
    <x:xf numFmtId="224" fontId="0" fillId="21" borderId="6" xfId="0" applyAlignment="1">
      <x:alignment vertical="bottom"/>
    </x:xf>
    <x:xf numFmtId="223" fontId="0" fillId="21" borderId="6" xfId="0" applyAlignment="1">
      <x:alignment vertical="bottom"/>
    </x:xf>
    <x:xf numFmtId="49" fontId="68" fillId="21" borderId="6" xfId="0" applyAlignment="1">
      <x:alignment vertical="bottom"/>
    </x:xf>
    <x:xf numFmtId="223" fontId="0" fillId="21" borderId="5" xfId="0" applyAlignment="1">
      <x:alignment vertical="bottom"/>
    </x:xf>
    <x:xf numFmtId="223" fontId="67" fillId="21" borderId="5" xfId="0" applyAlignment="1">
      <x:alignment vertical="bottom"/>
    </x:xf>
    <x:xf numFmtId="49" fontId="27" fillId="21" borderId="6" xfId="0" applyAlignment="1">
      <x:alignment horizontal="left" vertical="bottom"/>
    </x:xf>
    <x:xf numFmtId="223" fontId="0" fillId="21" borderId="39" xfId="0" applyAlignment="1">
      <x:alignment vertical="bottom"/>
    </x:xf>
    <x:xf numFmtId="179" fontId="0" fillId="21" borderId="6" xfId="0" applyAlignment="1">
      <x:alignment vertical="bottom"/>
    </x:xf>
    <x:xf numFmtId="49" fontId="68" fillId="21" borderId="20" xfId="0" applyAlignment="1">
      <x:alignment horizontal="left" vertical="bottom"/>
    </x:xf>
    <x:xf numFmtId="1" fontId="68" fillId="21" borderId="20" xfId="0" applyAlignment="1">
      <x:alignment vertical="bottom"/>
    </x:xf>
    <x:xf numFmtId="0" fontId="27" fillId="21" borderId="20" xfId="0" applyAlignment="1">
      <x:alignment horizontal="right" vertical="bottom"/>
    </x:xf>
    <x:xf numFmtId="1" fontId="0" fillId="21" borderId="20" xfId="0" applyAlignment="1">
      <x:alignment vertical="bottom"/>
    </x:xf>
    <x:xf numFmtId="0" fontId="0" fillId="0" borderId="0" xfId="0" applyAlignment="1">
      <x:alignment vertical="bottom"/>
    </x:xf>
    <x:xf numFmtId="1" fontId="0" fillId="4" borderId="247" xfId="0" applyAlignment="1">
      <x:alignment vertical="bottom"/>
    </x:xf>
    <x:xf numFmtId="186" fontId="53" fillId="4" borderId="248" xfId="0" applyAlignment="1">
      <x:alignment horizontal="center" vertical="bottom"/>
    </x:xf>
    <x:xf numFmtId="186" fontId="53" fillId="4" borderId="247" xfId="0" applyAlignment="1">
      <x:alignment horizontal="center" vertical="bottom"/>
    </x:xf>
    <x:xf numFmtId="49" fontId="70" fillId="4" borderId="247" xfId="0" applyAlignment="1">
      <x:alignment horizontal="center" vertical="bottom"/>
    </x:xf>
    <x:xf numFmtId="186" fontId="70" fillId="4" borderId="247" xfId="0" applyAlignment="1">
      <x:alignment horizontal="center" vertical="bottom"/>
    </x:xf>
    <x:xf numFmtId="186" fontId="0" fillId="4" borderId="247" xfId="0" applyAlignment="1">
      <x:alignment vertical="bottom"/>
    </x:xf>
    <x:xf numFmtId="225" fontId="0" fillId="4" borderId="247" xfId="0" applyAlignment="1">
      <x:alignment vertical="bottom"/>
    </x:xf>
    <x:xf numFmtId="186" fontId="53" fillId="4" borderId="247" xfId="0" applyAlignment="1">
      <x:alignment horizontal="right" vertical="bottom"/>
    </x:xf>
    <x:xf numFmtId="49" fontId="52" fillId="15" borderId="6" xfId="0" applyAlignment="1">
      <x:alignment horizontal="right" vertical="bottom"/>
    </x:xf>
    <x:xf numFmtId="186" fontId="0" fillId="4" borderId="26" xfId="0" applyAlignment="1">
      <x:alignment vertical="bottom"/>
    </x:xf>
    <x:xf numFmtId="186" fontId="53" fillId="4" borderId="22" xfId="0" applyAlignment="1">
      <x:alignment horizontal="center" vertical="bottom"/>
    </x:xf>
    <x:xf numFmtId="186" fontId="53" fillId="4" borderId="91" xfId="0" applyAlignment="1">
      <x:alignment horizontal="center" vertical="bottom"/>
    </x:xf>
    <x:xf numFmtId="49" fontId="53" fillId="4" borderId="91" xfId="0" applyAlignment="1">
      <x:alignment horizontal="center" vertical="bottom"/>
    </x:xf>
    <x:xf numFmtId="186" fontId="70" fillId="4" borderId="22" xfId="0" applyAlignment="1">
      <x:alignment horizontal="center" vertical="bottom"/>
    </x:xf>
    <x:xf numFmtId="1" fontId="70" fillId="4" borderId="22" xfId="0" applyAlignment="1">
      <x:alignment horizontal="center" vertical="bottom"/>
    </x:xf>
    <x:xf numFmtId="186" fontId="53" fillId="4" borderId="22" xfId="0" applyAlignment="1">
      <x:alignment horizontal="right" vertical="bottom"/>
    </x:xf>
    <x:xf numFmtId="182" fontId="71" fillId="4" borderId="25" xfId="0" applyAlignment="1">
      <x:alignment vertical="bottom"/>
    </x:xf>
    <x:xf numFmtId="1" fontId="71" fillId="4" borderId="22" xfId="0" applyAlignment="1">
      <x:alignment vertical="bottom"/>
    </x:xf>
    <x:xf numFmtId="49" fontId="53" fillId="4" borderId="100" xfId="0" applyAlignment="1">
      <x:alignment horizontal="right" vertical="bottom"/>
    </x:xf>
    <x:xf numFmtId="10" fontId="0" fillId="4" borderId="87" xfId="0" applyAlignment="1">
      <x:alignment vertical="bottom"/>
    </x:xf>
    <x:xf numFmtId="223" fontId="71" fillId="4" borderId="87" xfId="0" applyAlignment="1">
      <x:alignment vertical="bottom"/>
    </x:xf>
    <x:xf numFmtId="49" fontId="52" fillId="4" borderId="101" xfId="0" applyAlignment="1">
      <x:alignment vertical="bottom"/>
    </x:xf>
    <x:xf numFmtId="49" fontId="53" fillId="4" borderId="22" xfId="0" applyAlignment="1">
      <x:alignment horizontal="left" vertical="bottom"/>
    </x:xf>
    <x:xf numFmtId="14" fontId="53" fillId="4" borderId="22" xfId="0" applyAlignment="1">
      <x:alignment horizontal="center" vertical="bottom"/>
    </x:xf>
    <x:xf numFmtId="1" fontId="53" fillId="4" borderId="22" xfId="0" applyAlignment="1">
      <x:alignment horizontal="center" vertical="bottom"/>
    </x:xf>
    <x:xf numFmtId="49" fontId="0" fillId="4" borderId="101" xfId="0" applyAlignment="1">
      <x:alignment vertical="bottom"/>
    </x:xf>
    <x:xf numFmtId="1" fontId="0" fillId="4" borderId="101" xfId="0" applyAlignment="1">
      <x:alignment vertical="bottom"/>
    </x:xf>
    <x:xf numFmtId="223" fontId="0" fillId="4" borderId="87" xfId="0" applyAlignment="1">
      <x:alignment vertical="bottom"/>
    </x:xf>
    <x:xf numFmtId="10" fontId="53" fillId="4" borderId="22" xfId="0" applyAlignment="1">
      <x:alignment horizontal="center" vertical="bottom"/>
    </x:xf>
    <x:xf numFmtId="186" fontId="53" fillId="4" borderId="92" xfId="0" applyAlignment="1">
      <x:alignment horizontal="right" vertical="bottom"/>
    </x:xf>
    <x:xf numFmtId="10" fontId="0" fillId="4" borderId="22" xfId="0" applyAlignment="1">
      <x:alignment vertical="bottom"/>
    </x:xf>
    <x:xf numFmtId="186" fontId="0" fillId="4" borderId="22" xfId="0" applyAlignment="1">
      <x:alignment vertical="bottom"/>
    </x:xf>
    <x:xf numFmtId="186" fontId="52" fillId="4" borderId="22" xfId="0" applyAlignment="1">
      <x:alignment horizontal="right" vertical="bottom"/>
    </x:xf>
    <x:xf numFmtId="49" fontId="53" fillId="4" borderId="91" xfId="0" applyAlignment="1">
      <x:alignment horizontal="left" vertical="bottom"/>
    </x:xf>
    <x:xf numFmtId="1" fontId="0" fillId="4" borderId="128" xfId="0" applyAlignment="1">
      <x:alignment vertical="bottom"/>
    </x:xf>
    <x:xf numFmtId="1" fontId="0" fillId="4" borderId="249" xfId="0" applyAlignment="1">
      <x:alignment vertical="bottom"/>
    </x:xf>
    <x:xf numFmtId="49" fontId="53" fillId="4" borderId="27" xfId="0" applyAlignment="1">
      <x:alignment horizontal="left" vertical="bottom"/>
    </x:xf>
    <x:xf numFmtId="189" fontId="52" fillId="15" borderId="250" xfId="0" applyAlignment="1">
      <x:alignment vertical="bottom"/>
    </x:xf>
    <x:xf numFmtId="179" fontId="52" fillId="16" borderId="251" xfId="0" applyAlignment="1">
      <x:alignment vertical="bottom"/>
    </x:xf>
    <x:xf numFmtId="189" fontId="0" fillId="4" borderId="252" xfId="0" applyAlignment="1">
      <x:alignment vertical="bottom"/>
    </x:xf>
    <x:xf numFmtId="179" fontId="72" fillId="4" borderId="25" xfId="0" applyAlignment="1">
      <x:alignment vertical="bottom"/>
    </x:xf>
    <x:xf numFmtId="179" fontId="0" fillId="4" borderId="253" xfId="0" applyAlignment="1">
      <x:alignment vertical="bottom"/>
    </x:xf>
    <x:xf numFmtId="179" fontId="0" fillId="4" borderId="254" xfId="0" applyAlignment="1">
      <x:alignment vertical="bottom"/>
    </x:xf>
    <x:xf numFmtId="179" fontId="71" fillId="4" borderId="22" xfId="0" applyAlignment="1">
      <x:alignment vertical="bottom"/>
    </x:xf>
    <x:xf numFmtId="179" fontId="0" fillId="4" borderId="255" xfId="0" applyAlignment="1">
      <x:alignment vertical="bottom"/>
    </x:xf>
    <x:xf numFmtId="179" fontId="0" fillId="4" borderId="252" xfId="0" applyAlignment="1">
      <x:alignment vertical="bottom"/>
    </x:xf>
    <x:xf numFmtId="0" fontId="53" fillId="4" borderId="22" xfId="0" applyAlignment="1">
      <x:alignment horizontal="left" vertical="bottom"/>
    </x:xf>
    <x:xf numFmtId="179" fontId="0" fillId="4" borderId="256" xfId="0" applyAlignment="1">
      <x:alignment vertical="bottom"/>
    </x:xf>
    <x:xf numFmtId="179" fontId="71" fillId="4" borderId="91" xfId="0" applyAlignment="1">
      <x:alignment vertical="bottom"/>
    </x:xf>
    <x:xf numFmtId="179" fontId="0" fillId="4" borderId="257" xfId="0" applyAlignment="1">
      <x:alignment vertical="bottom"/>
    </x:xf>
    <x:xf numFmtId="179" fontId="52" fillId="16" borderId="258" xfId="0" applyAlignment="1">
      <x:alignment vertical="bottom"/>
    </x:xf>
    <x:xf numFmtId="179" fontId="0" fillId="4" borderId="259" xfId="0" applyAlignment="1">
      <x:alignment vertical="bottom"/>
    </x:xf>
    <x:xf numFmtId="189" fontId="0" fillId="4" borderId="95" xfId="0" applyAlignment="1">
      <x:alignment vertical="bottom"/>
    </x:xf>
    <x:xf numFmtId="189" fontId="71" fillId="4" borderId="92" xfId="0" applyAlignment="1">
      <x:alignment vertical="bottom"/>
    </x:xf>
    <x:xf numFmtId="189" fontId="0" fillId="4" borderId="92" xfId="0" applyAlignment="1">
      <x:alignment vertical="bottom"/>
    </x:xf>
    <x:xf numFmtId="186" fontId="53" fillId="4" borderId="256" xfId="0" applyAlignment="1">
      <x:alignment horizontal="center" vertical="bottom"/>
    </x:xf>
    <x:xf numFmtId="1" fontId="0" fillId="4" borderId="256" xfId="0" applyAlignment="1">
      <x:alignment vertical="bottom"/>
    </x:xf>
    <x:xf numFmtId="1" fontId="0" fillId="4" borderId="255" xfId="0" applyAlignment="1">
      <x:alignment vertical="bottom"/>
    </x:xf>
    <x:xf numFmtId="223" fontId="52" fillId="16" borderId="251" xfId="0" applyAlignment="1">
      <x:alignment vertical="bottom"/>
    </x:xf>
    <x:xf numFmtId="223" fontId="0" fillId="4" borderId="252" xfId="0" applyAlignment="1">
      <x:alignment vertical="bottom"/>
    </x:xf>
    <x:xf numFmtId="1" fontId="0" fillId="4" borderId="253" xfId="0" applyAlignment="1">
      <x:alignment vertical="bottom"/>
    </x:xf>
    <x:xf numFmtId="49" fontId="53" fillId="4" borderId="91" xfId="0" applyAlignment="1">
      <x:alignment horizontal="right" vertical="bottom"/>
    </x:xf>
    <x:xf numFmtId="1" fontId="53" fillId="4" borderId="91" xfId="0" applyAlignment="1">
      <x:alignment horizontal="right" vertical="bottom"/>
    </x:xf>
    <x:xf numFmtId="0" fontId="53" fillId="4" borderId="92" xfId="0" applyAlignment="1">
      <x:alignment horizontal="left" vertical="bottom"/>
    </x:xf>
    <x:xf numFmtId="49" fontId="53" fillId="4" borderId="255" xfId="0" applyAlignment="1">
      <x:alignment horizontal="left" vertical="bottom"/>
    </x:xf>
    <x:xf numFmtId="10" fontId="52" fillId="4" borderId="22" xfId="0" applyAlignment="1">
      <x:alignment vertical="bottom"/>
    </x:xf>
    <x:xf numFmtId="1" fontId="0" fillId="4" borderId="100" xfId="0" applyAlignment="1">
      <x:alignment vertical="bottom"/>
    </x:xf>
    <x:xf numFmtId="49" fontId="52" fillId="27" borderId="40" xfId="0" applyAlignment="1">
      <x:alignment vertical="bottom"/>
    </x:xf>
    <x:xf numFmtId="186" fontId="0" fillId="27" borderId="41" xfId="0" applyAlignment="1">
      <x:alignment vertical="bottom"/>
    </x:xf>
    <x:xf numFmtId="49" fontId="27" fillId="27" borderId="87" xfId="0" applyAlignment="1">
      <x:alignment horizontal="center" vertical="bottom"/>
    </x:xf>
    <x:xf numFmtId="1" fontId="27" fillId="27" borderId="87" xfId="0" applyAlignment="1">
      <x:alignment horizontal="center" vertical="bottom"/>
    </x:xf>
    <x:xf numFmtId="49" fontId="0" fillId="27" borderId="50" xfId="0" applyAlignment="1">
      <x:alignment vertical="bottom"/>
    </x:xf>
    <x:xf numFmtId="186" fontId="0" fillId="27" borderId="51" xfId="0" applyAlignment="1">
      <x:alignment vertical="bottom"/>
    </x:xf>
    <x:xf numFmtId="49" fontId="27" fillId="27" borderId="8" xfId="0" applyAlignment="1">
      <x:alignment horizontal="center" vertical="bottom"/>
    </x:xf>
    <x:xf numFmtId="49" fontId="27" fillId="27" borderId="10" xfId="0" applyAlignment="1">
      <x:alignment horizontal="center" vertical="bottom"/>
    </x:xf>
    <x:xf numFmtId="1" fontId="27" fillId="27" borderId="242" xfId="0" applyAlignment="1">
      <x:alignment vertical="bottom"/>
    </x:xf>
    <x:xf numFmtId="10" fontId="52" fillId="4" borderId="260" xfId="0" applyAlignment="1">
      <x:alignment vertical="bottom"/>
    </x:xf>
    <x:xf numFmtId="10" fontId="52" fillId="4" borderId="92" xfId="0" applyAlignment="1">
      <x:alignment vertical="bottom"/>
    </x:xf>
    <x:xf numFmtId="49" fontId="0" fillId="4" borderId="82" xfId="0" applyAlignment="1">
      <x:alignment horizontal="right" vertical="bottom"/>
    </x:xf>
    <x:xf numFmtId="1" fontId="27" fillId="27" borderId="42" xfId="0" applyAlignment="1">
      <x:alignment vertical="bottom"/>
    </x:xf>
    <x:xf numFmtId="10" fontId="52" fillId="4" borderId="101" xfId="0" applyAlignment="1">
      <x:alignment vertical="bottom"/>
    </x:xf>
    <x:xf numFmtId="1" fontId="0" fillId="4" borderId="86" xfId="0" applyAlignment="1">
      <x:alignment horizontal="right" vertical="bottom"/>
    </x:xf>
    <x:xf numFmtId="10" fontId="0" fillId="4" borderId="86" xfId="0" applyAlignment="1">
      <x:alignment horizontal="right" vertical="bottom"/>
    </x:xf>
    <x:xf numFmtId="1" fontId="0" fillId="4" borderId="22" xfId="0" applyAlignment="1">
      <x:alignment horizontal="right" vertical="bottom"/>
    </x:xf>
    <x:xf numFmtId="10" fontId="0" fillId="4" borderId="22" xfId="0" applyAlignment="1">
      <x:alignment horizontal="right" vertical="bottom"/>
    </x:xf>
    <x:xf numFmtId="1" fontId="0" fillId="4" borderId="261" xfId="0" applyAlignment="1">
      <x:alignment vertical="bottom"/>
    </x:xf>
    <x:xf numFmtId="10" fontId="0" fillId="4" borderId="91" xfId="0" applyAlignment="1">
      <x:alignment vertical="bottom"/>
    </x:xf>
    <x:xf numFmtId="49" fontId="27" fillId="27" borderId="242" xfId="0" applyAlignment="1">
      <x:alignment vertical="bottom"/>
    </x:xf>
    <x:xf numFmtId="49" fontId="27" fillId="27" borderId="242" xfId="0" applyAlignment="1">
      <x:alignment horizontal="center" vertical="bottom"/>
    </x:xf>
    <x:xf numFmtId="1" fontId="27" fillId="27" borderId="242" xfId="0" applyAlignment="1">
      <x:alignment horizontal="center" vertical="bottom"/>
    </x:xf>
    <x:xf numFmtId="49" fontId="27" fillId="27" borderId="262" xfId="0" applyAlignment="1">
      <x:alignment horizontal="right" vertical="bottom"/>
    </x:xf>
    <x:xf numFmtId="49" fontId="27" fillId="27" borderId="50" xfId="0" applyAlignment="1">
      <x:alignment horizontal="center" vertical="bottom"/>
    </x:xf>
    <x:xf numFmtId="49" fontId="27" fillId="27" borderId="51" xfId="0" applyAlignment="1">
      <x:alignment horizontal="center" vertical="bottom"/>
    </x:xf>
    <x:xf numFmtId="10" fontId="27" fillId="4" borderId="260" xfId="0" applyAlignment="1">
      <x:alignment horizontal="center" vertical="bottom"/>
    </x:xf>
    <x:xf numFmtId="10" fontId="27" fillId="4" borderId="160" xfId="0" applyAlignment="1">
      <x:alignment horizontal="center" vertical="bottom"/>
    </x:xf>
    <x:xf numFmtId="10" fontId="27" fillId="4" borderId="101" xfId="0" applyAlignment="1">
      <x:alignment horizontal="center" vertical="bottom"/>
    </x:xf>
    <x:xf numFmtId="10" fontId="27" fillId="4" borderId="100" xfId="0" applyAlignment="1">
      <x:alignment horizontal="center" vertical="bottom"/>
    </x:xf>
    <x:xf numFmtId="10" fontId="27" fillId="4" borderId="263" xfId="0" applyAlignment="1">
      <x:alignment horizontal="center" vertical="bottom"/>
    </x:xf>
    <x:xf numFmtId="10" fontId="27" fillId="4" borderId="264" xfId="0" applyAlignment="1">
      <x:alignment horizontal="center" vertical="bottom"/>
    </x:xf>
    <x:xf numFmtId="1" fontId="27" fillId="27" borderId="265" xfId="0" applyAlignment="1">
      <x:alignment vertical="bottom"/>
    </x:xf>
    <x:xf numFmtId="10" fontId="27" fillId="27" borderId="88" xfId="0" applyAlignment="1">
      <x:alignment horizontal="center" vertical="bottom"/>
    </x:xf>
    <x:xf numFmtId="10" fontId="27" fillId="27" borderId="266" xfId="0" applyAlignment="1">
      <x:alignment horizontal="center" vertical="bottom"/>
    </x:xf>
    <x:xf numFmtId="1" fontId="0" fillId="4" borderId="267" xfId="0" applyAlignment="1">
      <x:alignment vertical="bottom"/>
    </x:xf>
    <x:xf numFmtId="1" fontId="0" fillId="4" borderId="82" xfId="0" applyAlignment="1">
      <x:alignment vertical="bottom"/>
    </x:xf>
    <x:xf numFmtId="186" fontId="0" fillId="4" borderId="86" xfId="0" applyAlignment="1">
      <x:alignment vertical="bottom"/>
    </x:xf>
    <x:xf numFmtId="0" fontId="0" fillId="0" borderId="0" xfId="0" applyAlignment="1">
      <x:alignment vertical="bottom"/>
    </x:xf>
    <x:xf numFmtId="1" fontId="0" fillId="4" borderId="1" xfId="0" applyAlignment="1">
      <x:alignment vertical="bottom"/>
    </x:xf>
    <x:xf numFmtId="49" fontId="18" fillId="43" borderId="6" xfId="0" applyAlignment="1">
      <x:alignment vertical="bottom"/>
    </x:xf>
    <x:xf numFmtId="49" fontId="18" fillId="43" borderId="6" xfId="0" applyAlignment="1">
      <x:alignment horizontal="center" vertical="bottom"/>
    </x:xf>
    <x:xf numFmtId="49" fontId="73" fillId="43" borderId="6" xfId="0" applyAlignment="1">
      <x:alignment vertical="bottom"/>
    </x:xf>
    <x:xf numFmtId="49" fontId="73" fillId="43" borderId="6" xfId="0" applyAlignment="1">
      <x:alignment horizontal="center" vertical="bottom"/>
    </x:xf>
    <x:xf numFmtId="170" fontId="0" fillId="4" borderId="6" xfId="0" applyAlignment="1">
      <x:alignment horizontal="right" vertical="bottom"/>
    </x:xf>
    <x:xf numFmtId="49" fontId="74" fillId="4" borderId="6" xfId="0" applyAlignment="1">
      <x:alignment horizontal="left" vertical="bottom"/>
    </x:xf>
    <x:xf numFmtId="170" fontId="74" fillId="4" borderId="6" xfId="0" applyAlignment="1">
      <x:alignment horizontal="center" vertical="bottom"/>
    </x:xf>
    <x:xf numFmtId="177" fontId="74" fillId="4" borderId="6" xfId="0" applyAlignment="1">
      <x:alignment horizontal="center" vertical="bottom"/>
    </x:xf>
    <x:xf numFmtId="170" fontId="0" fillId="4" borderId="5" xfId="0" applyAlignment="1">
      <x:alignment horizontal="right" vertical="bottom"/>
    </x:xf>
    <x:xf numFmtId="3" fontId="0" fillId="4" borderId="5" xfId="0" applyAlignment="1">
      <x:alignment vertical="bottom"/>
    </x:xf>
    <x:xf numFmtId="1" fontId="1" fillId="4" borderId="6" xfId="0" applyAlignment="1">
      <x:alignment horizontal="right" vertical="bottom"/>
    </x:xf>
    <x:xf numFmtId="49" fontId="0" fillId="4" borderId="6" xfId="0" applyAlignment="1">
      <x:alignment horizontal="left" vertical="bottom"/>
    </x:xf>
    <x:xf numFmtId="170" fontId="0" fillId="4" borderId="39" xfId="0" applyAlignment="1">
      <x:alignment horizontal="right" vertical="bottom"/>
    </x:xf>
    <x:xf numFmtId="179" fontId="1" fillId="4" borderId="6" xfId="0" applyAlignment="1">
      <x:alignment horizontal="right" vertical="bottom"/>
    </x:xf>
    <x:xf numFmtId="170" fontId="0" fillId="4" borderId="6" xfId="0" applyAlignment="1">
      <x:alignment horizontal="center" vertical="bottom"/>
    </x:xf>
    <x:xf numFmtId="179" fontId="0" fillId="4" borderId="6" xfId="0" applyAlignment="1">
      <x:alignment horizontal="left" vertical="bottom"/>
    </x:xf>
    <x:xf numFmtId="170" fontId="1" fillId="4" borderId="6" xfId="0" applyAlignment="1">
      <x:alignment horizontal="right" vertical="bottom"/>
    </x:xf>
    <x:xf numFmtId="49" fontId="18" fillId="43" borderId="6" xfId="0" applyAlignment="1">
      <x:alignment horizontal="left" vertical="center" wrapText="1"/>
    </x:xf>
    <x:xf numFmtId="49" fontId="18" fillId="43" borderId="6" xfId="0" applyAlignment="1">
      <x:alignment horizontal="center" vertical="center" wrapText="1"/>
    </x:xf>
    <x:xf numFmtId="179" fontId="1" fillId="4" borderId="6" xfId="0" applyAlignment="1">
      <x:alignment horizontal="left" vertical="bottom"/>
    </x:xf>
    <x:xf numFmtId="49" fontId="0" fillId="4" borderId="268" xfId="0" applyAlignment="1">
      <x:alignment horizontal="left" vertical="center" wrapText="1"/>
    </x:xf>
    <x:xf numFmtId="174" fontId="0" fillId="4" borderId="268" xfId="0" applyAlignment="1">
      <x:alignment horizontal="center" vertical="center" wrapText="1"/>
    </x:xf>
    <x:xf numFmtId="49" fontId="0" fillId="4" borderId="268" xfId="0" applyAlignment="1">
      <x:alignment horizontal="center" vertical="center" wrapText="1"/>
    </x:xf>
    <x:xf numFmtId="2" fontId="0" fillId="4" borderId="6" xfId="0" applyAlignment="1">
      <x:alignment vertical="bottom"/>
    </x:xf>
    <x:xf numFmtId="3" fontId="0" fillId="4" borderId="6" xfId="0" applyAlignment="1">
      <x:alignment vertical="bottom"/>
    </x:xf>
    <x:xf numFmtId="49" fontId="0" fillId="4" borderId="269" xfId="0" applyAlignment="1">
      <x:alignment horizontal="left" vertical="center" wrapText="1"/>
    </x:xf>
    <x:xf numFmtId="174" fontId="0" fillId="4" borderId="269" xfId="0" applyAlignment="1">
      <x:alignment horizontal="center" vertical="center" wrapText="1"/>
    </x:xf>
    <x:xf numFmtId="49" fontId="0" fillId="4" borderId="269" xfId="0" applyAlignment="1">
      <x:alignment horizontal="center" vertical="center" wrapText="1"/>
    </x:xf>
    <x:xf numFmtId="1" fontId="0" fillId="4" borderId="270" xfId="0" applyAlignment="1">
      <x:alignment vertical="bottom"/>
    </x:xf>
    <x:xf numFmtId="9" fontId="0" fillId="4" borderId="7" xfId="0" applyAlignment="1">
      <x:alignment vertical="bottom"/>
    </x:xf>
    <x:xf numFmtId="1" fontId="1" fillId="4" borderId="6" xfId="0" applyAlignment="1">
      <x:alignment horizontal="left" vertical="bottom"/>
    </x:xf>
    <x:xf numFmtId="170" fontId="0" fillId="4" borderId="5" xfId="0" applyAlignment="1">
      <x:alignment vertical="bottom"/>
    </x:xf>
    <x:xf numFmtId="170" fontId="0" fillId="4" borderId="39" xfId="0" applyAlignment="1">
      <x:alignment vertical="bottom"/>
    </x:xf>
    <x:xf numFmtId="49" fontId="18" fillId="43" borderId="6" xfId="0" applyAlignment="1">
      <x:alignment horizontal="left" vertical="bottom"/>
    </x:xf>
    <x:xf numFmtId="1" fontId="18" fillId="43" borderId="6" xfId="0" applyAlignment="1">
      <x:alignment horizontal="left" vertical="bottom"/>
    </x:xf>
    <x:xf numFmtId="1" fontId="18" fillId="43" borderId="6" xfId="0" applyAlignment="1">
      <x:alignment vertical="bottom"/>
    </x:xf>
    <x:xf numFmtId="226" fontId="0" fillId="4" borderId="6" xfId="0" applyAlignment="1">
      <x:alignment horizontal="left" vertical="bottom"/>
    </x:xf>
    <x:xf numFmtId="10" fontId="7" fillId="4" borderId="6" xfId="0" applyAlignment="1">
      <x:alignment vertical="bottom"/>
    </x:xf>
    <x:xf numFmtId="49" fontId="0" fillId="4" borderId="6" xfId="0" applyAlignment="1">
      <x:alignment horizontal="center" vertical="bottom"/>
    </x:xf>
    <x:xf numFmtId="9" fontId="0" fillId="4" borderId="6" xfId="0" applyAlignment="1">
      <x:alignment horizontal="center" vertical="bottom"/>
    </x:xf>
    <x:xf numFmtId="1" fontId="18" fillId="43" borderId="6" xfId="0" applyAlignment="1">
      <x:alignment horizontal="center" vertical="bottom"/>
    </x:xf>
    <x:xf numFmtId="49" fontId="75" fillId="4" borderId="6" xfId="0" applyAlignment="1">
      <x:alignment vertical="bottom"/>
    </x:xf>
    <x:xf numFmtId="170" fontId="75" fillId="7" borderId="6" xfId="0" applyAlignment="1">
      <x:alignment vertical="bottom"/>
    </x:xf>
    <x:xf numFmtId="170" fontId="75" fillId="4" borderId="6" xfId="0" applyAlignment="1">
      <x:alignment vertical="bottom"/>
    </x:xf>
    <x:xf numFmtId="178" fontId="75" fillId="7" borderId="6" xfId="0" applyAlignment="1">
      <x:alignment vertical="bottom"/>
    </x:xf>
    <x:xf numFmtId="178" fontId="75" fillId="4" borderId="6" xfId="0" applyAlignment="1">
      <x:alignment vertical="bottom"/>
    </x:xf>
    <x:xf numFmtId="184" fontId="75" fillId="4" borderId="6" xfId="0" applyAlignment="1">
      <x:alignment vertical="bottom"/>
    </x:xf>
    <x:xf numFmtId="178" fontId="0" fillId="7" borderId="6" xfId="0" applyAlignment="1">
      <x:alignment vertical="bottom"/>
    </x:xf>
    <x:xf numFmtId="170" fontId="0" fillId="7" borderId="6" xfId="0" applyAlignment="1">
      <x:alignment vertical="bottom"/>
    </x:xf>
    <x:xf numFmtId="176" fontId="0" fillId="7" borderId="6" xfId="0" applyAlignment="1">
      <x:alignment vertical="bottom"/>
    </x:xf>
    <x:xf numFmtId="49" fontId="0" fillId="4" borderId="39" xfId="0" applyAlignment="1">
      <x:alignment horizontal="left" vertical="bottom"/>
    </x:xf>
    <x:xf numFmtId="176" fontId="0" fillId="7" borderId="39" xfId="0" applyAlignment="1">
      <x:alignment vertical="bottom"/>
    </x:xf>
    <x:xf numFmtId="49" fontId="0" fillId="44" borderId="6" xfId="0" applyAlignment="1">
      <x:alignment vertical="bottom"/>
    </x:xf>
    <x:xf numFmtId="1" fontId="0" fillId="44" borderId="6" xfId="0" applyAlignment="1">
      <x:alignment vertical="bottom"/>
    </x:xf>
    <x:xf numFmtId="179" fontId="0" fillId="44" borderId="6" xfId="0" applyAlignment="1">
      <x:alignment horizontal="left" vertical="bottom"/>
    </x:xf>
    <x:xf numFmtId="179" fontId="0" fillId="44" borderId="6" xfId="0" applyAlignment="1">
      <x:alignment vertical="bottom"/>
    </x:xf>
    <x:xf numFmtId="170" fontId="0" fillId="44" borderId="6" xfId="0" applyAlignment="1">
      <x:alignment vertical="bottom"/>
    </x:xf>
    <x:xf numFmtId="49" fontId="76" fillId="4" borderId="6" xfId="0" applyAlignment="1">
      <x:alignment vertical="bottom"/>
    </x:xf>
    <x:xf numFmtId="176" fontId="0" fillId="4" borderId="6" xfId="0" applyAlignment="1">
      <x:alignment horizontal="right" vertical="bottom"/>
    </x:xf>
    <x:xf numFmtId="3" fontId="0" fillId="4" borderId="5" xfId="0" applyAlignment="1">
      <x:alignment horizontal="right" vertical="bottom"/>
    </x:xf>
    <x:xf numFmtId="176" fontId="0" fillId="4" borderId="39" xfId="0" applyAlignment="1">
      <x:alignment horizontal="right" vertical="bottom"/>
    </x:xf>
    <x:xf numFmtId="223" fontId="0" fillId="4" borderId="6" xfId="0" applyAlignment="1">
      <x:alignment vertical="bottom"/>
    </x:xf>
    <x:xf numFmtId="1" fontId="0" fillId="4" borderId="6" xfId="0" applyAlignment="1">
      <x:alignment horizontal="center" vertical="bottom"/>
    </x:xf>
    <x:xf numFmtId="3" fontId="0" fillId="4" borderId="6" xfId="0" applyAlignment="1">
      <x:alignment horizontal="right" vertical="bottom"/>
    </x:xf>
    <x:xf numFmtId="49" fontId="18" fillId="45" borderId="6" xfId="0" applyAlignment="1">
      <x:alignment horizontal="center" vertical="bottom"/>
    </x:xf>
    <x:xf numFmtId="1" fontId="18" fillId="45" borderId="6" xfId="0" applyAlignment="1">
      <x:alignment horizontal="center" vertical="bottom"/>
    </x:xf>
    <x:xf numFmtId="49" fontId="0" fillId="44" borderId="6" xfId="0" applyAlignment="1">
      <x:alignment vertical="center"/>
    </x:xf>
    <x:xf numFmtId="1" fontId="0" fillId="44" borderId="6" xfId="0" applyAlignment="1">
      <x:alignment vertical="center"/>
    </x:xf>
    <x:xf numFmtId="174" fontId="0" fillId="44" borderId="6" xfId="0" applyAlignment="1">
      <x:alignment vertical="center"/>
    </x:xf>
    <x:xf numFmtId="10" fontId="0" fillId="44" borderId="6" xfId="0" applyAlignment="1">
      <x:alignment vertical="center"/>
    </x:xf>
    <x:xf numFmtId="1" fontId="76" fillId="4" borderId="6" xfId="0" applyAlignment="1">
      <x:alignment vertical="bottom"/>
    </x:xf>
    <x:xf numFmtId="49" fontId="76" fillId="4" borderId="6" xfId="0" applyAlignment="1">
      <x:alignment horizontal="right" vertical="bottom"/>
    </x:xf>
    <x:xf numFmtId="1" fontId="1" fillId="4" borderId="6" xfId="0" applyAlignment="1">
      <x:alignment vertical="bottom"/>
    </x:xf>
    <x:xf numFmtId="49" fontId="48" fillId="45" borderId="6" xfId="0" applyAlignment="1">
      <x:alignment horizontal="left" vertical="bottom"/>
    </x:xf>
    <x:xf numFmtId="49" fontId="48" fillId="45" borderId="6" xfId="0" applyAlignment="1">
      <x:alignment horizontal="right" vertical="bottom"/>
    </x:xf>
    <x:xf numFmtId="49" fontId="1" fillId="4" borderId="6" xfId="0" applyAlignment="1">
      <x:alignment horizontal="left" vertical="bottom"/>
    </x:xf>
    <x:xf numFmtId="176" fontId="1" fillId="4" borderId="6" xfId="0" applyAlignment="1">
      <x:alignment horizontal="right" vertical="bottom"/>
    </x:xf>
    <x:xf numFmtId="3" fontId="1" fillId="4" borderId="6" xfId="0" applyAlignment="1">
      <x:alignment horizontal="right" vertical="bottom"/>
    </x:xf>
    <x:xf numFmtId="9" fontId="1" fillId="4" borderId="6" xfId="0" applyAlignment="1">
      <x:alignment horizontal="left" vertical="bottom"/>
    </x:xf>
    <x:xf numFmtId="3" fontId="1" fillId="4" borderId="5" xfId="0" applyAlignment="1">
      <x:alignment horizontal="right" vertical="bottom"/>
    </x:xf>
    <x:xf numFmtId="49" fontId="1" fillId="4" borderId="20" xfId="0" applyAlignment="1">
      <x:alignment horizontal="left" vertical="bottom"/>
    </x:xf>
    <x:xf numFmtId="1" fontId="1" fillId="4" borderId="20" xfId="0" applyAlignment="1">
      <x:alignment horizontal="left" vertical="bottom"/>
    </x:xf>
    <x:xf numFmtId="176" fontId="1" fillId="4" borderId="271" xfId="0" applyAlignment="1">
      <x:alignment horizontal="right" vertical="bottom"/>
    </x:xf>
    <x:xf numFmtId="0" fontId="0" fillId="0" borderId="0" xfId="0" applyAlignment="1">
      <x:alignment vertical="bottom"/>
    </x:xf>
    <x:xf numFmtId="9" fontId="18" fillId="43" borderId="6" xfId="0" applyAlignment="1">
      <x:alignment horizontal="center" vertical="bottom"/>
    </x:xf>
    <x:xf numFmtId="193" fontId="7" fillId="4" borderId="6" xfId="0" applyAlignment="1">
      <x:alignment vertical="center"/>
    </x:xf>
    <x:xf numFmtId="3" fontId="1" fillId="4" borderId="7" xfId="0" applyAlignment="1">
      <x:alignment horizontal="right" vertical="bottom"/>
    </x:xf>
    <x:xf numFmtId="49" fontId="0" fillId="4" borderId="6" xfId="0" applyAlignment="1">
      <x:alignment horizontal="right" vertical="bottom"/>
    </x:xf>
    <x:xf numFmtId="3" fontId="1" fillId="4" borderId="244" xfId="0" applyAlignment="1">
      <x:alignment horizontal="right" vertical="bottom"/>
    </x:xf>
    <x:xf numFmtId="176" fontId="1" fillId="4" borderId="243" xfId="0" applyAlignment="1">
      <x:alignment horizontal="right" vertical="bottom"/>
    </x:xf>
    <x:xf numFmtId="174" fontId="0" fillId="4" borderId="6" xfId="0" applyAlignment="1">
      <x:alignment horizontal="center" vertical="bottom"/>
    </x:xf>
    <x:xf numFmtId="176" fontId="76" fillId="4" borderId="6" xfId="0" applyAlignment="1">
      <x:alignment vertical="bottom"/>
    </x:xf>
    <x:xf numFmtId="49" fontId="0" fillId="4" borderId="20" xfId="0" applyAlignment="1">
      <x:alignment vertical="bottom"/>
    </x:xf>
    <x:xf numFmtId="176" fontId="0" fillId="4" borderId="20" xfId="0" applyAlignment="1">
      <x:alignment vertical="bottom"/>
    </x:xf>
    <x:xf numFmtId="0" fontId="0" fillId="0" borderId="0" xfId="0" applyAlignment="1">
      <x:alignment vertical="bottom"/>
    </x:xf>
    <x:xf numFmtId="49" fontId="6" fillId="4" borderId="37" xfId="0" applyAlignment="1">
      <x:alignment vertical="bottom"/>
    </x:xf>
    <x:xf numFmtId="49" fontId="3" fillId="4" borderId="37" xfId="0" applyAlignment="1">
      <x:alignment horizontal="right" vertical="center"/>
    </x:xf>
    <x:xf numFmtId="0" fontId="21" fillId="4" borderId="39" xfId="0" applyAlignment="1">
      <x:alignment vertical="bottom"/>
    </x:xf>
    <x:xf numFmtId="49" fontId="12" fillId="9" borderId="6" xfId="0" applyAlignment="1">
      <x:alignment vertical="bottom"/>
    </x:xf>
    <x:xf numFmtId="10" fontId="0" fillId="4" borderId="7" xfId="0" applyAlignment="1">
      <x:alignment vertical="bottom"/>
    </x:xf>
    <x:xf numFmtId="49" fontId="7" fillId="44" borderId="6" xfId="0" applyAlignment="1">
      <x:alignment horizontal="center" vertical="bottom"/>
    </x:xf>
    <x:xf numFmtId="179" fontId="7" fillId="4" borderId="6" xfId="0" applyAlignment="1">
      <x:alignment horizontal="left" vertical="bottom"/>
    </x:xf>
    <x:xf numFmtId="9" fontId="7" fillId="4" borderId="6" xfId="0" applyAlignment="1">
      <x:alignment horizontal="center" vertical="bottom"/>
    </x:xf>
    <x:xf numFmtId="9" fontId="20" fillId="38" borderId="6" xfId="0" applyAlignment="1">
      <x:alignment horizontal="center" vertical="bottom"/>
    </x:xf>
    <x:xf numFmtId="49" fontId="20" fillId="4" borderId="5" xfId="0" applyAlignment="1">
      <x:alignment vertical="bottom"/>
    </x:xf>
    <x:xf numFmtId="179" fontId="7" fillId="4" borderId="5" xfId="0" applyAlignment="1">
      <x:alignment horizontal="left" vertical="bottom"/>
    </x:xf>
    <x:xf numFmtId="9" fontId="7" fillId="4" borderId="5" xfId="0" applyAlignment="1">
      <x:alignment horizontal="center" vertical="bottom"/>
    </x:xf>
    <x:xf numFmtId="179" fontId="7" fillId="4" borderId="39" xfId="0" applyAlignment="1">
      <x:alignment horizontal="left" vertical="bottom"/>
    </x:xf>
    <x:xf numFmtId="9" fontId="7" fillId="4" borderId="39" xfId="0" applyAlignment="1">
      <x:alignment horizontal="center" vertical="bottom"/>
    </x:xf>
    <x:xf numFmtId="1" fontId="12" fillId="4" borderId="6" xfId="0" applyAlignment="1">
      <x:alignment vertical="bottom"/>
    </x:xf>
    <x:xf numFmtId="1" fontId="7" fillId="44" borderId="272" xfId="0" applyAlignment="1">
      <x:alignment horizontal="center" vertical="bottom"/>
    </x:xf>
    <x:xf numFmtId="1" fontId="7" fillId="44" borderId="273" xfId="0" applyAlignment="1">
      <x:alignment horizontal="center" vertical="bottom"/>
    </x:xf>
    <x:xf numFmtId="1" fontId="7" fillId="44" borderId="274" xfId="0" applyAlignment="1">
      <x:alignment horizontal="center" vertical="bottom"/>
    </x:xf>
    <x:xf numFmtId="179" fontId="7" fillId="4" borderId="272" xfId="0" applyAlignment="1">
      <x:alignment horizontal="center" vertical="bottom"/>
    </x:xf>
    <x:xf numFmtId="179" fontId="7" fillId="4" borderId="273" xfId="0" applyAlignment="1">
      <x:alignment horizontal="center" vertical="bottom"/>
    </x:xf>
    <x:xf numFmtId="179" fontId="7" fillId="4" borderId="274" xfId="0" applyAlignment="1">
      <x:alignment horizontal="center" vertical="bottom"/>
    </x:xf>
    <x:xf numFmtId="179" fontId="7" fillId="4" borderId="275" xfId="0" applyAlignment="1">
      <x:alignment horizontal="center" vertical="bottom"/>
    </x:xf>
    <x:xf numFmtId="179" fontId="7" fillId="4" borderId="276" xfId="0" applyAlignment="1">
      <x:alignment horizontal="center" vertical="bottom"/>
    </x:xf>
    <x:xf numFmtId="179" fontId="7" fillId="4" borderId="277" xfId="0" applyAlignment="1">
      <x:alignment horizontal="center" vertical="bottom"/>
    </x:xf>
    <x:xf numFmtId="179" fontId="0" fillId="4" borderId="278" xfId="0" applyAlignment="1">
      <x:alignment vertical="bottom"/>
    </x:xf>
    <x:xf numFmtId="179" fontId="0" fillId="4" borderId="279" xfId="0" applyAlignment="1">
      <x:alignment vertical="bottom"/>
    </x:xf>
    <x:xf numFmtId="179" fontId="0" fillId="4" borderId="280" xfId="0" applyAlignment="1">
      <x:alignment vertical="bottom"/>
    </x:xf>
    <x:xf numFmtId="179" fontId="0" fillId="4" borderId="272" xfId="0" applyAlignment="1">
      <x:alignment vertical="bottom"/>
    </x:xf>
    <x:xf numFmtId="179" fontId="0" fillId="4" borderId="273" xfId="0" applyAlignment="1">
      <x:alignment vertical="bottom"/>
    </x:xf>
    <x:xf numFmtId="179" fontId="0" fillId="4" borderId="274" xfId="0" applyAlignment="1">
      <x:alignment vertical="bottom"/>
    </x:xf>
    <x:xf numFmtId="1" fontId="0" fillId="9" borderId="6" xfId="0" applyAlignment="1">
      <x:alignment vertical="bottom"/>
    </x:xf>
    <x:xf numFmtId="1" fontId="7" fillId="9" borderId="6" xfId="0" applyAlignment="1">
      <x:alignment horizontal="center" vertical="bottom"/>
    </x:xf>
    <x:xf numFmtId="179" fontId="0" fillId="4" borderId="275" xfId="0" applyAlignment="1">
      <x:alignment vertical="bottom"/>
    </x:xf>
    <x:xf numFmtId="179" fontId="0" fillId="4" borderId="276" xfId="0" applyAlignment="1">
      <x:alignment vertical="bottom"/>
    </x:xf>
    <x:xf numFmtId="179" fontId="0" fillId="4" borderId="277" xfId="0" applyAlignment="1">
      <x:alignment vertical="bottom"/>
    </x:xf>
    <x:xf numFmtId="0" fontId="24" fillId="4" borderId="272" xfId="0" applyAlignment="1">
      <x:alignment vertical="bottom"/>
    </x:xf>
    <x:xf numFmtId="0" fontId="24" fillId="4" borderId="273" xfId="0" applyAlignment="1">
      <x:alignment vertical="bottom"/>
    </x:xf>
    <x:xf numFmtId="0" fontId="24" fillId="4" borderId="274" xfId="0" applyAlignment="1">
      <x:alignment vertical="bottom"/>
    </x:xf>
    <x:xf numFmtId="1" fontId="0" fillId="44" borderId="272" xfId="0" applyAlignment="1">
      <x:alignment vertical="bottom"/>
    </x:xf>
    <x:xf numFmtId="1" fontId="0" fillId="44" borderId="273" xfId="0" applyAlignment="1">
      <x:alignment vertical="bottom"/>
    </x:xf>
    <x:xf numFmtId="1" fontId="0" fillId="44" borderId="274" xfId="0" applyAlignment="1">
      <x:alignment vertical="bottom"/>
    </x:xf>
    <x:xf numFmtId="170" fontId="7" fillId="4" borderId="6" xfId="0" applyAlignment="1">
      <x:alignment horizontal="right" vertical="bottom"/>
    </x:xf>
    <x:xf numFmtId="1" fontId="0" fillId="4" borderId="272" xfId="0" applyAlignment="1">
      <x:alignment vertical="bottom"/>
    </x:xf>
    <x:xf numFmtId="1" fontId="0" fillId="4" borderId="273" xfId="0" applyAlignment="1">
      <x:alignment vertical="bottom"/>
    </x:xf>
    <x:xf numFmtId="1" fontId="0" fillId="4" borderId="274" xfId="0" applyAlignment="1">
      <x:alignment vertical="bottom"/>
    </x:xf>
    <x:xf numFmtId="1" fontId="12" fillId="9" borderId="272" xfId="0" applyAlignment="1">
      <x:alignment vertical="bottom"/>
    </x:xf>
    <x:xf numFmtId="1" fontId="12" fillId="9" borderId="274" xfId="0" applyAlignment="1">
      <x:alignment vertical="bottom"/>
    </x:xf>
    <x:xf numFmtId="49" fontId="7" fillId="44" borderId="6" xfId="0" applyAlignment="1">
      <x:alignment horizontal="left" vertical="bottom"/>
    </x:xf>
    <x:xf numFmtId="49" fontId="7" fillId="44" borderId="272" xfId="0" applyAlignment="1">
      <x:alignment horizontal="center" vertical="bottom"/>
    </x:xf>
    <x:xf numFmtId="49" fontId="7" fillId="44" borderId="274" xfId="0" applyAlignment="1">
      <x:alignment horizontal="center" vertical="bottom"/>
    </x:xf>
    <x:xf numFmtId="170" fontId="7" fillId="4" borderId="6" xfId="0" applyAlignment="1">
      <x:alignment horizontal="left" vertical="bottom"/>
    </x:xf>
    <x:xf numFmtId="211" fontId="7" fillId="4" borderId="6" xfId="0" applyAlignment="1">
      <x:alignment horizontal="left" vertical="bottom"/>
    </x:xf>
    <x:xf numFmtId="170" fontId="7" fillId="4" borderId="5" xfId="0" applyAlignment="1">
      <x:alignment horizontal="left" vertical="bottom"/>
    </x:xf>
    <x:xf numFmtId="211" fontId="7" fillId="4" borderId="5" xfId="0" applyAlignment="1">
      <x:alignment horizontal="left" vertical="bottom"/>
    </x:xf>
    <x:xf numFmtId="49" fontId="7" fillId="4" borderId="39" xfId="0" applyAlignment="1">
      <x:alignment horizontal="left" vertical="bottom"/>
    </x:xf>
    <x:xf numFmtId="170" fontId="7" fillId="4" borderId="39" xfId="0" applyAlignment="1">
      <x:alignment horizontal="left" vertical="bottom"/>
    </x:xf>
    <x:xf numFmtId="211" fontId="7" fillId="4" borderId="39" xfId="0" applyAlignment="1">
      <x:alignment horizontal="left" vertical="bottom"/>
    </x:xf>
    <x:xf numFmtId="179" fontId="7" fillId="4" borderId="278" xfId="0" applyAlignment="1">
      <x:alignment horizontal="left" vertical="bottom"/>
    </x:xf>
    <x:xf numFmtId="179" fontId="7" fillId="4" borderId="280" xfId="0" applyAlignment="1">
      <x:alignment horizontal="left" vertical="bottom"/>
    </x:xf>
    <x:xf numFmtId="179" fontId="0" fillId="4" borderId="20" xfId="0" applyAlignment="1">
      <x:alignment vertical="bottom"/>
    </x:xf>
    <x:xf numFmtId="0" fontId="0" fillId="0" borderId="0" xfId="0" applyAlignment="1">
      <x:alignment vertical="bottom"/>
    </x:xf>
    <x:xf numFmtId="49" fontId="21" fillId="4" borderId="39" xfId="0" applyAlignment="1">
      <x:alignment vertical="bottom"/>
    </x:xf>
    <x:xf numFmtId="1" fontId="24" fillId="4" borderId="39" xfId="0" applyAlignment="1">
      <x:alignment horizontal="right" vertical="bottom"/>
    </x:xf>
    <x:xf numFmtId="49" fontId="1" fillId="4" borderId="6" xfId="0" applyAlignment="1">
      <x:alignment vertical="bottom"/>
    </x:xf>
    <x:xf numFmtId="1" fontId="24" fillId="4" borderId="272" xfId="0" applyAlignment="1">
      <x:alignment vertical="bottom"/>
    </x:xf>
    <x:xf numFmtId="1" fontId="24" fillId="4" borderId="273" xfId="0" applyAlignment="1">
      <x:alignment vertical="bottom"/>
    </x:xf>
    <x:xf numFmtId="1" fontId="24" fillId="4" borderId="274" xfId="0" applyAlignment="1">
      <x:alignment vertical="bottom"/>
    </x:xf>
    <x:xf numFmtId="0" fontId="0" fillId="0" borderId="0" xfId="0" applyAlignment="1">
      <x:alignment vertical="bottom"/>
    </x:xf>
    <x:xf numFmtId="0" fontId="0" fillId="0" borderId="0" xfId="0" applyAlignment="1">
      <x:alignment vertical="bottom"/>
    </x:xf>
    <x:xf numFmtId="49" fontId="77" fillId="14" borderId="1" xfId="0" applyAlignment="1">
      <x:alignment vertical="bottom"/>
    </x:xf>
    <x:xf numFmtId="1" fontId="77" fillId="14" borderId="2" xfId="0" applyAlignment="1">
      <x:alignment vertical="bottom"/>
    </x:xf>
    <x:xf numFmtId="0" fontId="0" fillId="0" borderId="26" xfId="0" applyAlignment="1">
      <x:alignment vertical="bottom"/>
    </x:xf>
    <x:xf numFmtId="49" fontId="78" fillId="4" borderId="25" xfId="0" applyAlignment="1">
      <x:alignment vertical="bottom"/>
    </x:xf>
    <x:xf numFmtId="1" fontId="78" fillId="4" borderId="25" xfId="0" applyAlignment="1">
      <x:alignment vertical="bottom"/>
    </x:xf>
    <x:xf numFmtId="49" fontId="18" fillId="14" borderId="18" xfId="0" applyAlignment="1">
      <x:alignment vertical="bottom"/>
    </x:xf>
    <x:xf numFmtId="1" fontId="18" fillId="14" borderId="6" xfId="0" applyAlignment="1">
      <x:alignment vertical="bottom"/>
    </x:xf>
    <x:xf numFmtId="209" fontId="79" fillId="4" borderId="25" xfId="0" applyAlignment="1">
      <x:alignment vertical="bottom"/>
    </x:xf>
    <x:xf numFmtId="209" fontId="79" fillId="4" borderId="22" xfId="0" applyAlignment="1">
      <x:alignment vertical="bottom"/>
    </x:xf>
    <x:xf numFmtId="227" fontId="79" fillId="4" borderId="22" xfId="0" applyAlignment="1">
      <x:alignment vertical="bottom"/>
    </x:xf>
    <x:xf numFmtId="1" fontId="0" fillId="46" borderId="18" xfId="0" applyAlignment="1">
      <x:alignment vertical="bottom"/>
    </x:xf>
    <x:xf numFmtId="49" fontId="0" fillId="46" borderId="6" xfId="0" applyAlignment="1">
      <x:alignment vertical="bottom"/>
    </x:xf>
    <x:xf numFmtId="165" fontId="79" fillId="4" borderId="25" xfId="0" applyAlignment="1">
      <x:alignment vertical="bottom"/>
    </x:xf>
    <x:xf numFmtId="227" fontId="0" fillId="4" borderId="25" xfId="0" applyAlignment="1">
      <x:alignment vertical="bottom"/>
    </x:xf>
    <x:xf numFmtId="49" fontId="0" fillId="4" borderId="23" xfId="0" applyAlignment="1">
      <x:alignment vertical="bottom"/>
    </x:xf>
    <x:xf numFmtId="165" fontId="79" fillId="4" borderId="23" xfId="0" applyAlignment="1">
      <x:alignment vertical="bottom"/>
    </x:xf>
    <x:xf numFmtId="227" fontId="0" fillId="4" borderId="23" xfId="0" applyAlignment="1">
      <x:alignment vertical="bottom"/>
    </x:xf>
    <x:xf numFmtId="49" fontId="0" fillId="40" borderId="18" xfId="0" applyAlignment="1">
      <x:alignment vertical="bottom"/>
    </x:xf>
    <x:xf numFmtId="165" fontId="0" fillId="40" borderId="6" xfId="0" applyAlignment="1">
      <x:alignment vertical="bottom"/>
    </x:xf>
    <x:xf numFmtId="227" fontId="0" fillId="40" borderId="6" xfId="0" applyAlignment="1">
      <x:alignment vertical="bottom"/>
    </x:xf>
    <x:xf numFmtId="49" fontId="0" fillId="4" borderId="28" xfId="0" applyAlignment="1">
      <x:alignment vertical="bottom"/>
    </x:xf>
    <x:xf numFmtId="227" fontId="0" fillId="4" borderId="28" xfId="0" applyAlignment="1">
      <x:alignment vertical="bottom"/>
    </x:xf>
    <x:xf numFmtId="228" fontId="0" fillId="4" borderId="25" xfId="0" applyAlignment="1">
      <x:alignment vertical="bottom"/>
    </x:xf>
    <x:xf numFmtId="228" fontId="0" fillId="4" borderId="22" xfId="0" applyAlignment="1">
      <x:alignment vertical="bottom"/>
    </x:xf>
    <x:xf numFmtId="165" fontId="80" fillId="4" borderId="25" xfId="0" applyAlignment="1">
      <x:alignment vertical="bottom"/>
    </x:xf>
    <x:xf numFmtId="49" fontId="81" fillId="4" borderId="22" xfId="0" applyAlignment="1">
      <x:alignment vertical="top" wrapText="1"/>
    </x:xf>
    <x:xf numFmtId="1" fontId="81" fillId="4" borderId="22" xfId="0" applyAlignment="1">
      <x:alignment vertical="top" wrapText="1"/>
    </x:xf>
    <x:xf numFmtId="0" fontId="0" fillId="0" borderId="0" xfId="0" applyAlignment="1">
      <x:alignment vertical="bottom"/>
    </x:xf>
    <x:xf numFmtId="49" fontId="16" fillId="14" borderId="1" xfId="0" applyAlignment="1">
      <x:alignment vertical="bottom"/>
    </x:xf>
    <x:xf numFmtId="1" fontId="16" fillId="14" borderId="2" xfId="0" applyAlignment="1">
      <x:alignment vertical="bottom"/>
    </x:xf>
    <x:xf numFmtId="49" fontId="82" fillId="4" borderId="25" xfId="0" applyAlignment="1">
      <x:alignment vertical="bottom"/>
    </x:xf>
    <x:xf numFmtId="1" fontId="82" fillId="4" borderId="25" xfId="0" applyAlignment="1">
      <x:alignment vertical="bottom"/>
    </x:xf>
    <x:xf numFmtId="1" fontId="82" fillId="0" borderId="25" xfId="0" applyAlignment="1">
      <x:alignment vertical="bottom"/>
    </x:xf>
    <x:xf numFmtId="1" fontId="0" fillId="4" borderId="281" xfId="0" applyAlignment="1">
      <x:alignment vertical="bottom"/>
    </x:xf>
    <x:xf numFmtId="1" fontId="0" fillId="0" borderId="281" xfId="0" applyAlignment="1">
      <x:alignment vertical="bottom"/>
    </x:xf>
    <x:xf numFmtId="49" fontId="18" fillId="14" borderId="282" xfId="0" applyAlignment="1">
      <x:alignment horizontal="center" vertical="center" wrapText="1"/>
    </x:xf>
    <x:xf numFmtId="1" fontId="0" fillId="4" borderId="282" xfId="0" applyAlignment="1">
      <x:alignment horizontal="center" vertical="bottom"/>
    </x:xf>
    <x:xf numFmtId="49" fontId="0" fillId="4" borderId="282" xfId="0" applyAlignment="1">
      <x:alignment vertical="bottom"/>
    </x:xf>
    <x:xf numFmtId="49" fontId="0" fillId="4" borderId="282" xfId="0" applyAlignment="1">
      <x:alignment vertical="top" wrapText="1"/>
    </x:xf>
    <x:xf numFmtId="165" fontId="79" fillId="4" borderId="282" xfId="0" applyAlignment="1">
      <x:alignment vertical="bottom"/>
    </x:xf>
    <x:xf numFmtId="165" fontId="0" fillId="0" borderId="282" xfId="0" applyAlignment="1">
      <x:alignment vertical="bottom"/>
    </x:xf>
    <x:xf numFmtId="228" fontId="79" fillId="4" borderId="282" xfId="0" applyAlignment="1">
      <x:alignment vertical="bottom"/>
    </x:xf>
    <x:xf numFmtId="227" fontId="79" fillId="4" borderId="282" xfId="0" applyAlignment="1">
      <x:alignment vertical="bottom"/>
    </x:xf>
    <x:xf numFmtId="49" fontId="83" fillId="16" borderId="282" xfId="0" applyAlignment="1">
      <x:alignment vertical="top" wrapText="1"/>
    </x:xf>
    <x:xf numFmtId="165" fontId="80" fillId="4" borderId="282" xfId="0" applyAlignment="1">
      <x:alignment vertical="bottom"/>
    </x:xf>
    <x:xf numFmtId="49" fontId="83" fillId="4" borderId="282" xfId="0" applyAlignment="1">
      <x:alignment vertical="top" wrapText="1"/>
    </x:xf>
    <x:xf numFmtId="1" fontId="0" fillId="40" borderId="282" xfId="0" applyAlignment="1">
      <x:alignment vertical="bottom"/>
    </x:xf>
    <x:xf numFmtId="49" fontId="0" fillId="40" borderId="282" xfId="0" applyAlignment="1">
      <x:alignment vertical="bottom"/>
    </x:xf>
    <x:xf numFmtId="165" fontId="0" fillId="40" borderId="282" xfId="0" applyAlignment="1">
      <x:alignment vertical="bottom"/>
    </x:xf>
    <x:xf numFmtId="228" fontId="0" fillId="40" borderId="282" xfId="0" applyAlignment="1">
      <x:alignment vertical="bottom"/>
    </x:xf>
    <x:xf numFmtId="227" fontId="0" fillId="40" borderId="282" xfId="0" applyAlignment="1">
      <x:alignment vertical="bottom"/>
    </x:xf>
    <x:xf numFmtId="1" fontId="0" fillId="4" borderId="283" xfId="0" applyAlignment="1">
      <x:alignment vertical="bottom"/>
    </x:xf>
    <x:xf numFmtId="1" fontId="0" fillId="4" borderId="282" xfId="0" applyAlignment="1">
      <x:alignment vertical="bottom"/>
    </x:xf>
    <x:xf numFmtId="49" fontId="82" fillId="4" borderId="282" xfId="0" applyAlignment="1">
      <x:alignment vertical="bottom"/>
    </x:xf>
    <x:xf numFmtId="228" fontId="0" fillId="4" borderId="282" xfId="0" applyAlignment="1">
      <x:alignment vertical="bottom"/>
    </x:xf>
    <x:xf numFmtId="1" fontId="0" fillId="4" borderId="284" xfId="0" applyAlignment="1">
      <x:alignment vertical="bottom"/>
    </x:xf>
    <x:xf numFmtId="1" fontId="0" fillId="4" borderId="285" xfId="0" applyAlignment="1">
      <x:alignment vertical="bottom"/>
    </x:xf>
    <x:xf numFmtId="1" fontId="0" fillId="0" borderId="285" xfId="0" applyAlignment="1">
      <x:alignment vertical="bottom"/>
    </x:xf>
    <x:xf numFmtId="1" fontId="18" fillId="14" borderId="18" xfId="0" applyAlignment="1">
      <x:alignment horizontal="center" vertical="center" wrapText="1"/>
    </x:xf>
    <x:xf numFmtId="49" fontId="18" fillId="14" borderId="6" xfId="0" applyAlignment="1">
      <x:alignment horizontal="center" vertical="center" wrapText="1"/>
    </x:xf>
    <x:xf numFmtId="1" fontId="18" fillId="14" borderId="6" xfId="0" applyAlignment="1">
      <x:alignment horizontal="center" vertical="center" wrapText="1"/>
    </x:xf>
    <x:xf numFmtId="1" fontId="18" fillId="14" borderId="7" xfId="0" applyAlignment="1">
      <x:alignment horizontal="center" vertical="center" wrapText="1"/>
    </x:xf>
    <x:xf numFmtId="49" fontId="0" fillId="4" borderId="25" xfId="0" applyAlignment="1">
      <x:alignment horizontal="center" vertical="top" wrapText="1"/>
    </x:xf>
    <x:xf numFmtId="49" fontId="0" fillId="4" borderId="25" xfId="0" applyAlignment="1">
      <x:alignment vertical="top" wrapText="1"/>
    </x:xf>
    <x:xf numFmtId="1" fontId="0" fillId="4" borderId="25" xfId="0" applyAlignment="1">
      <x:alignment vertical="top"/>
    </x:xf>
    <x:xf numFmtId="1" fontId="0" fillId="4" borderId="19" xfId="0" applyAlignment="1">
      <x:alignment vertical="top"/>
    </x:xf>
    <x:xf numFmtId="49" fontId="83" fillId="16" borderId="7" xfId="0" applyAlignment="1">
      <x:alignment vertical="top" wrapText="1"/>
    </x:xf>
    <x:xf numFmtId="49" fontId="0" fillId="4" borderId="22" xfId="0" applyAlignment="1">
      <x:alignment horizontal="center" vertical="top" wrapText="1"/>
    </x:xf>
    <x:xf numFmtId="49" fontId="0" fillId="4" borderId="22" xfId="0" applyAlignment="1">
      <x:alignment vertical="top" wrapText="1"/>
    </x:xf>
    <x:xf numFmtId="1" fontId="0" fillId="4" borderId="22" xfId="0" applyAlignment="1">
      <x:alignment vertical="top"/>
    </x:xf>
    <x:xf numFmtId="1" fontId="0" fillId="4" borderId="27" xfId="0" applyAlignment="1">
      <x:alignment vertical="top"/>
    </x:xf>
    <x:xf numFmtId="49" fontId="83" fillId="16" borderId="21" xfId="0" applyAlignment="1">
      <x:alignment vertical="top" wrapText="1"/>
    </x:xf>
    <x:xf numFmtId="0" fontId="0" fillId="0" borderId="0" xfId="0" applyAlignment="1">
      <x:alignment vertical="bottom"/>
    </x:xf>
    <x:xf numFmtId="228" fontId="80" fillId="18" borderId="282" xfId="0" applyAlignment="1">
      <x:alignment vertical="bottom"/>
    </x:xf>
    <x:xf numFmtId="0" fontId="0" fillId="0" borderId="0" xfId="0" applyAlignment="1">
      <x:alignment vertical="bottom"/>
    </x:xf>
    <x:xf numFmtId="1" fontId="16" fillId="14" borderId="3" xfId="0" applyAlignment="1">
      <x:alignment vertical="bottom"/>
    </x:xf>
    <x:xf numFmtId="49" fontId="82" fillId="4" borderId="25" xfId="0" applyAlignment="1">
      <x:alignment vertical="top" wrapText="1"/>
    </x:xf>
    <x:xf numFmtId="1" fontId="82" fillId="4" borderId="25" xfId="0" applyAlignment="1">
      <x:alignment vertical="top" wrapText="1"/>
    </x:xf>
    <x:xf numFmtId="49" fontId="84" fillId="4" borderId="281" xfId="0" applyAlignment="1">
      <x:alignment vertical="bottom"/>
    </x:xf>
    <x:xf numFmtId="1" fontId="84" fillId="4" borderId="281" xfId="0" applyAlignment="1">
      <x:alignment vertical="bottom"/>
    </x:xf>
    <x:xf numFmtId="49" fontId="85" fillId="5" borderId="286" xfId="0" applyAlignment="1">
      <x:alignment horizontal="left" vertical="center"/>
    </x:xf>
    <x:xf numFmtId="1" fontId="85" fillId="5" borderId="287" xfId="0" applyAlignment="1">
      <x:alignment horizontal="left" vertical="center"/>
    </x:xf>
    <x:xf numFmtId="1" fontId="85" fillId="5" borderId="288" xfId="0" applyAlignment="1">
      <x:alignment horizontal="left" vertical="center"/>
    </x:xf>
    <x:xf numFmtId="49" fontId="86" fillId="46" borderId="289" xfId="0" applyAlignment="1">
      <x:alignment vertical="bottom"/>
    </x:xf>
    <x:xf numFmtId="1" fontId="86" fillId="46" borderId="290" xfId="0" applyAlignment="1">
      <x:alignment vertical="bottom"/>
    </x:xf>
    <x:xf numFmtId="1" fontId="86" fillId="46" borderId="291" xfId="0" applyAlignment="1">
      <x:alignment vertical="bottom"/>
    </x:xf>
    <x:xf numFmtId="49" fontId="82" fillId="16" borderId="282" xfId="0" applyAlignment="1">
      <x:alignment vertical="bottom"/>
    </x:xf>
    <x:xf numFmtId="49" fontId="0" fillId="16" borderId="282" xfId="0" applyAlignment="1">
      <x:alignment vertical="bottom"/>
    </x:xf>
    <x:xf numFmtId="165" fontId="79" fillId="16" borderId="282" xfId="0" applyAlignment="1">
      <x:alignment vertical="bottom"/>
    </x:xf>
    <x:xf numFmtId="228" fontId="0" fillId="16" borderId="282" xfId="0" applyAlignment="1">
      <x:alignment vertical="bottom"/>
    </x:xf>
    <x:xf numFmtId="227" fontId="0" fillId="16" borderId="282" xfId="0" applyAlignment="1">
      <x:alignment vertical="bottom"/>
    </x:xf>
    <x:xf numFmtId="227" fontId="0" fillId="4" borderId="282" xfId="0" applyAlignment="1">
      <x:alignment vertical="bottom"/>
    </x:xf>
    <x:xf numFmtId="49" fontId="86" fillId="46" borderId="292" xfId="0" applyAlignment="1">
      <x:alignment vertical="bottom"/>
    </x:xf>
    <x:xf numFmtId="1" fontId="86" fillId="46" borderId="293" xfId="0" applyAlignment="1">
      <x:alignment vertical="bottom"/>
    </x:xf>
    <x:xf numFmtId="1" fontId="86" fillId="46" borderId="294" xfId="0" applyAlignment="1">
      <x:alignment vertical="bottom"/>
    </x:xf>
    <x:xf numFmtId="1" fontId="0" fillId="4" borderId="295" xfId="0" applyAlignment="1">
      <x:alignment vertical="bottom"/>
    </x:xf>
    <x:xf numFmtId="49" fontId="87" fillId="32" borderId="18" xfId="0" applyAlignment="1">
      <x:alignment horizontal="left" vertical="center"/>
    </x:xf>
    <x:xf numFmtId="1" fontId="87" fillId="32" borderId="6" xfId="0" applyAlignment="1">
      <x:alignment horizontal="left" vertical="center"/>
    </x:xf>
    <x:xf numFmtId="1" fontId="87" fillId="32" borderId="7" xfId="0" applyAlignment="1">
      <x:alignment horizontal="left" vertical="center"/>
    </x:xf>
    <x:xf numFmtId="49" fontId="88" fillId="46" borderId="289" xfId="0" applyAlignment="1">
      <x:alignment vertical="bottom"/>
    </x:xf>
    <x:xf numFmtId="1" fontId="88" fillId="46" borderId="290" xfId="0" applyAlignment="1">
      <x:alignment vertical="bottom"/>
    </x:xf>
    <x:xf numFmtId="1" fontId="88" fillId="46" borderId="291" xfId="0" applyAlignment="1">
      <x:alignment vertical="bottom"/>
    </x:xf>
    <x:xf numFmtId="49" fontId="88" fillId="46" borderId="292" xfId="0" applyAlignment="1">
      <x:alignment vertical="bottom"/>
    </x:xf>
    <x:xf numFmtId="1" fontId="88" fillId="46" borderId="293" xfId="0" applyAlignment="1">
      <x:alignment vertical="bottom"/>
    </x:xf>
    <x:xf numFmtId="1" fontId="88" fillId="46" borderId="294" xfId="0" applyAlignment="1">
      <x:alignment vertical="bottom"/>
    </x:xf>
    <x:xf numFmtId="49" fontId="0" fillId="4" borderId="295" xfId="0" applyAlignment="1">
      <x:alignment vertical="bottom"/>
    </x:xf>
    <x:xf numFmtId="228" fontId="0" fillId="4" borderId="295" xfId="0" applyAlignment="1">
      <x:alignment vertical="bottom"/>
    </x:xf>
    <x:xf numFmtId="49" fontId="0" fillId="16" borderId="18" xfId="0" applyAlignment="1">
      <x:alignment vertical="bottom"/>
    </x:xf>
    <x:xf numFmtId="1" fontId="0" fillId="16" borderId="7" xfId="0" applyAlignment="1">
      <x:alignment vertical="bottom"/>
    </x:xf>
    <x:xf numFmtId="49" fontId="81" fillId="4" borderId="25" xfId="0" applyAlignment="1">
      <x:alignment vertical="top" wrapText="1"/>
    </x:xf>
    <x:xf numFmtId="1" fontId="81" fillId="4" borderId="25" xfId="0" applyAlignment="1">
      <x:alignment vertical="top" wrapText="1"/>
    </x:xf>
    <x:xf numFmtId="0" fontId="0" fillId="0" borderId="0" xfId="0" applyAlignment="1">
      <x:alignment vertical="bottom"/>
    </x:xf>
    <x:xf numFmtId="49" fontId="16" fillId="14" borderId="1" xfId="0" applyAlignment="1">
      <x:alignment horizontal="center" vertical="center"/>
    </x:xf>
    <x:xf numFmtId="1" fontId="16" fillId="14" borderId="2" xfId="0" applyAlignment="1">
      <x:alignment horizontal="center" vertical="center"/>
    </x:xf>
    <x:xf numFmtId="1" fontId="16" fillId="14" borderId="3" xfId="0" applyAlignment="1">
      <x:alignment horizontal="center" vertical="center"/>
    </x:xf>
    <x:xf numFmtId="0" fontId="0" fillId="4" borderId="296" xfId="0" applyAlignment="1">
      <x:alignment vertical="bottom"/>
    </x:xf>
    <x:xf numFmtId="49" fontId="12" fillId="14" borderId="31" xfId="0" applyAlignment="1">
      <x:alignment horizontal="center" vertical="center"/>
    </x:xf>
    <x:xf numFmtId="1" fontId="0" fillId="4" borderId="31" xfId="0" applyAlignment="1">
      <x:alignment horizontal="center" vertical="center"/>
    </x:xf>
    <x:xf numFmtId="49" fontId="0" fillId="4" borderId="31" xfId="0" applyAlignment="1">
      <x:alignment horizontal="right" vertical="center"/>
    </x:xf>
    <x:xf numFmtId="170" fontId="0" fillId="4" borderId="31" xfId="0" applyAlignment="1">
      <x:alignment horizontal="center" vertical="center"/>
    </x:xf>
    <x:xf numFmtId="49" fontId="0" fillId="4" borderId="31" xfId="0" applyAlignment="1">
      <x:alignment horizontal="left" vertical="center" wrapText="1"/>
    </x:xf>
    <x:xf numFmtId="1" fontId="0" fillId="10" borderId="31" xfId="0" applyAlignment="1">
      <x:alignment vertical="bottom"/>
    </x:xf>
    <x:xf numFmtId="49" fontId="0" fillId="10" borderId="31" xfId="0" applyAlignment="1">
      <x:alignment vertical="bottom"/>
    </x:xf>
    <x:xf numFmtId="165" fontId="0" fillId="10" borderId="31" xfId="0" applyAlignment="1">
      <x:alignment vertical="bottom"/>
    </x:xf>
    <x:xf numFmtId="170" fontId="0" fillId="10" borderId="31" xfId="0" applyAlignment="1">
      <x:alignment vertical="bottom"/>
    </x:xf>
    <x:xf numFmtId="0" fontId="0" fillId="4" borderId="297" xfId="0" applyAlignment="1">
      <x:alignment vertical="bottom"/>
    </x:xf>
    <x:xf numFmtId="49" fontId="16" fillId="14" borderId="18" xfId="0" applyAlignment="1">
      <x:alignment horizontal="center" vertical="center"/>
    </x:xf>
    <x:xf numFmtId="1" fontId="16" fillId="14" borderId="6" xfId="0" applyAlignment="1">
      <x:alignment horizontal="center" vertical="center"/>
    </x:xf>
    <x:xf numFmtId="1" fontId="16" fillId="14" borderId="7" xfId="0" applyAlignment="1">
      <x:alignment horizontal="center" vertical="center"/>
    </x:xf>
    <x:xf numFmtId="165" fontId="0" fillId="16" borderId="6" xfId="0" applyAlignment="1">
      <x:alignment vertical="bottom"/>
    </x:xf>
    <x:xf numFmtId="49" fontId="17" fillId="4" borderId="22" xfId="0" applyAlignment="1">
      <x:alignment vertical="bottom"/>
    </x:xf>
    <x:xf numFmtId="170" fontId="0" fillId="4" borderId="23" xfId="0" applyAlignment="1">
      <x:alignment vertical="bottom"/>
    </x:xf>
    <x:xf numFmtId="0" fontId="0" fillId="0" borderId="0" xfId="0" applyAlignment="1">
      <x:alignment vertical="bottom"/>
    </x:xf>
    <x:xf numFmtId="49" fontId="0" fillId="46" borderId="18" xfId="0" applyAlignment="1">
      <x:alignment vertical="bottom"/>
    </x:xf>
    <x:xf numFmtId="1" fontId="0" fillId="46" borderId="6" xfId="0" applyAlignment="1">
      <x:alignment vertical="bottom"/>
    </x:xf>
    <x:xf numFmtId="209" fontId="80" fillId="18" borderId="6" xfId="0" applyAlignment="1">
      <x:alignment vertical="bottom"/>
    </x:xf>
    <x:xf numFmtId="49" fontId="82" fillId="4" borderId="21" xfId="0" applyAlignment="1">
      <x:alignment vertical="bottom"/>
    </x:xf>
    <x:xf numFmtId="49" fontId="82" fillId="4" borderId="26" xfId="0" applyAlignment="1">
      <x:alignment vertical="bottom"/>
    </x:xf>
    <x:xf numFmtId="228" fontId="80" fillId="18" borderId="6" xfId="0" applyAlignment="1">
      <x:alignment vertical="bottom"/>
    </x:xf>
    <x:xf numFmtId="165" fontId="80" fillId="18" borderId="6" xfId="0" applyAlignment="1">
      <x:alignment vertical="bottom"/>
    </x:xf>
    <x:xf numFmtId="228" fontId="80" fillId="18" borderId="20" xfId="0" applyAlignment="1">
      <x:alignment vertical="bottom"/>
    </x:xf>
    <x:xf numFmtId="0" fontId="0" fillId="0" borderId="0" xfId="0" applyAlignment="1">
      <x:alignment vertical="bottom"/>
    </x:xf>
    <x:xf numFmtId="0" fontId="0" fillId="0" borderId="284" xfId="0" applyAlignment="1">
      <x:alignment vertical="bottom"/>
    </x:xf>
    <x:xf numFmtId="0" fontId="0" fillId="0" borderId="0" xfId="0" applyAlignment="1">
      <x:alignment vertical="bottom"/>
    </x:xf>
    <x:xf numFmtId="49" fontId="77" fillId="12" borderId="1" xfId="0" applyAlignment="1">
      <x:alignment horizontal="left" vertical="center"/>
    </x:xf>
    <x:xf numFmtId="1" fontId="77" fillId="12" borderId="2" xfId="0" applyAlignment="1">
      <x:alignment horizontal="left" vertical="center"/>
    </x:xf>
    <x:xf numFmtId="1" fontId="0" fillId="0" borderId="22" xfId="0" applyAlignment="1">
      <x:alignment vertical="bottom"/>
    </x:xf>
    <x:xf numFmtId="49" fontId="18" fillId="12" borderId="18" xfId="0" applyAlignment="1">
      <x:alignment horizontal="left" vertical="center"/>
    </x:xf>
    <x:xf numFmtId="1" fontId="18" fillId="12" borderId="6" xfId="0" applyAlignment="1">
      <x:alignment horizontal="left" vertical="center"/>
    </x:xf>
    <x:xf numFmtId="1" fontId="27" fillId="4" borderId="28" xfId="0" applyAlignment="1">
      <x:alignment horizontal="left" vertical="center"/>
    </x:xf>
    <x:xf numFmtId="1" fontId="27" fillId="4" borderId="22" xfId="0" applyAlignment="1">
      <x:alignment horizontal="left" vertical="center"/>
    </x:xf>
    <x:xf numFmtId="49" fontId="1" fillId="16" borderId="18" xfId="0" applyAlignment="1">
      <x:alignment horizontal="left" vertical="center"/>
    </x:xf>
    <x:xf numFmtId="1" fontId="1" fillId="16" borderId="6" xfId="0" applyAlignment="1">
      <x:alignment horizontal="left" vertical="center"/>
    </x:xf>
    <x:xf numFmtId="49" fontId="7" fillId="4" borderId="25" xfId="0" applyAlignment="1">
      <x:alignment horizontal="left" vertical="center"/>
    </x:xf>
    <x:xf numFmtId="49" fontId="7" fillId="4" borderId="28" xfId="0" applyAlignment="1">
      <x:alignment horizontal="left" vertical="center"/>
    </x:xf>
    <x:xf numFmtId="1" fontId="27" fillId="4" borderId="25" xfId="0" applyAlignment="1">
      <x:alignment horizontal="left" vertical="center"/>
    </x:xf>
    <x:xf numFmtId="49" fontId="7" fillId="4" borderId="27" xfId="0" applyAlignment="1">
      <x:alignment horizontal="left" vertical="center"/>
    </x:xf>
    <x:xf numFmtId="1" fontId="7" fillId="37" borderId="6" xfId="0" applyAlignment="1">
      <x:alignment horizontal="left" vertical="center"/>
    </x:xf>
    <x:xf numFmtId="1" fontId="27" fillId="4" borderId="26" xfId="0" applyAlignment="1">
      <x:alignment horizontal="left" vertical="center"/>
    </x:xf>
    <x:xf numFmtId="1" fontId="7" fillId="4" borderId="22" xfId="0" applyAlignment="1">
      <x:alignment horizontal="left" vertical="center"/>
    </x:xf>
    <x:xf numFmtId="1" fontId="7" fillId="15" borderId="6" xfId="0" applyAlignment="1">
      <x:alignment horizontal="left" vertical="center"/>
    </x:xf>
    <x:xf numFmtId="229" fontId="7" fillId="15" borderId="6" xfId="0" applyAlignment="1">
      <x:alignment horizontal="left" vertical="center"/>
    </x:xf>
    <x:xf numFmtId="1" fontId="27" fillId="4" borderId="281" xfId="0" applyAlignment="1">
      <x:alignment horizontal="left" vertical="center"/>
    </x:xf>
    <x:xf numFmtId="1" fontId="27" fillId="4" borderId="298" xfId="0" applyAlignment="1">
      <x:alignment horizontal="left" vertical="center"/>
    </x:xf>
    <x:xf numFmtId="1" fontId="27" fillId="4" borderId="23" xfId="0" applyAlignment="1">
      <x:alignment horizontal="left" vertical="center"/>
    </x:xf>
    <x:xf numFmtId="1" fontId="0" fillId="4" borderId="299" xfId="0" applyAlignment="1">
      <x:alignment vertical="bottom"/>
    </x:xf>
    <x:xf numFmtId="49" fontId="12" fillId="12" borderId="282" xfId="0" applyAlignment="1">
      <x:alignment horizontal="left" vertical="center"/>
    </x:xf>
    <x:xf numFmtId="49" fontId="12" fillId="12" borderId="300" xfId="0" applyAlignment="1">
      <x:alignment horizontal="left" vertical="center"/>
    </x:xf>
    <x:xf numFmtId="49" fontId="12" fillId="12" borderId="6" xfId="0" applyAlignment="1">
      <x:alignment horizontal="left" vertical="center"/>
    </x:xf>
    <x:xf numFmtId="49" fontId="7" fillId="4" borderId="301" xfId="0" applyAlignment="1">
      <x:alignment horizontal="left" vertical="center"/>
    </x:xf>
    <x:xf numFmtId="49" fontId="12" fillId="14" borderId="302" xfId="0" applyAlignment="1">
      <x:alignment horizontal="center" vertical="center"/>
    </x:xf>
    <x:xf numFmtId="49" fontId="0" fillId="4" borderId="303" xfId="0" applyAlignment="1">
      <x:alignment vertical="bottom"/>
    </x:xf>
    <x:xf numFmtId="49" fontId="0" fillId="0" borderId="22" xfId="0" applyAlignment="1">
      <x:alignment vertical="bottom"/>
    </x:xf>
    <x:xf numFmtId="49" fontId="89" fillId="46" borderId="292" xfId="0" applyAlignment="1">
      <x:alignment horizontal="left" vertical="center"/>
    </x:xf>
    <x:xf numFmtId="1" fontId="89" fillId="46" borderId="293" xfId="0" applyAlignment="1">
      <x:alignment horizontal="left" vertical="center"/>
    </x:xf>
    <x:xf numFmtId="1" fontId="89" fillId="46" borderId="6" xfId="0" applyAlignment="1">
      <x:alignment horizontal="left" vertical="center"/>
    </x:xf>
    <x:xf numFmtId="1" fontId="7" fillId="4" borderId="21" xfId="0" applyAlignment="1">
      <x:alignment vertical="bottom"/>
    </x:xf>
    <x:xf numFmtId="1" fontId="0" fillId="4" borderId="304" xfId="0" applyAlignment="1">
      <x:alignment vertical="bottom"/>
    </x:xf>
    <x:xf numFmtId="49" fontId="7" fillId="4" borderId="282" xfId="0" applyAlignment="1">
      <x:alignment horizontal="left" vertical="center"/>
    </x:xf>
    <x:xf numFmtId="49" fontId="90" fillId="4" borderId="282" xfId="0" applyAlignment="1">
      <x:alignment horizontal="left" vertical="center"/>
    </x:xf>
    <x:xf numFmtId="1" fontId="7" fillId="4" borderId="282" xfId="0" applyAlignment="1">
      <x:alignment horizontal="left" vertical="center"/>
    </x:xf>
    <x:xf numFmtId="49" fontId="7" fillId="4" borderId="305" xfId="0" applyAlignment="1">
      <x:alignment horizontal="left" vertical="center"/>
    </x:xf>
    <x:xf numFmtId="4" fontId="7" fillId="4" borderId="22" xfId="0" applyAlignment="1">
      <x:alignment horizontal="left" vertical="center"/>
    </x:xf>
    <x:xf numFmtId="166" fontId="7" fillId="4" borderId="306" xfId="0" applyAlignment="1">
      <x:alignment horizontal="left" vertical="center"/>
    </x:xf>
    <x:xf numFmtId="1" fontId="3" fillId="4" borderId="302" xfId="0" applyAlignment="1">
      <x:alignment horizontal="right" vertical="bottom"/>
    </x:xf>
    <x:xf numFmtId="49" fontId="3" fillId="34" borderId="302" xfId="0" applyAlignment="1">
      <x:alignment horizontal="center" vertical="bottom"/>
    </x:xf>
    <x:xf numFmtId="49" fontId="91" fillId="4" borderId="302" xfId="0" applyAlignment="1">
      <x:alignment vertical="bottom" wrapText="1"/>
    </x:xf>
    <x:xf numFmtId="1" fontId="0" fillId="4" borderId="303" xfId="0" applyAlignment="1">
      <x:alignment vertical="bottom"/>
    </x:xf>
    <x:xf numFmtId="49" fontId="7" fillId="4" borderId="284" xfId="0" applyAlignment="1">
      <x:alignment horizontal="left" vertical="center"/>
    </x:xf>
    <x:xf numFmtId="49" fontId="3" fillId="4" borderId="302" xfId="0" applyAlignment="1">
      <x:alignment horizontal="right" vertical="bottom"/>
    </x:xf>
    <x:xf numFmtId="49" fontId="3" fillId="16" borderId="302" xfId="0" applyAlignment="1">
      <x:alignment horizontal="center" vertical="bottom"/>
    </x:xf>
    <x:xf numFmtId="49" fontId="27" fillId="4" borderId="295" xfId="0" applyAlignment="1">
      <x:alignment vertical="bottom"/>
    </x:xf>
    <x:xf numFmtId="1" fontId="27" fillId="0" borderId="295" xfId="0" applyAlignment="1">
      <x:alignment vertical="bottom"/>
    </x:xf>
    <x:xf numFmtId="166" fontId="27" fillId="4" borderId="22" xfId="0" applyAlignment="1">
      <x:alignment vertical="bottom"/>
    </x:xf>
    <x:xf numFmtId="49" fontId="27" fillId="4" borderId="307" xfId="0" applyAlignment="1">
      <x:alignment vertical="bottom"/>
    </x:xf>
    <x:xf numFmtId="1" fontId="0" fillId="4" borderId="307" xfId="0" applyAlignment="1">
      <x:alignment vertical="bottom"/>
    </x:xf>
    <x:xf numFmtId="49" fontId="27" fillId="4" borderId="299" xfId="0" applyAlignment="1">
      <x:alignment vertical="bottom"/>
    </x:xf>
    <x:xf numFmtId="49" fontId="7" fillId="4" borderId="281" xfId="0" applyAlignment="1">
      <x:alignment horizontal="left" vertical="center"/>
    </x:xf>
    <x:xf numFmtId="49" fontId="90" fillId="4" borderId="281" xfId="0" applyAlignment="1">
      <x:alignment horizontal="left" vertical="center"/>
    </x:xf>
    <x:xf numFmtId="1" fontId="7" fillId="4" borderId="281" xfId="0" applyAlignment="1">
      <x:alignment horizontal="left" vertical="center"/>
    </x:xf>
    <x:xf numFmtId="49" fontId="7" fillId="4" borderId="23" xfId="0" applyAlignment="1">
      <x:alignment horizontal="left" vertical="center"/>
    </x:xf>
    <x:xf numFmtId="4" fontId="7" fillId="4" borderId="23" xfId="0" applyAlignment="1">
      <x:alignment horizontal="left" vertical="center"/>
    </x:xf>
    <x:xf numFmtId="166" fontId="7" fillId="4" borderId="308" xfId="0" applyAlignment="1">
      <x:alignment horizontal="left" vertical="center"/>
    </x:xf>
    <x:xf numFmtId="49" fontId="7" fillId="18" borderId="282" xfId="0" applyAlignment="1">
      <x:alignment horizontal="left" vertical="center"/>
    </x:xf>
    <x:xf numFmtId="49" fontId="90" fillId="18" borderId="282" xfId="0" applyAlignment="1">
      <x:alignment horizontal="left" vertical="center"/>
    </x:xf>
    <x:xf numFmtId="1" fontId="7" fillId="18" borderId="282" xfId="0" applyAlignment="1">
      <x:alignment horizontal="left" vertical="center"/>
    </x:xf>
    <x:xf numFmtId="49" fontId="7" fillId="18" borderId="300" xfId="0" applyAlignment="1">
      <x:alignment horizontal="left" vertical="center"/>
    </x:xf>
    <x:xf numFmtId="4" fontId="7" fillId="18" borderId="6" xfId="0" applyAlignment="1">
      <x:alignment horizontal="left" vertical="center"/>
    </x:xf>
    <x:xf numFmtId="166" fontId="7" fillId="18" borderId="309" xfId="0" applyAlignment="1">
      <x:alignment horizontal="left" vertical="center"/>
    </x:xf>
    <x:xf numFmtId="1" fontId="3" fillId="18" borderId="302" xfId="0" applyAlignment="1">
      <x:alignment horizontal="right" vertical="bottom"/>
    </x:xf>
    <x:xf numFmtId="49" fontId="3" fillId="18" borderId="302" xfId="0" applyAlignment="1">
      <x:alignment horizontal="center" vertical="bottom"/>
    </x:xf>
    <x:xf numFmtId="49" fontId="91" fillId="18" borderId="302" xfId="0" applyAlignment="1">
      <x:alignment vertical="bottom" wrapText="1"/>
    </x:xf>
    <x:xf numFmtId="49" fontId="27" fillId="4" borderId="303" xfId="0" applyAlignment="1">
      <x:alignment vertical="bottom"/>
    </x:xf>
    <x:xf numFmtId="49" fontId="27" fillId="0" borderId="22" xfId="0" applyAlignment="1">
      <x:alignment vertical="bottom"/>
    </x:xf>
    <x:xf numFmtId="49" fontId="7" fillId="4" borderId="310" xfId="0" applyAlignment="1">
      <x:alignment horizontal="left" vertical="center"/>
    </x:xf>
    <x:xf numFmtId="4" fontId="7" fillId="4" borderId="28" xfId="0" applyAlignment="1">
      <x:alignment horizontal="left" vertical="center"/>
    </x:xf>
    <x:xf numFmtId="166" fontId="7" fillId="4" borderId="311" xfId="0" applyAlignment="1">
      <x:alignment horizontal="left" vertical="center"/>
    </x:xf>
    <x:xf numFmtId="4" fontId="7" fillId="4" borderId="25" xfId="0" applyAlignment="1">
      <x:alignment horizontal="left" vertical="center"/>
    </x:xf>
    <x:xf numFmtId="166" fontId="7" fillId="4" borderId="312" xfId="0" applyAlignment="1">
      <x:alignment horizontal="left" vertical="center"/>
    </x:xf>
    <x:xf numFmtId="49" fontId="7" fillId="4" borderId="313" xfId="0" applyAlignment="1">
      <x:alignment horizontal="left" vertical="center"/>
    </x:xf>
    <x:xf numFmtId="49" fontId="90" fillId="4" borderId="313" xfId="0" applyAlignment="1">
      <x:alignment horizontal="left" vertical="center"/>
    </x:xf>
    <x:xf numFmtId="1" fontId="7" fillId="4" borderId="313" xfId="0" applyAlignment="1">
      <x:alignment horizontal="left" vertical="center"/>
    </x:xf>
    <x:xf numFmtId="49" fontId="7" fillId="4" borderId="22" xfId="0" applyAlignment="1">
      <x:alignment horizontal="left" vertical="center"/>
    </x:xf>
    <x:xf numFmtId="49" fontId="3" fillId="38" borderId="302" xfId="0" applyAlignment="1">
      <x:alignment horizontal="center" vertical="bottom"/>
    </x:xf>
    <x:xf numFmtId="1" fontId="7" fillId="4" borderId="284" xfId="0" applyAlignment="1">
      <x:alignment horizontal="left" vertical="center"/>
    </x:xf>
    <x:xf numFmtId="49" fontId="3" fillId="47" borderId="302" xfId="0" applyAlignment="1">
      <x:alignment horizontal="center" vertical="bottom"/>
    </x:xf>
    <x:xf numFmtId="49" fontId="7" fillId="47" borderId="292" xfId="0" applyAlignment="1">
      <x:alignment horizontal="left" vertical="center"/>
    </x:xf>
    <x:xf numFmtId="49" fontId="7" fillId="47" borderId="293" xfId="0" applyAlignment="1">
      <x:alignment horizontal="left" vertical="center"/>
    </x:xf>
    <x:xf numFmtId="49" fontId="90" fillId="47" borderId="293" xfId="0" applyAlignment="1">
      <x:alignment horizontal="left" vertical="center"/>
    </x:xf>
    <x:xf numFmtId="1" fontId="92" fillId="47" borderId="293" xfId="0" applyAlignment="1">
      <x:alignment horizontal="left" vertical="center"/>
    </x:xf>
    <x:xf numFmtId="49" fontId="7" fillId="4" borderId="26" xfId="0" applyAlignment="1">
      <x:alignment horizontal="left" vertical="center"/>
    </x:xf>
    <x:xf numFmtId="166" fontId="92" fillId="4" borderId="306" xfId="0" applyAlignment="1">
      <x:alignment horizontal="left" vertical="center"/>
    </x:xf>
    <x:xf numFmtId="49" fontId="7" fillId="4" borderId="283" xfId="0" applyAlignment="1">
      <x:alignment horizontal="left" vertical="center"/>
    </x:xf>
    <x:xf numFmtId="49" fontId="7" fillId="4" borderId="295" xfId="0" applyAlignment="1">
      <x:alignment horizontal="left" vertical="center"/>
    </x:xf>
    <x:xf numFmtId="49" fontId="90" fillId="4" borderId="295" xfId="0" applyAlignment="1">
      <x:alignment horizontal="left" vertical="center"/>
    </x:xf>
    <x:xf numFmtId="1" fontId="7" fillId="4" borderId="295" xfId="0" applyAlignment="1">
      <x:alignment horizontal="left" vertical="center"/>
    </x:xf>
    <x:xf numFmtId="49" fontId="93" fillId="4" borderId="22" xfId="0" applyAlignment="1">
      <x:alignment horizontal="left" vertical="center"/>
    </x:xf>
    <x:xf numFmtId="166" fontId="7" fillId="4" borderId="22" xfId="0" applyAlignment="1">
      <x:alignment horizontal="left" vertical="center"/>
    </x:xf>
    <x:xf numFmtId="1" fontId="3" fillId="4" borderId="307" xfId="0" applyAlignment="1">
      <x:alignment horizontal="right" vertical="bottom"/>
    </x:xf>
    <x:xf numFmtId="49" fontId="3" fillId="4" borderId="307" xfId="0" applyAlignment="1">
      <x:alignment horizontal="center" vertical="bottom"/>
    </x:xf>
    <x:xf numFmtId="49" fontId="91" fillId="4" borderId="307" xfId="0" applyAlignment="1">
      <x:alignment vertical="bottom" wrapText="1"/>
    </x:xf>
    <x:xf numFmtId="49" fontId="93" fillId="4" borderId="23" xfId="0" applyAlignment="1">
      <x:alignment horizontal="left" vertical="center"/>
    </x:xf>
    <x:xf numFmtId="1" fontId="7" fillId="4" borderId="23" xfId="0" applyAlignment="1">
      <x:alignment horizontal="left" vertical="center"/>
    </x:xf>
    <x:xf numFmtId="1" fontId="3" fillId="4" borderId="22" xfId="0" applyAlignment="1">
      <x:alignment horizontal="right" vertical="bottom"/>
    </x:xf>
    <x:xf numFmtId="49" fontId="3" fillId="4" borderId="22" xfId="0" applyAlignment="1">
      <x:alignment horizontal="center" vertical="bottom"/>
    </x:xf>
    <x:xf numFmtId="49" fontId="91" fillId="4" borderId="22" xfId="0" applyAlignment="1">
      <x:alignment vertical="bottom" wrapText="1"/>
    </x:xf>
    <x:xf numFmtId="49" fontId="89" fillId="46" borderId="289" xfId="0" applyAlignment="1">
      <x:alignment horizontal="left" vertical="center"/>
    </x:xf>
    <x:xf numFmtId="1" fontId="89" fillId="46" borderId="290" xfId="0" applyAlignment="1">
      <x:alignment horizontal="left" vertical="center"/>
    </x:xf>
    <x:xf numFmtId="1" fontId="7" fillId="46" borderId="290" xfId="0" applyAlignment="1">
      <x:alignment horizontal="left" vertical="center"/>
    </x:xf>
    <x:xf numFmtId="1" fontId="7" fillId="4" borderId="26" xfId="0" applyAlignment="1">
      <x:alignment horizontal="left" vertical="center"/>
    </x:xf>
    <x:xf numFmtId="49" fontId="7" fillId="4" borderId="314" xfId="0" applyAlignment="1">
      <x:alignment horizontal="left" vertical="center"/>
    </x:xf>
    <x:xf numFmtId="49" fontId="7" fillId="4" borderId="315" xfId="0" applyAlignment="1">
      <x:alignment horizontal="left" vertical="center"/>
    </x:xf>
    <x:xf numFmtId="4" fontId="7" fillId="4" borderId="305" xfId="0" applyAlignment="1">
      <x:alignment horizontal="left" vertical="center"/>
    </x:xf>
    <x:xf numFmtId="1" fontId="92" fillId="4" borderId="313" xfId="0" applyAlignment="1">
      <x:alignment horizontal="left" vertical="center"/>
    </x:xf>
    <x:xf numFmtId="49" fontId="7" fillId="4" borderId="282" xfId="0" applyAlignment="1">
      <x:alignment horizontal="left" vertical="bottom"/>
    </x:xf>
    <x:xf numFmtId="49" fontId="14" fillId="4" borderId="282" xfId="0" applyAlignment="1">
      <x:alignment horizontal="left" vertical="bottom"/>
    </x:xf>
    <x:xf numFmtId="1" fontId="7" fillId="0" borderId="282" xfId="0" applyAlignment="1">
      <x:alignment horizontal="left" vertical="bottom"/>
    </x:xf>
    <x:xf numFmtId="49" fontId="7" fillId="4" borderId="284" xfId="0" applyAlignment="1">
      <x:alignment horizontal="left" vertical="bottom"/>
    </x:xf>
    <x:xf numFmtId="4" fontId="7" fillId="4" borderId="22" xfId="0" applyAlignment="1">
      <x:alignment horizontal="left" vertical="bottom"/>
    </x:xf>
    <x:xf numFmtId="166" fontId="7" fillId="4" borderId="306" xfId="0" applyAlignment="1">
      <x:alignment horizontal="left" vertical="bottom"/>
    </x:xf>
    <x:xf numFmtId="1" fontId="92" fillId="4" borderId="282" xfId="0" applyAlignment="1">
      <x:alignment horizontal="left" vertical="center"/>
    </x:xf>
    <x:xf numFmtId="1" fontId="92" fillId="4" borderId="295" xfId="0" applyAlignment="1">
      <x:alignment horizontal="left" vertical="center"/>
    </x:xf>
    <x:xf numFmtId="49" fontId="90" fillId="4" borderId="22" xfId="0" applyAlignment="1">
      <x:alignment horizontal="left" vertical="center"/>
    </x:xf>
    <x:xf numFmtId="1" fontId="92" fillId="4" borderId="22" xfId="0" applyAlignment="1">
      <x:alignment horizontal="left" vertical="center"/>
    </x:xf>
    <x:xf numFmtId="49" fontId="90" fillId="4" borderId="23" xfId="0" applyAlignment="1">
      <x:alignment horizontal="left" vertical="center"/>
    </x:xf>
    <x:xf numFmtId="49" fontId="7" fillId="4" borderId="316" xfId="0" applyAlignment="1">
      <x:alignment horizontal="left" vertical="center"/>
    </x:xf>
    <x:xf numFmtId="166" fontId="92" fillId="4" borderId="308" xfId="0" applyAlignment="1">
      <x:alignment horizontal="left" vertical="center"/>
    </x:xf>
    <x:xf numFmtId="49" fontId="7" fillId="48" borderId="282" xfId="0" applyAlignment="1">
      <x:alignment horizontal="left" vertical="center"/>
    </x:xf>
    <x:xf numFmtId="49" fontId="90" fillId="48" borderId="282" xfId="0" applyAlignment="1">
      <x:alignment horizontal="left" vertical="center"/>
    </x:xf>
    <x:xf numFmtId="1" fontId="7" fillId="48" borderId="282" xfId="0" applyAlignment="1">
      <x:alignment horizontal="left" vertical="center"/>
    </x:xf>
    <x:xf numFmtId="49" fontId="7" fillId="48" borderId="300" xfId="0" applyAlignment="1">
      <x:alignment horizontal="left" vertical="center"/>
    </x:xf>
    <x:xf numFmtId="4" fontId="7" fillId="48" borderId="6" xfId="0" applyAlignment="1">
      <x:alignment horizontal="left" vertical="center"/>
    </x:xf>
    <x:xf numFmtId="166" fontId="7" fillId="48" borderId="309" xfId="0" applyAlignment="1">
      <x:alignment horizontal="left" vertical="center"/>
    </x:xf>
    <x:xf numFmtId="166" fontId="92" fillId="4" borderId="312" xfId="0" applyAlignment="1">
      <x:alignment horizontal="left" vertical="center"/>
    </x:xf>
    <x:xf numFmtId="49" fontId="27" fillId="4" borderId="285" xfId="0" applyAlignment="1">
      <x:alignment vertical="bottom"/>
    </x:xf>
    <x:xf numFmtId="1" fontId="27" fillId="0" borderId="285" xfId="0" applyAlignment="1">
      <x:alignment vertical="bottom"/>
    </x:xf>
    <x:xf numFmtId="1" fontId="27" fillId="4" borderId="23" xfId="0" applyAlignment="1">
      <x:alignment vertical="bottom"/>
    </x:xf>
    <x:xf numFmtId="49" fontId="14" fillId="46" borderId="290" xfId="0" applyAlignment="1">
      <x:alignment horizontal="left" vertical="center"/>
    </x:xf>
    <x:xf numFmtId="49" fontId="7" fillId="47" borderId="286" xfId="0" applyAlignment="1">
      <x:alignment horizontal="left" vertical="center"/>
    </x:xf>
    <x:xf numFmtId="49" fontId="7" fillId="47" borderId="287" xfId="0" applyAlignment="1">
      <x:alignment horizontal="left" vertical="center"/>
    </x:xf>
    <x:xf numFmtId="49" fontId="90" fillId="47" borderId="287" xfId="0" applyAlignment="1">
      <x:alignment horizontal="left" vertical="center"/>
    </x:xf>
    <x:xf numFmtId="1" fontId="92" fillId="47" borderId="287" xfId="0" applyAlignment="1">
      <x:alignment horizontal="left" vertical="center"/>
    </x:xf>
    <x:xf numFmtId="49" fontId="7" fillId="4" borderId="3" xfId="0" applyAlignment="1">
      <x:alignment horizontal="left" vertical="center"/>
    </x:xf>
    <x:xf numFmtId="49" fontId="7" fillId="4" borderId="317" xfId="0" applyAlignment="1">
      <x:alignment horizontal="left" vertical="center"/>
    </x:xf>
    <x:xf numFmtId="49" fontId="89" fillId="46" borderId="286" xfId="0" applyAlignment="1">
      <x:alignment horizontal="left" vertical="center"/>
    </x:xf>
    <x:xf numFmtId="1" fontId="89" fillId="46" borderId="287" xfId="0" applyAlignment="1">
      <x:alignment horizontal="left" vertical="center"/>
    </x:xf>
    <x:xf numFmtId="49" fontId="14" fillId="46" borderId="287" xfId="0" applyAlignment="1">
      <x:alignment horizontal="left" vertical="center"/>
    </x:xf>
    <x:xf numFmtId="49" fontId="7" fillId="4" borderId="298" xfId="0" applyAlignment="1">
      <x:alignment horizontal="left" vertical="center"/>
    </x:xf>
    <x:xf numFmtId="49" fontId="90" fillId="4" borderId="298" xfId="0" applyAlignment="1">
      <x:alignment horizontal="left" vertical="center"/>
    </x:xf>
    <x:xf numFmtId="1" fontId="7" fillId="4" borderId="298" xfId="0" applyAlignment="1">
      <x:alignment horizontal="left" vertical="center"/>
    </x:xf>
    <x:xf numFmtId="4" fontId="7" fillId="4" borderId="284" xfId="0" applyAlignment="1">
      <x:alignment horizontal="left" vertical="center"/>
    </x:xf>
    <x:xf numFmtId="1" fontId="7" fillId="4" borderId="283" xfId="0" applyAlignment="1">
      <x:alignment horizontal="left" vertical="center"/>
    </x:xf>
    <x:xf numFmtId="49" fontId="7" fillId="4" borderId="318" xfId="0" applyAlignment="1">
      <x:alignment horizontal="left" vertical="bottom"/>
    </x:xf>
    <x:xf numFmtId="4" fontId="7" fillId="4" borderId="281" xfId="0" applyAlignment="1">
      <x:alignment horizontal="left" vertical="bottom"/>
    </x:xf>
    <x:xf numFmtId="166" fontId="7" fillId="4" borderId="319" xfId="0" applyAlignment="1">
      <x:alignment horizontal="left" vertical="bottom"/>
    </x:xf>
    <x:xf numFmtId="4" fontId="7" fillId="4" borderId="282" xfId="0" applyAlignment="1">
      <x:alignment horizontal="left" vertical="bottom"/>
    </x:xf>
    <x:xf numFmtId="166" fontId="7" fillId="4" borderId="320" xfId="0" applyAlignment="1">
      <x:alignment horizontal="left" vertical="bottom"/>
    </x:xf>
    <x:xf numFmtId="4" fontId="7" fillId="4" borderId="295" xfId="0" applyAlignment="1">
      <x:alignment horizontal="left" vertical="center"/>
    </x:xf>
    <x:xf numFmtId="166" fontId="7" fillId="4" borderId="321" xfId="0" applyAlignment="1">
      <x:alignment horizontal="left" vertical="center"/>
    </x:xf>
    <x:xf numFmtId="1" fontId="27" fillId="0" borderId="23" xfId="0" applyAlignment="1">
      <x:alignment vertical="bottom"/>
    </x:xf>
    <x:xf numFmtId="49" fontId="7" fillId="4" borderId="285" xfId="0" applyAlignment="1">
      <x:alignment horizontal="left" vertical="center"/>
    </x:xf>
    <x:xf numFmtId="49" fontId="90" fillId="4" borderId="285" xfId="0" applyAlignment="1">
      <x:alignment horizontal="left" vertical="center"/>
    </x:xf>
    <x:xf numFmtId="1" fontId="7" fillId="4" borderId="285" xfId="0" applyAlignment="1">
      <x:alignment horizontal="left" vertical="center"/>
    </x:xf>
    <x:xf numFmtId="1" fontId="7" fillId="46" borderId="6" xfId="0" applyAlignment="1">
      <x:alignment horizontal="left" vertical="center"/>
    </x:xf>
    <x:xf numFmtId="1" fontId="7" fillId="4" borderId="3" xfId="0" applyAlignment="1">
      <x:alignment horizontal="left" vertical="center"/>
    </x:xf>
    <x:xf numFmtId="49" fontId="7" fillId="48" borderId="322" xfId="0" applyAlignment="1">
      <x:alignment horizontal="left" vertical="center"/>
    </x:xf>
    <x:xf numFmtId="49" fontId="7" fillId="48" borderId="293" xfId="0" applyAlignment="1">
      <x:alignment horizontal="left" vertical="center"/>
    </x:xf>
    <x:xf numFmtId="49" fontId="90" fillId="48" borderId="293" xfId="0" applyAlignment="1">
      <x:alignment horizontal="left" vertical="center"/>
    </x:xf>
    <x:xf numFmtId="1" fontId="7" fillId="48" borderId="293" xfId="0" applyAlignment="1">
      <x:alignment horizontal="left" vertical="center"/>
    </x:xf>
    <x:xf numFmtId="49" fontId="7" fillId="48" borderId="323" xfId="0" applyAlignment="1">
      <x:alignment horizontal="left" vertical="center"/>
    </x:xf>
    <x:xf numFmtId="4" fontId="7" fillId="48" borderId="300" xfId="0" applyAlignment="1">
      <x:alignment horizontal="left" vertical="center"/>
    </x:xf>
    <x:xf numFmtId="49" fontId="7" fillId="18" borderId="324" xfId="0" applyAlignment="1">
      <x:alignment horizontal="left" vertical="center"/>
    </x:xf>
    <x:xf numFmtId="1" fontId="92" fillId="18" borderId="282" xfId="0" applyAlignment="1">
      <x:alignment horizontal="left" vertical="center"/>
    </x:xf>
    <x:xf numFmtId="166" fontId="92" fillId="18" borderId="309" xfId="0" applyAlignment="1">
      <x:alignment horizontal="left" vertical="center"/>
    </x:xf>
    <x:xf numFmtId="49" fontId="7" fillId="18" borderId="286" xfId="0" applyAlignment="1">
      <x:alignment vertical="bottom"/>
    </x:xf>
    <x:xf numFmtId="49" fontId="7" fillId="18" borderId="287" xfId="0" applyAlignment="1">
      <x:alignment vertical="bottom"/>
    </x:xf>
    <x:xf numFmtId="49" fontId="14" fillId="18" borderId="287" xfId="0" applyAlignment="1">
      <x:alignment vertical="bottom"/>
    </x:xf>
    <x:xf numFmtId="1" fontId="7" fillId="18" borderId="287" xfId="0" applyAlignment="1">
      <x:alignment vertical="bottom"/>
    </x:xf>
    <x:xf numFmtId="49" fontId="7" fillId="18" borderId="6" xfId="0" applyAlignment="1">
      <x:alignment vertical="bottom"/>
    </x:xf>
    <x:xf numFmtId="4" fontId="7" fillId="18" borderId="6" xfId="0" applyAlignment="1">
      <x:alignment vertical="bottom"/>
    </x:xf>
    <x:xf numFmtId="166" fontId="7" fillId="18" borderId="309" xfId="0" applyAlignment="1">
      <x:alignment vertical="bottom"/>
    </x:xf>
    <x:xf numFmtId="49" fontId="7" fillId="48" borderId="18" xfId="0" applyAlignment="1">
      <x:alignment vertical="bottom"/>
    </x:xf>
    <x:xf numFmtId="49" fontId="7" fillId="48" borderId="6" xfId="0" applyAlignment="1">
      <x:alignment vertical="bottom"/>
    </x:xf>
    <x:xf numFmtId="49" fontId="14" fillId="48" borderId="6" xfId="0" applyAlignment="1">
      <x:alignment vertical="bottom"/>
    </x:xf>
    <x:xf numFmtId="1" fontId="7" fillId="48" borderId="6" xfId="0" applyAlignment="1">
      <x:alignment vertical="bottom"/>
    </x:xf>
    <x:xf numFmtId="4" fontId="7" fillId="48" borderId="6" xfId="0" applyAlignment="1">
      <x:alignment vertical="bottom"/>
    </x:xf>
    <x:xf numFmtId="166" fontId="7" fillId="48" borderId="309" xfId="0" applyAlignment="1">
      <x:alignment vertical="bottom"/>
    </x:xf>
    <x:xf numFmtId="49" fontId="7" fillId="18" borderId="18" xfId="0" applyAlignment="1">
      <x:alignment vertical="bottom"/>
    </x:xf>
    <x:xf numFmtId="49" fontId="14" fillId="18" borderId="6" xfId="0" applyAlignment="1">
      <x:alignment vertical="bottom"/>
    </x:xf>
    <x:xf numFmtId="1" fontId="7" fillId="18" borderId="6" xfId="0" applyAlignment="1">
      <x:alignment vertical="bottom"/>
    </x:xf>
    <x:xf numFmtId="166" fontId="7" fillId="18" borderId="6" xfId="0" applyAlignment="1">
      <x:alignment vertical="bottom"/>
    </x:xf>
    <x:xf numFmtId="1" fontId="3" fillId="18" borderId="270" xfId="0" applyAlignment="1">
      <x:alignment horizontal="right" vertical="bottom"/>
    </x:xf>
    <x:xf numFmtId="49" fontId="3" fillId="18" borderId="270" xfId="0" applyAlignment="1">
      <x:alignment horizontal="center" vertical="bottom"/>
    </x:xf>
    <x:xf numFmtId="49" fontId="91" fillId="18" borderId="270" xfId="0" applyAlignment="1">
      <x:alignment vertical="bottom" wrapText="1"/>
    </x:xf>
    <x:xf numFmtId="49" fontId="27" fillId="4" borderId="26" xfId="0" applyAlignment="1">
      <x:alignment vertical="bottom"/>
    </x:xf>
    <x:xf numFmtId="49" fontId="27" fillId="18" borderId="18" xfId="0" applyAlignment="1">
      <x:alignment vertical="bottom"/>
    </x:xf>
    <x:xf numFmtId="1" fontId="27" fillId="18" borderId="6" xfId="0" applyAlignment="1">
      <x:alignment vertical="bottom"/>
    </x:xf>
    <x:xf numFmtId="166" fontId="27" fillId="18" borderId="6" xfId="0" applyAlignment="1">
      <x:alignment vertical="bottom"/>
    </x:xf>
    <x:xf numFmtId="1" fontId="7" fillId="4" borderId="21" xfId="0" applyAlignment="1">
      <x:alignment horizontal="left" vertical="center"/>
    </x:xf>
    <x:xf numFmtId="1" fontId="0" fillId="4" borderId="325" xfId="0" applyAlignment="1">
      <x:alignment vertical="bottom"/>
    </x:xf>
    <x:xf numFmtId="1" fontId="7" fillId="4" borderId="316" xfId="0" applyAlignment="1">
      <x:alignment horizontal="left" vertical="center"/>
    </x:xf>
    <x:xf numFmtId="49" fontId="7" fillId="18" borderId="287" xfId="0" applyAlignment="1">
      <x:alignment horizontal="left" vertical="center"/>
    </x:xf>
    <x:xf numFmtId="49" fontId="90" fillId="18" borderId="287" xfId="0" applyAlignment="1">
      <x:alignment horizontal="left" vertical="center"/>
    </x:xf>
    <x:xf numFmtId="1" fontId="92" fillId="18" borderId="287" xfId="0" applyAlignment="1">
      <x:alignment horizontal="left" vertical="center"/>
    </x:xf>
    <x:xf numFmtId="49" fontId="7" fillId="18" borderId="6" xfId="0" applyAlignment="1">
      <x:alignment horizontal="left" vertical="center"/>
    </x:xf>
    <x:xf numFmtId="49" fontId="7" fillId="4" borderId="326" xfId="0" applyAlignment="1">
      <x:alignment horizontal="left" vertical="center"/>
    </x:xf>
    <x:xf numFmtId="1" fontId="27" fillId="4" borderId="307" xfId="0" applyAlignment="1">
      <x:alignment vertical="bottom"/>
    </x:xf>
    <x:xf numFmtId="49" fontId="27" fillId="4" borderId="327" xfId="0" applyAlignment="1">
      <x:alignment vertical="bottom"/>
    </x:xf>
    <x:xf numFmtId="1" fontId="27" fillId="0" borderId="327" xfId="0" applyAlignment="1">
      <x:alignment vertical="bottom"/>
    </x:xf>
    <x:xf numFmtId="1" fontId="27" fillId="4" borderId="327" xfId="0" applyAlignment="1">
      <x:alignment vertical="bottom"/>
    </x:xf>
    <x:xf numFmtId="166" fontId="27" fillId="4" borderId="327" xfId="0" applyAlignment="1">
      <x:alignment vertical="bottom"/>
    </x:xf>
    <x:xf numFmtId="1" fontId="89" fillId="46" borderId="328" xfId="0" applyAlignment="1">
      <x:alignment horizontal="left" vertical="center"/>
    </x:xf>
    <x:xf numFmtId="49" fontId="0" fillId="15" borderId="329" xfId="0" applyAlignment="1">
      <x:alignment horizontal="left" vertical="center"/>
    </x:xf>
    <x:xf numFmtId="1" fontId="89" fillId="46" borderId="329" xfId="0" applyAlignment="1">
      <x:alignment horizontal="left" vertical="center"/>
    </x:xf>
    <x:xf numFmtId="230" fontId="0" fillId="15" borderId="329" xfId="0" applyAlignment="1">
      <x:alignment horizontal="left" vertical="center"/>
    </x:xf>
    <x:xf numFmtId="49" fontId="89" fillId="4" borderId="330" xfId="0" applyAlignment="1">
      <x:alignment horizontal="left" vertical="center"/>
    </x:xf>
    <x:xf numFmtId="1" fontId="27" fillId="4" borderId="331" xfId="0" applyAlignment="1">
      <x:alignment horizontal="left" vertical="center"/>
    </x:xf>
    <x:xf numFmtId="49" fontId="14" fillId="4" borderId="331" xfId="0" applyAlignment="1">
      <x:alignment horizontal="left" vertical="center"/>
    </x:xf>
    <x:xf numFmtId="1" fontId="27" fillId="4" borderId="330" xfId="0" applyAlignment="1">
      <x:alignment horizontal="left" vertical="center"/>
    </x:xf>
    <x:xf numFmtId="1" fontId="0" fillId="4" borderId="331" xfId="0" applyAlignment="1">
      <x:alignment vertical="bottom"/>
    </x:xf>
    <x:xf numFmtId="49" fontId="7" fillId="46" borderId="18" xfId="0" applyAlignment="1">
      <x:alignment horizontal="left" vertical="center"/>
    </x:xf>
    <x:xf numFmtId="49" fontId="11" fillId="4" borderId="26" xfId="0" applyAlignment="1">
      <x:alignment vertical="bottom"/>
    </x:xf>
    <x:xf numFmtId="1" fontId="27" fillId="46" borderId="6" xfId="0" applyAlignment="1">
      <x:alignment horizontal="left" vertical="center"/>
    </x:xf>
    <x:xf numFmtId="176" fontId="0" fillId="4" borderId="3" xfId="0" applyAlignment="1">
      <x:alignment vertical="bottom"/>
    </x:xf>
    <x:xf numFmtId="49" fontId="7" fillId="48" borderId="18" xfId="0" applyAlignment="1">
      <x:alignment horizontal="left" vertical="center"/>
    </x:xf>
    <x:xf numFmtId="49" fontId="0" fillId="4" borderId="26" xfId="0" applyAlignment="1">
      <x:alignment vertical="bottom"/>
    </x:xf>
    <x:xf numFmtId="1" fontId="27" fillId="48" borderId="6" xfId="0" applyAlignment="1">
      <x:alignment horizontal="left" vertical="center"/>
    </x:xf>
    <x:xf numFmtId="176" fontId="27" fillId="48" borderId="6" xfId="0" applyAlignment="1">
      <x:alignment vertical="bottom"/>
    </x:xf>
    <x:xf numFmtId="176" fontId="0" fillId="4" borderId="28" xfId="0" applyAlignment="1">
      <x:alignment vertical="bottom"/>
    </x:xf>
    <x:xf numFmtId="1" fontId="27" fillId="4" borderId="27" xfId="0" applyAlignment="1">
      <x:alignment horizontal="left" vertical="center"/>
    </x:xf>
    <x:xf numFmtId="49" fontId="48" fillId="35" borderId="6" xfId="0" applyAlignment="1">
      <x:alignment horizontal="left" vertical="center"/>
    </x:xf>
    <x:xf numFmtId="176" fontId="48" fillId="35" borderId="6" xfId="0" applyAlignment="1">
      <x:alignment vertical="bottom"/>
    </x:xf>
    <x:xf numFmtId="176" fontId="0" fillId="4" borderId="25" xfId="0" applyAlignment="1">
      <x:alignment vertical="bottom"/>
    </x:xf>
    <x:xf numFmtId="176" fontId="0" fillId="4" borderId="22" xfId="0" applyAlignment="1">
      <x:alignment vertical="bottom"/>
    </x:xf>
    <x:xf numFmtId="0" fontId="0" fillId="0" borderId="0" xfId="0" applyAlignment="1">
      <x:alignment vertical="bottom"/>
    </x:xf>
    <x:xf numFmtId="49" fontId="12" fillId="8" borderId="18" xfId="0" applyAlignment="1">
      <x:alignment vertical="bottom"/>
    </x:xf>
    <x:xf numFmtId="1" fontId="12" fillId="8" borderId="6" xfId="0" applyAlignment="1">
      <x:alignment vertical="bottom"/>
    </x:xf>
    <x:xf numFmtId="1" fontId="12" fillId="8" borderId="33" xfId="0" applyAlignment="1">
      <x:alignment vertical="bottom"/>
    </x:xf>
    <x:xf numFmtId="1" fontId="12" fillId="8" borderId="7" xfId="0" applyAlignment="1">
      <x:alignment vertical="bottom"/>
    </x:xf>
    <x:xf numFmtId="49" fontId="3" fillId="4" borderId="35" xfId="0" applyAlignment="1">
      <x:alignment vertical="bottom"/>
    </x:xf>
    <x:xf numFmtId="1" fontId="0" fillId="16" borderId="31" xfId="0" applyAlignment="1">
      <x:alignment horizontal="right" vertical="center"/>
    </x:xf>
    <x:xf numFmtId="0" fontId="0" fillId="4" borderId="332" xfId="0" applyAlignment="1">
      <x:alignment vertical="bottom"/>
    </x:xf>
    <x:xf numFmtId="49" fontId="17" fillId="4" borderId="25" xfId="0" applyAlignment="1">
      <x:alignment vertical="bottom"/>
    </x:xf>
    <x:xf numFmtId="49" fontId="3" fillId="4" borderId="30" xfId="0" applyAlignment="1">
      <x:alignment vertical="bottom"/>
    </x:xf>
    <x:xf numFmtId="0" fontId="0" fillId="4" borderId="333" xfId="0" applyAlignment="1">
      <x:alignment vertical="bottom"/>
    </x:xf>
    <x:xf numFmtId="178" fontId="0" fillId="16" borderId="31" xfId="0" applyAlignment="1">
      <x:alignment horizontal="right" vertical="center"/>
    </x:xf>
    <x:xf numFmtId="170" fontId="0" fillId="16" borderId="31" xfId="0" applyAlignment="1">
      <x:alignment horizontal="right" vertical="center"/>
    </x:xf>
    <x:xf numFmtId="1" fontId="17" fillId="4" borderId="22" xfId="0" applyAlignment="1">
      <x:alignment vertical="bottom"/>
    </x:xf>
    <x:xf numFmtId="165" fontId="0" fillId="10" borderId="31" xfId="0" applyAlignment="1">
      <x:alignment horizontal="right" vertical="center"/>
    </x:xf>
    <x:xf numFmtId="49" fontId="0" fillId="4" borderId="35" xfId="0" applyAlignment="1">
      <x:alignment vertical="bottom"/>
    </x:xf>
    <x:xf numFmtId="165" fontId="0" fillId="16" borderId="31" xfId="0" applyAlignment="1">
      <x:alignment horizontal="right" vertical="center"/>
    </x:xf>
    <x:xf numFmtId="49" fontId="0" fillId="4" borderId="30" xfId="0" applyAlignment="1">
      <x:alignment vertical="bottom"/>
    </x:xf>
    <x:xf numFmtId="0" fontId="0" fillId="0" borderId="0" xfId="0"/>
    <x:xf numFmtId="0" fontId="1" fillId="0" borderId="6" xfId="0" applyAlignment="1">
      <x:alignment horizontal="left" vertical="bottom" wrapText="1"/>
    </x:xf>
    <x:xf numFmtId="164" fontId="8" fillId="4" borderId="7" xfId="0" applyAlignment="1">
      <x:alignment horizontal="right" vertical="center"/>
    </x:xf>
    <x:xf numFmtId="0" fontId="0" fillId="0" borderId="13" xfId="0"/>
    <x:xf numFmtId="0" fontId="0" fillId="0" borderId="15" xfId="0"/>
    <x:xf numFmtId="0" fontId="0" fillId="0" borderId="24" xfId="0"/>
    <x:xf numFmtId="0" fontId="0" fillId="0" borderId="26" xfId="0"/>
    <x:xf numFmtId="49" fontId="12" fillId="6" borderId="7" xfId="0" applyAlignment="1">
      <x:alignment horizontal="left" vertical="center"/>
    </x:xf>
    <x:xf numFmtId="0" fontId="0" fillId="0" borderId="7" xfId="0"/>
    <x:xf numFmtId="165" fontId="13" fillId="4" borderId="25" xfId="0" applyAlignment="1">
      <x:alignment vertical="bottom"/>
    </x:xf>
    <x:xf numFmtId="166" fontId="0" fillId="4" borderId="25" xfId="0" applyAlignment="1">
      <x:alignment vertical="bottom"/>
    </x:xf>
    <x:xf numFmtId="165" fontId="0" fillId="4" borderId="25" xfId="0" applyAlignment="1">
      <x:alignment vertical="bottom"/>
    </x:xf>
    <x:xf numFmtId="167" fontId="7" fillId="4" borderId="25" xfId="0" applyAlignment="1">
      <x:alignment horizontal="right" vertical="bottom"/>
    </x:xf>
    <x:xf numFmtId="167" fontId="13" fillId="4" borderId="25" xfId="0" applyAlignment="1">
      <x:alignment horizontal="right" vertical="bottom"/>
    </x:xf>
    <x:xf numFmtId="168" fontId="13" fillId="4" borderId="25" xfId="0" applyAlignment="1">
      <x:alignment horizontal="right" vertical="bottom"/>
    </x:xf>
    <x:xf numFmtId="165" fontId="14" fillId="4" borderId="22" xfId="0" applyAlignment="1">
      <x:alignment vertical="bottom"/>
    </x:xf>
    <x:xf numFmtId="166" fontId="0" fillId="4" borderId="22" xfId="0" applyAlignment="1">
      <x:alignment vertical="bottom"/>
    </x:xf>
    <x:xf numFmtId="165" fontId="0" fillId="4" borderId="22" xfId="0" applyAlignment="1">
      <x:alignment vertical="bottom"/>
    </x:xf>
    <x:xf numFmtId="169" fontId="7" fillId="4" borderId="22" xfId="0" applyAlignment="1">
      <x:alignment horizontal="right" vertical="bottom"/>
    </x:xf>
    <x:xf numFmtId="169" fontId="13" fillId="4" borderId="22" xfId="0" applyAlignment="1">
      <x:alignment horizontal="right" vertical="bottom"/>
    </x:xf>
    <x:xf numFmtId="170" fontId="13" fillId="4" borderId="22" xfId="0" applyAlignment="1">
      <x:alignment horizontal="right" vertical="bottom"/>
    </x:xf>
    <x:xf numFmtId="165" fontId="0" fillId="4" borderId="22" xfId="0" applyAlignment="1">
      <x:alignment horizontal="right" vertical="bottom"/>
    </x:xf>
    <x:xf numFmtId="165" fontId="13" fillId="4" borderId="23" xfId="0" applyAlignment="1">
      <x:alignment vertical="bottom"/>
    </x:xf>
    <x:xf numFmtId="166" fontId="0" fillId="4" borderId="23" xfId="0" applyAlignment="1">
      <x:alignment vertical="bottom"/>
    </x:xf>
    <x:xf numFmtId="165" fontId="0" fillId="4" borderId="23" xfId="0" applyAlignment="1">
      <x:alignment vertical="bottom"/>
    </x:xf>
    <x:xf numFmtId="171" fontId="7" fillId="4" borderId="22" xfId="0" applyAlignment="1">
      <x:alignment horizontal="right" vertical="bottom"/>
    </x:xf>
    <x:xf numFmtId="171" fontId="13" fillId="4" borderId="22" xfId="0" applyAlignment="1">
      <x:alignment horizontal="right" vertical="bottom"/>
    </x:xf>
    <x:xf numFmtId="165" fontId="7" fillId="7" borderId="6" xfId="0" applyAlignment="1">
      <x:alignment vertical="bottom"/>
    </x:xf>
    <x:xf numFmtId="166" fontId="7" fillId="7" borderId="6" xfId="0" applyAlignment="1">
      <x:alignment vertical="bottom"/>
    </x:xf>
    <x:xf numFmtId="172" fontId="7" fillId="4" borderId="22" xfId="0" applyAlignment="1">
      <x:alignment horizontal="right" vertical="bottom"/>
    </x:xf>
    <x:xf numFmtId="172" fontId="13" fillId="4" borderId="22" xfId="0" applyAlignment="1">
      <x:alignment horizontal="right" vertical="bottom"/>
    </x:xf>
    <x:xf numFmtId="173" fontId="13" fillId="4" borderId="25" xfId="0" applyAlignment="1">
      <x:alignment horizontal="right" vertical="bottom"/>
    </x:xf>
    <x:xf numFmtId="174" fontId="7" fillId="4" borderId="25" xfId="0" applyAlignment="1">
      <x:alignment horizontal="right" vertical="bottom"/>
    </x:xf>
    <x:xf numFmtId="175" fontId="0" fillId="4" borderId="25" xfId="0" applyAlignment="1">
      <x:alignment horizontal="right" vertical="bottom"/>
    </x:xf>
    <x:xf numFmtId="176" fontId="0" fillId="4" borderId="22" xfId="0" applyAlignment="1">
      <x:alignment horizontal="right" vertical="bottom"/>
    </x:xf>
    <x:xf numFmtId="165" fontId="13" fillId="4" borderId="22" xfId="0" applyAlignment="1">
      <x:alignment vertical="bottom"/>
    </x:xf>
    <x:xf numFmtId="176" fontId="7" fillId="4" borderId="22" xfId="0" applyAlignment="1">
      <x:alignment horizontal="right" vertical="bottom"/>
    </x:xf>
    <x:xf numFmtId="176" fontId="13" fillId="4" borderId="22" xfId="0" applyAlignment="1">
      <x:alignment horizontal="right" vertical="bottom"/>
    </x:xf>
    <x:xf numFmtId="170" fontId="7" fillId="4" borderId="22" xfId="0" applyAlignment="1">
      <x:alignment horizontal="center" vertical="bottom"/>
    </x:xf>
    <x:xf numFmtId="49" fontId="12" fillId="6" borderId="28" xfId="0" applyAlignment="1">
      <x:alignment horizontal="left" vertical="center"/>
    </x:xf>
    <x:xf numFmtId="170" fontId="0" fillId="4" borderId="22" xfId="0" applyAlignment="1">
      <x:alignment vertical="bottom"/>
    </x:xf>
    <x:xf numFmtId="165" fontId="7" fillId="7" borderId="7" xfId="0" applyAlignment="1">
      <x:alignment vertical="bottom"/>
    </x:xf>
    <x:xf numFmtId="165" fontId="0" fillId="4" borderId="28" xfId="0" applyAlignment="1">
      <x:alignment vertical="bottom"/>
    </x:xf>
    <x:xf numFmtId="165" fontId="7" fillId="4" borderId="22" xfId="0" applyAlignment="1">
      <x:alignment vertical="bottom"/>
    </x:xf>
    <x:xf numFmtId="177" fontId="7" fillId="4" borderId="22" xfId="0" applyAlignment="1">
      <x:alignment vertical="bottom"/>
    </x:xf>
    <x:xf numFmtId="170" fontId="1" fillId="4" borderId="22" xfId="0" applyAlignment="1">
      <x:alignment vertical="bottom"/>
    </x:xf>
    <x:xf numFmtId="170" fontId="1" fillId="7" borderId="6" xfId="0" applyAlignment="1">
      <x:alignment vertical="bottom"/>
    </x:xf>
    <x:xf numFmtId="49" fontId="16" fillId="8" borderId="23" xfId="0" applyAlignment="1">
      <x:alignment horizontal="center" vertical="center"/>
    </x:xf>
    <x:xf numFmtId="0" fontId="0" fillId="0" borderId="2" xfId="0"/>
    <x:xf numFmtId="0" fontId="0" fillId="0" borderId="3" xfId="0"/>
    <x:xf numFmtId="0" fontId="0" fillId="0" borderId="20" xfId="0"/>
    <x:xf numFmtId="0" fontId="0" fillId="0" borderId="21" xfId="0"/>
    <x:xf numFmtId="49" fontId="18" fillId="9" borderId="28" xfId="0" applyAlignment="1">
      <x:alignment vertical="bottom"/>
    </x:xf>
    <x:xf numFmtId="165" fontId="0" fillId="4" borderId="31" xfId="0" applyAlignment="1">
      <x:alignment horizontal="right" vertical="center"/>
    </x:xf>
    <x:xf numFmtId="49" fontId="18" fillId="9" borderId="29" xfId="0" applyAlignment="1">
      <x:alignment vertical="bottom"/>
    </x:xf>
    <x:xf numFmtId="0" fontId="0" fillId="0" borderId="33" xfId="0"/>
    <x:xf numFmtId="0" fontId="0" fillId="0" borderId="34" xfId="0"/>
    <x:xf numFmtId="178" fontId="0" fillId="4" borderId="31" xfId="0" applyAlignment="1">
      <x:alignment horizontal="right" vertical="center"/>
    </x:xf>
    <x:xf numFmtId="170" fontId="0" fillId="4" borderId="31" xfId="0" applyAlignment="1">
      <x:alignment horizontal="right" vertical="center"/>
    </x:xf>
    <x:xf numFmtId="0" fontId="94" fillId="49" borderId="6" xfId="0" applyAlignment="1">
      <x:alignment horizontal="center"/>
    </x:xf>
    <x:xf numFmtId="0" fontId="95" fillId="50" borderId="344" xfId="0"/>
    <x:xf numFmtId="0" fontId="0" fillId="0" borderId="344" xfId="0" applyAlignment="1">
      <x:alignment vertical="top" wrapText="1"/>
    </x:xf>
    <x:xf numFmtId="0" fontId="95" fillId="50" borderId="344" xfId="0" applyAlignment="1">
      <x:alignment vertical="top" wrapText="1"/>
    </x:xf>
    <x:xf numFmtId="175" fontId="0" fillId="0" borderId="344" xfId="0" applyAlignment="1">
      <x:alignment vertical="top" wrapText="1"/>
    </x:xf>
    <x:xf numFmtId="231" fontId="0" fillId="0" borderId="344" xfId="0" applyAlignment="1">
      <x:alignment vertical="top" wrapText="1"/>
    </x:xf>
    <x:xf numFmtId="170" fontId="0" fillId="0" borderId="344" xfId="0" applyAlignment="1">
      <x:alignment vertical="top" wrapText="1"/>
    </x:xf>
    <x:xf numFmtId="232" fontId="0" fillId="0" borderId="344" xfId="0" applyAlignment="1">
      <x:alignment vertical="top" wrapText="1"/>
    </x:xf>
    <x:xf numFmtId="0" fontId="95" fillId="51" borderId="344" xfId="0" applyAlignment="1">
      <x:alignment vertical="top" wrapText="1"/>
    </x:xf>
    <x:xf numFmtId="179" fontId="0" fillId="4" borderId="37" xfId="0" applyAlignment="1">
      <x:alignment vertical="bottom"/>
    </x:xf>
    <x:xf numFmtId="180" fontId="20" fillId="10" borderId="37" xfId="0" applyAlignment="1">
      <x:alignment horizontal="right" vertical="center"/>
    </x:xf>
    <x:xf numFmtId="0" fontId="0" fillId="0" borderId="37" xfId="0"/>
    <x:xf numFmtId="181" fontId="0" fillId="4" borderId="2" xfId="0" applyAlignment="1">
      <x:alignment vertical="bottom"/>
    </x:xf>
    <x:xf numFmtId="179" fontId="0" fillId="4" borderId="39" xfId="0" applyAlignment="1">
      <x:alignment vertical="bottom"/>
    </x:xf>
    <x:xf numFmtId="1" fontId="96" fillId="52" borderId="48" xfId="0" applyAlignment="1">
      <x:alignment horizontal="left" vertical="center"/>
    </x:xf>
    <x:xf numFmtId="3" fontId="96" fillId="52" borderId="48" xfId="0" applyAlignment="1">
      <x:alignment horizontal="left" vertical="center"/>
    </x:xf>
    <x:xf numFmtId="174" fontId="20" fillId="4" borderId="44" xfId="0" applyAlignment="1">
      <x:alignment horizontal="center" vertical="bottom"/>
    </x:xf>
    <x:xf numFmtId="174" fontId="7" fillId="4" borderId="44" xfId="0" applyAlignment="1">
      <x:alignment horizontal="center" vertical="bottom"/>
    </x:xf>
    <x:xf numFmtId="182" fontId="23" fillId="4" borderId="6" xfId="0" applyAlignment="1">
      <x:alignment horizontal="left" vertical="bottom"/>
    </x:xf>
    <x:xf numFmtId="181" fontId="23" fillId="4" borderId="6" xfId="0" applyAlignment="1">
      <x:alignment horizontal="left" vertical="bottom"/>
    </x:xf>
    <x:xf numFmtId="174" fontId="7" fillId="4" borderId="15" xfId="0" applyAlignment="1">
      <x:alignment horizontal="center" vertical="bottom"/>
    </x:xf>
    <x:xf numFmtId="182" fontId="20" fillId="10" borderId="52" xfId="0" applyAlignment="1">
      <x:alignment horizontal="center" vertical="bottom"/>
    </x:xf>
    <x:xf numFmtId="174" fontId="7" fillId="4" borderId="52" xfId="0" applyAlignment="1">
      <x:alignment horizontal="center" vertical="bottom"/>
    </x:xf>
    <x:xf numFmtId="174" fontId="7" fillId="4" borderId="9" xfId="0" applyAlignment="1">
      <x:alignment horizontal="center" vertical="bottom"/>
    </x:xf>
    <x:xf numFmtId="183" fontId="12" fillId="9" borderId="39" xfId="0" applyAlignment="1">
      <x:alignment horizontal="center" vertical="center"/>
    </x:xf>
    <x:xf numFmtId="183" fontId="12" fillId="9" borderId="41" xfId="0" applyAlignment="1">
      <x:alignment horizontal="center" vertical="center"/>
    </x:xf>
    <x:xf numFmtId="183" fontId="12" fillId="9" borderId="6" xfId="0" applyAlignment="1">
      <x:alignment horizontal="center" vertical="center"/>
    </x:xf>
    <x:xf numFmtId="183" fontId="12" fillId="9" borderId="46" xfId="0" applyAlignment="1">
      <x:alignment horizontal="center" vertical="center"/>
    </x:xf>
    <x:xf numFmtId="170" fontId="22" fillId="4" borderId="6" xfId="0" applyAlignment="1">
      <x:alignment horizontal="left" vertical="bottom"/>
    </x:xf>
    <x:xf numFmtId="170" fontId="20" fillId="4" borderId="11" xfId="0" applyAlignment="1">
      <x:alignment horizontal="center" vertical="bottom"/>
    </x:xf>
    <x:xf numFmtId="170" fontId="20" fillId="4" borderId="6" xfId="0" applyAlignment="1">
      <x:alignment horizontal="center" vertical="bottom"/>
    </x:xf>
    <x:xf numFmtId="170" fontId="20" fillId="4" borderId="46" xfId="0" applyAlignment="1">
      <x:alignment horizontal="center" vertical="bottom"/>
    </x:xf>
    <x:xf numFmtId="170" fontId="22" fillId="4" borderId="44" xfId="0" applyAlignment="1">
      <x:alignment horizontal="left" vertical="bottom"/>
    </x:xf>
    <x:xf numFmtId="170" fontId="7" fillId="4" borderId="43" xfId="0" applyAlignment="1">
      <x:alignment horizontal="center" vertical="bottom"/>
    </x:xf>
    <x:xf numFmtId="170" fontId="7" fillId="4" borderId="44" xfId="0" applyAlignment="1">
      <x:alignment horizontal="center" vertical="bottom"/>
    </x:xf>
    <x:xf numFmtId="170" fontId="7" fillId="4" borderId="45" xfId="0" applyAlignment="1">
      <x:alignment horizontal="center" vertical="bottom"/>
    </x:xf>
    <x:xf numFmtId="170" fontId="22" fillId="4" borderId="17" xfId="0" applyAlignment="1">
      <x:alignment horizontal="left" vertical="bottom"/>
    </x:xf>
    <x:xf numFmtId="178" fontId="20" fillId="4" borderId="56" xfId="0" applyAlignment="1">
      <x:alignment horizontal="right" vertical="bottom"/>
    </x:xf>
    <x:xf numFmtId="178" fontId="20" fillId="4" borderId="49" xfId="0" applyAlignment="1">
      <x:alignment horizontal="center" vertical="bottom"/>
    </x:xf>
    <x:xf numFmtId="178" fontId="20" fillId="4" borderId="17" xfId="0" applyAlignment="1">
      <x:alignment horizontal="center" vertical="bottom"/>
    </x:xf>
    <x:xf numFmtId="178" fontId="20" fillId="4" borderId="56" xfId="0" applyAlignment="1">
      <x:alignment horizontal="center" vertical="bottom"/>
    </x:xf>
    <x:xf numFmtId="178" fontId="7" fillId="4" borderId="56" xfId="0" applyAlignment="1">
      <x:alignment horizontal="right" vertical="bottom"/>
    </x:xf>
    <x:xf numFmtId="178" fontId="7" fillId="4" borderId="49" xfId="0" applyAlignment="1">
      <x:alignment horizontal="center" vertical="bottom"/>
    </x:xf>
    <x:xf numFmtId="178" fontId="7" fillId="4" borderId="17" xfId="0" applyAlignment="1">
      <x:alignment horizontal="center" vertical="bottom"/>
    </x:xf>
    <x:xf numFmtId="178" fontId="7" fillId="4" borderId="56" xfId="0" applyAlignment="1">
      <x:alignment horizontal="center" vertical="bottom"/>
    </x:xf>
    <x:xf numFmtId="184" fontId="7" fillId="4" borderId="46" xfId="0" applyAlignment="1">
      <x:alignment horizontal="right" vertical="bottom"/>
    </x:xf>
    <x:xf numFmtId="170" fontId="7" fillId="4" borderId="11" xfId="0" applyAlignment="1">
      <x:alignment horizontal="center" vertical="bottom"/>
    </x:xf>
    <x:xf numFmtId="170" fontId="7" fillId="4" borderId="6" xfId="0" applyAlignment="1">
      <x:alignment horizontal="center" vertical="bottom"/>
    </x:xf>
    <x:xf numFmtId="170" fontId="7" fillId="4" borderId="46" xfId="0" applyAlignment="1">
      <x:alignment horizontal="center" vertical="bottom"/>
    </x:xf>
    <x:xf numFmtId="184" fontId="22" fillId="4" borderId="46" xfId="0" applyAlignment="1">
      <x:alignment horizontal="center" vertical="bottom"/>
    </x:xf>
    <x:xf numFmtId="184" fontId="22" fillId="11" borderId="45" xfId="0" applyAlignment="1">
      <x:alignment horizontal="center" vertical="bottom"/>
    </x:xf>
    <x:xf numFmtId="184" fontId="23" fillId="4" borderId="6" xfId="0" applyAlignment="1">
      <x:alignment vertical="bottom"/>
    </x:xf>
    <x:xf numFmtId="178" fontId="20" fillId="4" borderId="48" xfId="0" applyAlignment="1">
      <x:alignment horizontal="right" vertical="bottom"/>
    </x:xf>
    <x:xf numFmtId="170" fontId="20" fillId="4" borderId="47" xfId="0" applyAlignment="1">
      <x:alignment horizontal="center" vertical="bottom"/>
    </x:xf>
    <x:xf numFmtId="170" fontId="20" fillId="4" borderId="15" xfId="0" applyAlignment="1">
      <x:alignment horizontal="center" vertical="bottom"/>
    </x:xf>
    <x:xf numFmtId="170" fontId="20" fillId="4" borderId="15" xfId="0" applyAlignment="1">
      <x:alignment horizontal="center" vertical="center"/>
    </x:xf>
    <x:xf numFmtId="170" fontId="20" fillId="4" borderId="48" xfId="0" applyAlignment="1">
      <x:alignment horizontal="center" vertical="center"/>
    </x:xf>
    <x:xf numFmtId="176" fontId="20" fillId="4" borderId="48" xfId="0" applyAlignment="1">
      <x:alignment horizontal="right" vertical="bottom"/>
    </x:xf>
    <x:xf numFmtId="170" fontId="20" fillId="4" borderId="59" xfId="0" applyAlignment="1">
      <x:alignment horizontal="right" vertical="center"/>
    </x:xf>
    <x:xf numFmtId="170" fontId="20" fillId="4" borderId="57" xfId="0" applyAlignment="1">
      <x:alignment horizontal="center" vertical="bottom"/>
    </x:xf>
    <x:xf numFmtId="170" fontId="20" fillId="4" borderId="58" xfId="0" applyAlignment="1">
      <x:alignment horizontal="center" vertical="center"/>
    </x:xf>
    <x:xf numFmtId="170" fontId="20" fillId="4" borderId="62" xfId="0" applyAlignment="1">
      <x:alignment horizontal="right" vertical="center"/>
    </x:xf>
    <x:xf numFmtId="170" fontId="20" fillId="4" borderId="60" xfId="0" applyAlignment="1">
      <x:alignment horizontal="center" vertical="bottom"/>
    </x:xf>
    <x:xf numFmtId="170" fontId="20" fillId="4" borderId="61" xfId="0" applyAlignment="1">
      <x:alignment horizontal="center" vertical="center"/>
    </x:xf>
    <x:xf numFmtId="170" fontId="20" fillId="4" borderId="62" xfId="0" applyAlignment="1">
      <x:alignment horizontal="center" vertical="center"/>
    </x:xf>
    <x:xf numFmtId="170" fontId="20" fillId="4" borderId="63" xfId="0" applyAlignment="1">
      <x:alignment horizontal="center" vertical="center"/>
    </x:xf>
    <x:xf numFmtId="170" fontId="20" fillId="4" borderId="67" xfId="0" applyAlignment="1">
      <x:alignment horizontal="right" vertical="center"/>
    </x:xf>
    <x:xf numFmtId="170" fontId="20" fillId="4" borderId="65" xfId="0" applyAlignment="1">
      <x:alignment horizontal="center" vertical="bottom"/>
    </x:xf>
    <x:xf numFmtId="170" fontId="20" fillId="4" borderId="66" xfId="0" applyAlignment="1">
      <x:alignment horizontal="center" vertical="center"/>
    </x:xf>
    <x:xf numFmtId="170" fontId="20" fillId="4" borderId="67" xfId="0" applyAlignment="1">
      <x:alignment horizontal="center" vertical="center"/>
    </x:xf>
    <x:xf numFmtId="170" fontId="22" fillId="4" borderId="41" xfId="0" applyAlignment="1">
      <x:alignment horizontal="right" vertical="center"/>
    </x:xf>
    <x:xf numFmtId="170" fontId="22" fillId="4" borderId="40" xfId="0" applyAlignment="1">
      <x:alignment horizontal="center" vertical="bottom"/>
    </x:xf>
    <x:xf numFmtId="170" fontId="22" fillId="4" borderId="39" xfId="0" applyAlignment="1">
      <x:alignment horizontal="center" vertical="center"/>
    </x:xf>
    <x:xf numFmtId="170" fontId="22" fillId="4" borderId="41" xfId="0" applyAlignment="1">
      <x:alignment horizontal="center" vertical="center"/>
    </x:xf>
    <x:xf numFmtId="170" fontId="20" fillId="4" borderId="59" xfId="0" applyAlignment="1">
      <x:alignment horizontal="center" vertical="center"/>
    </x:xf>
    <x:xf numFmtId="170" fontId="22" fillId="4" borderId="70" xfId="0" applyAlignment="1">
      <x:alignment horizontal="right" vertical="center"/>
    </x:xf>
    <x:xf numFmtId="170" fontId="22" fillId="4" borderId="68" xfId="0" applyAlignment="1">
      <x:alignment horizontal="center" vertical="bottom"/>
    </x:xf>
    <x:xf numFmtId="170" fontId="22" fillId="4" borderId="69" xfId="0" applyAlignment="1">
      <x:alignment horizontal="center" vertical="center"/>
    </x:xf>
    <x:xf numFmtId="170" fontId="22" fillId="4" borderId="70" xfId="0" applyAlignment="1">
      <x:alignment horizontal="center" vertical="center"/>
    </x:xf>
    <x:xf numFmtId="179" fontId="7" fillId="4" borderId="59" xfId="0" applyAlignment="1">
      <x:alignment horizontal="right" vertical="bottom"/>
    </x:xf>
    <x:xf numFmtId="179" fontId="24" fillId="4" borderId="62" xfId="0" applyAlignment="1">
      <x:alignment vertical="bottom"/>
    </x:xf>
    <x:xf numFmtId="170" fontId="24" fillId="4" borderId="61" xfId="0" applyAlignment="1">
      <x:alignment horizontal="center" vertical="center"/>
    </x:xf>
    <x:xf numFmtId="170" fontId="24" fillId="4" borderId="62" xfId="0" applyAlignment="1">
      <x:alignment horizontal="center" vertical="center"/>
    </x:xf>
    <x:xf numFmtId="179" fontId="20" fillId="4" borderId="62" xfId="0" applyAlignment="1">
      <x:alignment vertical="bottom"/>
    </x:xf>
    <x:xf numFmtId="170" fontId="20" fillId="4" borderId="67" xfId="0" applyAlignment="1">
      <x:alignment horizontal="right" vertical="bottom"/>
    </x:xf>
    <x:xf numFmtId="185" fontId="20" fillId="4" borderId="11" xfId="0" applyAlignment="1">
      <x:alignment horizontal="left" vertical="bottom"/>
    </x:xf>
    <x:xf numFmtId="1" fontId="96" fillId="52" borderId="6" xfId="0" applyAlignment="1">
      <x:alignment vertical="bottom"/>
    </x:xf>
    <x:xf numFmtId="176" fontId="96" fillId="52" borderId="6" xfId="0" applyAlignment="1">
      <x:alignment vertical="bottom"/>
    </x:xf>
    <x:xf numFmtId="176" fontId="20" fillId="4" borderId="6" xfId="0" applyAlignment="1">
      <x:alignment vertical="bottom"/>
    </x:xf>
    <x:xf numFmtId="178" fontId="96" fillId="52" borderId="6" xfId="0" applyAlignment="1">
      <x:alignment vertical="bottom"/>
    </x:xf>
    <x:xf numFmtId="185" fontId="20" fillId="4" borderId="11" xfId="0" applyAlignment="1">
      <x:alignment vertical="bottom"/>
    </x:xf>
    <x:xf numFmtId="179" fontId="3" fillId="4" borderId="6" xfId="0" applyAlignment="1">
      <x:alignment vertical="center"/>
    </x:xf>
    <x:xf numFmtId="179" fontId="0" fillId="4" borderId="6" xfId="0" applyAlignment="1">
      <x:alignment vertical="center"/>
    </x:xf>
    <x:xf numFmtId="179" fontId="20" fillId="4" borderId="6" xfId="0" applyAlignment="1">
      <x:alignment vertical="center"/>
    </x:xf>
    <x:xf numFmtId="179" fontId="3" fillId="4" borderId="39" xfId="0" applyAlignment="1">
      <x:alignment vertical="center"/>
    </x:xf>
    <x:xf numFmtId="179" fontId="0" fillId="4" borderId="9" xfId="0" applyAlignment="1">
      <x:alignment vertical="center"/>
    </x:xf>
    <x:xf numFmtId="177" fontId="20" fillId="4" borderId="71" xfId="0" applyAlignment="1">
      <x:alignment horizontal="left" vertical="center"/>
    </x:xf>
    <x:xf numFmtId="179" fontId="0" fillId="4" borderId="5" xfId="0" applyAlignment="1">
      <x:alignment vertical="center"/>
    </x:xf>
    <x:xf numFmtId="177" fontId="0" fillId="4" borderId="39" xfId="0" applyAlignment="1">
      <x:alignment vertical="center"/>
    </x:xf>
    <x:xf numFmtId="179" fontId="23" fillId="4" borderId="5" xfId="0" applyAlignment="1">
      <x:alignment horizontal="right" vertical="center"/>
    </x:xf>
    <x:xf numFmtId="179" fontId="0" fillId="4" borderId="41" xfId="0" applyAlignment="1">
      <x:alignment vertical="center"/>
    </x:xf>
    <x:xf numFmtId="179" fontId="0" fillId="4" borderId="46" xfId="0" applyAlignment="1">
      <x:alignment vertical="center"/>
    </x:xf>
    <x:xf numFmtId="186" fontId="7" fillId="4" borderId="75" xfId="0" applyAlignment="1">
      <x:alignment horizontal="left" vertical="bottom"/>
    </x:xf>
    <x:xf numFmtId="187" fontId="0" fillId="4" borderId="11" xfId="0" applyAlignment="1">
      <x:alignment vertical="bottom"/>
    </x:xf>
    <x:xf numFmtId="186" fontId="7" fillId="4" borderId="71" xfId="0" applyAlignment="1">
      <x:alignment horizontal="left" vertical="bottom"/>
    </x:xf>
    <x:xf numFmtId="187" fontId="0" fillId="4" borderId="50" xfId="0" applyAlignment="1">
      <x:alignment vertical="bottom"/>
    </x:xf>
    <x:xf numFmtId="186" fontId="7" fillId="4" borderId="73" xfId="0" applyAlignment="1">
      <x:alignment horizontal="left" vertical="bottom"/>
    </x:xf>
    <x:xf numFmtId="188" fontId="0" fillId="4" borderId="6" xfId="0" applyAlignment="1">
      <x:alignment vertical="bottom"/>
    </x:xf>
    <x:xf numFmtId="177" fontId="7" fillId="4" borderId="71" xfId="0" applyAlignment="1">
      <x:alignment horizontal="left" vertical="center"/>
    </x:xf>
    <x:xf numFmtId="179" fontId="0" fillId="4" borderId="6" xfId="0" applyAlignment="1">
      <x:alignment vertical="bottom"/>
    </x:xf>
    <x:xf numFmtId="189" fontId="20" fillId="4" borderId="39" xfId="0" applyAlignment="1">
      <x:alignment vertical="center"/>
    </x:xf>
    <x:xf numFmtId="179" fontId="20" fillId="4" borderId="39" xfId="0" applyAlignment="1">
      <x:alignment horizontal="left" vertical="center"/>
    </x:xf>
    <x:xf numFmtId="176" fontId="20" fillId="4" borderId="5" xfId="0" applyAlignment="1">
      <x:alignment horizontal="left" vertical="center"/>
    </x:xf>
    <x:xf numFmtId="190" fontId="0" fillId="4" borderId="9" xfId="0" applyAlignment="1">
      <x:alignment vertical="center"/>
    </x:xf>
    <x:xf numFmtId="188" fontId="7" fillId="4" borderId="41" xfId="0" applyAlignment="1">
      <x:alignment horizontal="left" vertical="center"/>
    </x:xf>
    <x:xf numFmtId="170" fontId="7" fillId="4" borderId="6" xfId="0" applyAlignment="1">
      <x:alignment vertical="center"/>
    </x:xf>
    <x:xf numFmtId="191" fontId="0" fillId="4" borderId="6" xfId="0" applyAlignment="1">
      <x:alignment vertical="center"/>
    </x:xf>
    <x:xf numFmtId="184" fontId="7" fillId="4" borderId="6" xfId="0" applyAlignment="1">
      <x:alignment vertical="center"/>
    </x:xf>
    <x:xf numFmtId="192" fontId="0" fillId="4" borderId="6" xfId="0" applyAlignment="1">
      <x:alignment vertical="center"/>
    </x:xf>
    <x:xf numFmtId="193" fontId="0" fillId="4" borderId="6" xfId="0" applyAlignment="1">
      <x:alignment vertical="center"/>
    </x:xf>
    <x:xf numFmtId="170" fontId="0" fillId="4" borderId="6" xfId="0" applyAlignment="1">
      <x:alignment vertical="center"/>
    </x:xf>
    <x:xf numFmtId="194" fontId="0" fillId="4" borderId="6" xfId="0" applyAlignment="1">
      <x:alignment vertical="center"/>
    </x:xf>
    <x:xf numFmtId="184" fontId="0" fillId="4" borderId="6" xfId="0" applyAlignment="1">
      <x:alignment vertical="center"/>
    </x:xf>
    <x:xf numFmtId="195" fontId="0" fillId="4" borderId="6" xfId="0" applyAlignment="1">
      <x:alignment vertical="center"/>
    </x:xf>
    <x:xf numFmtId="191" fontId="0" fillId="7" borderId="6" xfId="0" applyAlignment="1">
      <x:alignment vertical="center"/>
    </x:xf>
    <x:xf numFmtId="184" fontId="7" fillId="7" borderId="6" xfId="0" applyAlignment="1">
      <x:alignment vertical="center"/>
    </x:xf>
    <x:xf numFmtId="179" fontId="0" fillId="7" borderId="6" xfId="0" applyAlignment="1">
      <x:alignment vertical="center"/>
    </x:xf>
    <x:xf numFmtId="196" fontId="0" fillId="4" borderId="6" xfId="0" applyAlignment="1">
      <x:alignment vertical="center"/>
    </x:xf>
    <x:xf numFmtId="179" fontId="7" fillId="4" borderId="6" xfId="0" applyAlignment="1">
      <x:alignment horizontal="right" vertical="center"/>
    </x:xf>
    <x:xf numFmtId="197" fontId="7" fillId="4" borderId="6" xfId="0" applyAlignment="1">
      <x:alignment horizontal="right" vertical="center"/>
    </x:xf>
    <x:xf numFmtId="174" fontId="0" fillId="4" borderId="6" xfId="0" applyAlignment="1">
      <x:alignment vertical="center"/>
    </x:xf>
    <x:xf numFmtId="198" fontId="7" fillId="4" borderId="6" xfId="0" applyAlignment="1">
      <x:alignment horizontal="center" vertical="center"/>
    </x:xf>
    <x:xf numFmtId="197" fontId="0" fillId="4" borderId="6" xfId="0" applyAlignment="1">
      <x:alignment vertical="center"/>
    </x:xf>
    <x:xf numFmtId="176" fontId="0" fillId="4" borderId="6" xfId="0" applyAlignment="1">
      <x:alignment vertical="center"/>
    </x:xf>
    <x:xf numFmtId="184" fontId="0" fillId="4" borderId="28" xfId="0" applyAlignment="1">
      <x:alignment vertical="center"/>
    </x:xf>
    <x:xf numFmtId="179" fontId="0" fillId="4" borderId="28" xfId="0" applyAlignment="1">
      <x:alignment vertical="center"/>
    </x:xf>
    <x:xf numFmtId="197" fontId="7" fillId="4" borderId="6" xfId="0" applyAlignment="1">
      <x:alignment horizontal="right" vertical="bottom"/>
    </x:xf>
    <x:xf numFmtId="176" fontId="7" fillId="4" borderId="6" xfId="0" applyAlignment="1">
      <x:alignment horizontal="right" vertical="center"/>
    </x:xf>
    <x:xf numFmtId="170" fontId="7" fillId="4" borderId="6" xfId="0" applyAlignment="1">
      <x:alignment horizontal="center" vertical="center"/>
    </x:xf>
    <x:xf numFmtId="179" fontId="24" fillId="4" borderId="6" xfId="0" applyAlignment="1">
      <x:alignment horizontal="center" vertical="center"/>
    </x:xf>
    <x:xf numFmtId="199" fontId="12" fillId="13" borderId="6" xfId="0" applyAlignment="1">
      <x:alignment horizontal="center" vertical="center"/>
    </x:xf>
    <x:xf numFmtId="0" fontId="0" fillId="0" borderId="18" xfId="0"/>
    <x:xf numFmtId="170" fontId="7" fillId="4" borderId="6" xfId="0" applyAlignment="1">
      <x:alignment horizontal="right" vertical="center"/>
    </x:xf>
    <x:xf numFmtId="184" fontId="7" fillId="4" borderId="6" xfId="0" applyAlignment="1">
      <x:alignment horizontal="center" vertical="center"/>
    </x:xf>
    <x:xf numFmtId="179" fontId="7" fillId="4" borderId="6" xfId="0" applyAlignment="1">
      <x:alignment horizontal="left" vertical="center"/>
    </x:xf>
    <x:xf numFmtId="179" fontId="7" fillId="7" borderId="6" xfId="0" applyAlignment="1">
      <x:alignment horizontal="left" vertical="center"/>
    </x:xf>
    <x:xf numFmtId="179" fontId="7" fillId="4" borderId="6" xfId="0" applyAlignment="1">
      <x:alignment horizontal="center" vertical="center"/>
    </x:xf>
    <x:xf numFmtId="179" fontId="7" fillId="4" borderId="6" xfId="0" applyAlignment="1">
      <x:alignment vertical="center"/>
    </x:xf>
    <x:xf numFmtId="170" fontId="7" fillId="7" borderId="6" xfId="0" applyAlignment="1">
      <x:alignment horizontal="right" vertical="center"/>
    </x:xf>
    <x:xf numFmtId="184" fontId="0" fillId="7" borderId="6" xfId="0" applyAlignment="1">
      <x:alignment vertical="center"/>
    </x:xf>
    <x:xf numFmtId="179" fontId="7" fillId="4" borderId="6" xfId="0" applyAlignment="1">
      <x:alignment horizontal="center" vertical="top"/>
    </x:xf>
    <x:xf numFmtId="179" fontId="0" fillId="4" borderId="6" xfId="0" applyAlignment="1">
      <x:alignment vertical="top"/>
    </x:xf>
    <x:xf numFmtId="200" fontId="28" fillId="4" borderId="5" xfId="0" applyAlignment="1">
      <x:alignment vertical="bottom"/>
    </x:xf>
    <x:xf numFmtId="200" fontId="1" fillId="4" borderId="23" xfId="0" applyAlignment="1">
      <x:alignment vertical="bottom"/>
    </x:xf>
    <x:xf numFmtId="200" fontId="29" fillId="4" borderId="86" xfId="0" applyAlignment="1">
      <x:alignment vertical="bottom"/>
    </x:xf>
    <x:xf numFmtId="200" fontId="29" fillId="4" borderId="25" xfId="0" applyAlignment="1">
      <x:alignment horizontal="center" vertical="bottom"/>
    </x:xf>
    <x:xf numFmtId="200" fontId="29" fillId="4" borderId="19" xfId="0" applyAlignment="1">
      <x:alignment horizontal="center" vertical="bottom"/>
    </x:xf>
    <x:xf numFmtId="200" fontId="29" fillId="22" borderId="6" xfId="0" applyAlignment="1">
      <x:alignment horizontal="center" vertical="bottom"/>
    </x:xf>
    <x:xf numFmtId="200" fontId="27" fillId="4" borderId="26" xfId="0" applyAlignment="1">
      <x:alignment horizontal="center" vertical="bottom"/>
    </x:xf>
    <x:xf numFmtId="200" fontId="27" fillId="4" borderId="22" xfId="0" applyAlignment="1">
      <x:alignment horizontal="center" vertical="bottom"/>
    </x:xf>
    <x:xf numFmtId="200" fontId="27" fillId="4" borderId="22" xfId="0" applyAlignment="1">
      <x:alignment vertical="bottom"/>
    </x:xf>
    <x:xf numFmtId="200" fontId="27" fillId="4" borderId="27" xfId="0" applyAlignment="1">
      <x:alignment horizontal="center" vertical="bottom"/>
    </x:xf>
    <x:xf numFmtId="200" fontId="27" fillId="22" borderId="6" xfId="0" applyAlignment="1">
      <x:alignment horizontal="center" vertical="bottom"/>
    </x:xf>
    <x:xf numFmtId="200" fontId="27" fillId="4" borderId="23" xfId="0" applyAlignment="1">
      <x:alignment vertical="bottom"/>
    </x:xf>
    <x:xf numFmtId="200" fontId="29" fillId="4" borderId="1" xfId="0" applyAlignment="1">
      <x:alignment horizontal="center" vertical="bottom"/>
    </x:xf>
    <x:xf numFmtId="200" fontId="27" fillId="18" borderId="6" xfId="0" applyAlignment="1">
      <x:alignment vertical="bottom"/>
    </x:xf>
    <x:xf numFmtId="200" fontId="27" fillId="4" borderId="2" xfId="0" applyAlignment="1">
      <x:alignment horizontal="center" vertical="bottom"/>
    </x:xf>
    <x:xf numFmtId="200" fontId="29" fillId="18" borderId="6" xfId="0" applyAlignment="1">
      <x:alignment horizontal="center" vertical="bottom"/>
    </x:xf>
    <x:xf numFmtId="200" fontId="26" fillId="4" borderId="25" xfId="0" applyAlignment="1">
      <x:alignment vertical="bottom"/>
    </x:xf>
    <x:xf numFmtId="200" fontId="26" fillId="4" borderId="19" xfId="0" applyAlignment="1">
      <x:alignment vertical="bottom"/>
    </x:xf>
    <x:xf numFmtId="200" fontId="27" fillId="4" borderId="19" xfId="0" applyAlignment="1">
      <x:alignment horizontal="center" vertical="bottom"/>
    </x:xf>
    <x:xf numFmtId="200" fontId="27" fillId="17" borderId="6" xfId="0" applyAlignment="1">
      <x:alignment horizontal="center" vertical="bottom"/>
    </x:xf>
    <x:xf numFmtId="200" fontId="27" fillId="4" borderId="20" xfId="0" applyAlignment="1">
      <x:alignment horizontal="center" vertical="bottom"/>
    </x:xf>
    <x:xf numFmtId="200" fontId="27" fillId="4" borderId="25" xfId="0" applyAlignment="1">
      <x:alignment horizontal="center" vertical="bottom"/>
    </x:xf>
    <x:xf numFmtId="200" fontId="27" fillId="4" borderId="26" xfId="0" applyAlignment="1">
      <x:alignment vertical="bottom"/>
    </x:xf>
    <x:xf numFmtId="200" fontId="29" fillId="4" borderId="27" xfId="0" applyAlignment="1">
      <x:alignment horizontal="center" vertical="bottom"/>
    </x:xf>
    <x:xf numFmtId="200" fontId="29" fillId="4" borderId="26" xfId="0" applyAlignment="1">
      <x:alignment horizontal="center" vertical="bottom"/>
    </x:xf>
    <x:xf numFmtId="200" fontId="29" fillId="4" borderId="22" xfId="0" applyAlignment="1">
      <x:alignment horizontal="center" vertical="bottom"/>
    </x:xf>
    <x:xf numFmtId="178" fontId="26" fillId="4" borderId="22" xfId="0" applyAlignment="1">
      <x:alignment vertical="bottom"/>
    </x:xf>
    <x:xf numFmtId="200" fontId="27" fillId="4" borderId="3" xfId="0" applyAlignment="1">
      <x:alignment horizontal="center" vertical="bottom"/>
    </x:xf>
    <x:xf numFmtId="200" fontId="27" fillId="4" borderId="23" xfId="0" applyAlignment="1">
      <x:alignment horizontal="center" vertical="bottom"/>
    </x:xf>
    <x:xf numFmtId="200" fontId="27" fillId="7" borderId="6" xfId="0" applyAlignment="1">
      <x:alignment horizontal="center" vertical="bottom"/>
    </x:xf>
    <x:xf numFmtId="200" fontId="27" fillId="4" borderId="24" xfId="0" applyAlignment="1">
      <x:alignment horizontal="center" vertical="bottom"/>
    </x:xf>
    <x:xf numFmtId="200" fontId="29" fillId="4" borderId="22" xfId="0" applyAlignment="1">
      <x:alignment vertical="bottom"/>
    </x:xf>
    <x:xf numFmtId="200" fontId="27" fillId="4" borderId="21" xfId="0" applyAlignment="1">
      <x:alignment horizontal="center" vertical="bottom"/>
    </x:xf>
    <x:xf numFmtId="200" fontId="0" fillId="4" borderId="23" xfId="0" applyAlignment="1">
      <x:alignment vertical="bottom"/>
    </x:xf>
    <x:xf numFmtId="200" fontId="0" fillId="19" borderId="6" xfId="0" applyAlignment="1">
      <x:alignment vertical="bottom"/>
    </x:xf>
    <x:xf numFmtId="178" fontId="30" fillId="4" borderId="22" xfId="0" applyAlignment="1">
      <x:alignment vertical="bottom"/>
    </x:xf>
    <x:xf numFmtId="200" fontId="27" fillId="4" borderId="91" xfId="0" applyAlignment="1">
      <x:alignment vertical="bottom"/>
    </x:xf>
    <x:xf numFmtId="200" fontId="27" fillId="4" borderId="92" xfId="0" applyAlignment="1">
      <x:alignment vertical="bottom"/>
    </x:xf>
    <x:xf numFmtId="200" fontId="26" fillId="4" borderId="22" xfId="0" applyAlignment="1">
      <x:alignment vertical="bottom"/>
    </x:xf>
    <x:xf numFmtId="200" fontId="27" fillId="4" borderId="93" xfId="0" applyAlignment="1">
      <x:alignment vertical="bottom"/>
    </x:xf>
    <x:xf numFmtId="201" fontId="26" fillId="4" borderId="22" xfId="0" applyAlignment="1">
      <x:alignment vertical="bottom"/>
    </x:xf>
    <x:xf numFmtId="200" fontId="27" fillId="19" borderId="6" xfId="0" applyAlignment="1">
      <x:alignment vertical="bottom"/>
    </x:xf>
    <x:xf numFmtId="200" fontId="27" fillId="19" borderId="6" xfId="0" applyAlignment="1">
      <x:alignment horizontal="center" vertical="bottom"/>
    </x:xf>
    <x:xf numFmtId="176" fontId="30" fillId="4" borderId="22" xfId="0" applyAlignment="1">
      <x:alignment vertical="bottom"/>
    </x:xf>
    <x:xf numFmtId="178" fontId="26" fillId="4" borderId="22" xfId="0" applyAlignment="1">
      <x:alignment horizontal="center" vertical="bottom"/>
    </x:xf>
    <x:xf numFmtId="201" fontId="30" fillId="4" borderId="22" xfId="0" applyAlignment="1">
      <x:alignment vertical="bottom"/>
    </x:xf>
    <x:xf numFmtId="178" fontId="26" fillId="4" borderId="91" xfId="0" applyAlignment="1">
      <x:alignment horizontal="center" vertical="bottom"/>
    </x:xf>
    <x:xf numFmtId="178" fontId="26" fillId="17" borderId="39" xfId="0" applyAlignment="1">
      <x:alignment horizontal="center" vertical="center"/>
    </x:xf>
    <x:xf numFmtId="178" fontId="26" fillId="4" borderId="94" xfId="0" applyAlignment="1">
      <x:alignment horizontal="center" vertical="bottom"/>
    </x:xf>
    <x:xf numFmtId="201" fontId="26" fillId="4" borderId="87" xfId="0" applyAlignment="1">
      <x:alignment vertical="bottom"/>
    </x:xf>
    <x:xf numFmtId="201" fontId="26" fillId="4" borderId="26" xfId="0" applyAlignment="1">
      <x:alignment vertical="bottom"/>
    </x:xf>
    <x:xf numFmtId="201" fontId="30" fillId="4" borderId="87" xfId="0" applyAlignment="1">
      <x:alignment vertical="bottom"/>
    </x:xf>
    <x:xf numFmtId="201" fontId="30" fillId="4" borderId="87" xfId="0" applyAlignment="1">
      <x:alignment horizontal="center" vertical="bottom"/>
    </x:xf>
    <x:xf numFmtId="176" fontId="26" fillId="4" borderId="22" xfId="0" applyAlignment="1">
      <x:alignment vertical="bottom"/>
    </x:xf>
    <x:xf numFmtId="201" fontId="26" fillId="4" borderId="87" xfId="0" applyAlignment="1">
      <x:alignment horizontal="center" vertical="bottom"/>
    </x:xf>
    <x:xf numFmtId="201" fontId="26" fillId="4" borderId="92" xfId="0" applyAlignment="1">
      <x:alignment vertical="bottom"/>
    </x:xf>
    <x:xf numFmtId="201" fontId="26" fillId="4" borderId="92" xfId="0" applyAlignment="1">
      <x:alignment horizontal="center" vertical="bottom"/>
    </x:xf>
    <x:xf numFmtId="201" fontId="26" fillId="4" borderId="82" xfId="0" applyAlignment="1">
      <x:alignment vertical="bottom"/>
    </x:xf>
    <x:xf numFmtId="201" fontId="26" fillId="4" borderId="86" xfId="0" applyAlignment="1">
      <x:alignment vertical="bottom"/>
    </x:xf>
    <x:xf numFmtId="0" fontId="0" fillId="0" borderId="129" xfId="0"/>
    <x:xf numFmtId="0" fontId="0" fillId="0" borderId="98" xfId="0"/>
    <x:xf numFmtId="186" fontId="7" fillId="4" borderId="84" xfId="0" applyAlignment="1">
      <x:alignment horizontal="center" vertical="bottom"/>
    </x:xf>
    <x:xf numFmtId="186" fontId="7" fillId="4" borderId="104" xfId="0" applyAlignment="1">
      <x:alignment horizontal="center" vertical="bottom"/>
    </x:xf>
    <x:xf numFmtId="178" fontId="7" fillId="4" borderId="22" xfId="0" applyAlignment="1">
      <x:alignment vertical="bottom"/>
    </x:xf>
    <x:xf numFmtId="186" fontId="7" fillId="4" borderId="85" xfId="0" applyAlignment="1">
      <x:alignment horizontal="center" vertical="bottom"/>
    </x:xf>
    <x:xf numFmtId="186" fontId="7" fillId="4" borderId="105" xfId="0" applyAlignment="1">
      <x:alignment horizontal="center" vertical="bottom"/>
    </x:xf>
    <x:xf numFmtId="186" fontId="7" fillId="4" borderId="106" xfId="0" applyAlignment="1">
      <x:alignment horizontal="center" vertical="bottom"/>
    </x:xf>
    <x:xf numFmtId="186" fontId="7" fillId="4" borderId="82" xfId="0" applyAlignment="1">
      <x:alignment horizontal="center" vertical="bottom"/>
    </x:xf>
    <x:xf numFmtId="186" fontId="7" fillId="4" borderId="23" xfId="0" applyAlignment="1">
      <x:alignment horizontal="center" vertical="bottom"/>
    </x:xf>
    <x:xf numFmtId="200" fontId="7" fillId="23" borderId="107" xfId="0" applyAlignment="1">
      <x:alignment horizontal="center" vertical="bottom"/>
    </x:xf>
    <x:xf numFmtId="200" fontId="7" fillId="23" borderId="90" xfId="0" applyAlignment="1">
      <x:alignment horizontal="center" vertical="bottom"/>
    </x:xf>
    <x:xf numFmtId="200" fontId="7" fillId="23" borderId="108" xfId="0" applyAlignment="1">
      <x:alignment horizontal="center" vertical="bottom"/>
    </x:xf>
    <x:xf numFmtId="200" fontId="7" fillId="23" borderId="109" xfId="0" applyAlignment="1">
      <x:alignment horizontal="center" vertical="bottom"/>
    </x:xf>
    <x:xf numFmtId="200" fontId="7" fillId="23" borderId="110" xfId="0" applyAlignment="1">
      <x:alignment horizontal="center" vertical="bottom"/>
    </x:xf>
    <x:xf numFmtId="200" fontId="7" fillId="19" borderId="112" xfId="0" applyAlignment="1">
      <x:alignment horizontal="center" vertical="bottom"/>
    </x:xf>
    <x:xf numFmtId="200" fontId="7" fillId="19" borderId="113" xfId="0" applyAlignment="1">
      <x:alignment horizontal="center" vertical="bottom"/>
    </x:xf>
    <x:xf numFmtId="200" fontId="7" fillId="19" borderId="114" xfId="0" applyAlignment="1">
      <x:alignment horizontal="center" vertical="bottom"/>
    </x:xf>
    <x:xf numFmtId="200" fontId="7" fillId="19" borderId="90" xfId="0" applyAlignment="1">
      <x:alignment horizontal="center" vertical="bottom"/>
    </x:xf>
    <x:xf numFmtId="200" fontId="7" fillId="19" borderId="84" xfId="0" applyAlignment="1">
      <x:alignment horizontal="center" vertical="bottom"/>
    </x:xf>
    <x:xf numFmtId="200" fontId="7" fillId="23" borderId="105" xfId="0" applyAlignment="1">
      <x:alignment horizontal="center" vertical="bottom"/>
    </x:xf>
    <x:xf numFmtId="200" fontId="7" fillId="4" borderId="22" xfId="0" applyAlignment="1">
      <x:alignment horizontal="center" vertical="bottom"/>
    </x:xf>
    <x:xf numFmtId="200" fontId="24" fillId="4" borderId="22" xfId="0" applyAlignment="1">
      <x:alignment horizontal="center" vertical="bottom"/>
    </x:xf>
    <x:xf numFmtId="178" fontId="7" fillId="4" borderId="82" xfId="0" applyAlignment="1">
      <x:alignment horizontal="center" vertical="bottom"/>
    </x:xf>
    <x:xf numFmtId="0" fontId="0" fillId="0" borderId="334" xfId="0"/>
    <x:xf numFmtId="201" fontId="7" fillId="4" borderId="121" xfId="0" applyAlignment="1">
      <x:alignment horizontal="center" vertical="bottom"/>
    </x:xf>
    <x:xf numFmtId="0" fontId="0" fillId="0" borderId="83" xfId="0"/>
    <x:xf numFmtId="201" fontId="7" fillId="4" borderId="22" xfId="0" applyAlignment="1">
      <x:alignment horizontal="center" vertical="bottom"/>
    </x:xf>
    <x:xf numFmtId="178" fontId="7" fillId="4" borderId="122" xfId="0" applyAlignment="1">
      <x:alignment horizontal="center" vertical="bottom"/>
    </x:xf>
    <x:xf numFmtId="0" fontId="0" fillId="0" borderId="336" xfId="0"/>
    <x:xf numFmtId="178" fontId="7" fillId="4" borderId="84" xfId="0" applyAlignment="1">
      <x:alignment horizontal="center" vertical="bottom"/>
    </x:xf>
    <x:xf numFmtId="178" fontId="7" fillId="4" borderId="116" xfId="0" applyAlignment="1">
      <x:alignment horizontal="center" vertical="bottom"/>
    </x:xf>
    <x:xf numFmtId="178" fontId="7" fillId="4" borderId="86" xfId="0" applyAlignment="1">
      <x:alignment horizontal="center" vertical="bottom"/>
    </x:xf>
    <x:xf numFmtId="178" fontId="7" fillId="4" borderId="22" xfId="0" applyAlignment="1">
      <x:alignment horizontal="center" vertical="bottom"/>
    </x:xf>
    <x:xf numFmtId="178" fontId="7" fillId="4" borderId="91" xfId="0" applyAlignment="1">
      <x:alignment horizontal="center" vertical="bottom"/>
    </x:xf>
    <x:xf numFmtId="178" fontId="7" fillId="18" borderId="103" xfId="0" applyAlignment="1">
      <x:alignment horizontal="center" vertical="bottom"/>
    </x:xf>
    <x:xf numFmtId="178" fontId="7" fillId="17" borderId="97" xfId="0" applyAlignment="1">
      <x:alignment horizontal="center" vertical="bottom"/>
    </x:xf>
    <x:xf numFmtId="178" fontId="7" fillId="17" borderId="129" xfId="0" applyAlignment="1">
      <x:alignment horizontal="center" vertical="bottom"/>
    </x:xf>
    <x:xf numFmtId="178" fontId="7" fillId="4" borderId="118" xfId="0" applyAlignment="1">
      <x:alignment horizontal="center" vertical="bottom"/>
    </x:xf>
    <x:xf numFmtId="178" fontId="7" fillId="4" borderId="120" xfId="0" applyAlignment="1">
      <x:alignment horizontal="center" vertical="bottom"/>
    </x:xf>
    <x:xf numFmtId="178" fontId="7" fillId="4" borderId="96" xfId="0" applyAlignment="1">
      <x:alignment horizontal="center" vertical="bottom"/>
    </x:xf>
    <x:xf numFmtId="178" fontId="7" fillId="4" borderId="121" xfId="0" applyAlignment="1">
      <x:alignment horizontal="center" vertical="bottom"/>
    </x:xf>
    <x:xf numFmtId="178" fontId="7" fillId="4" borderId="89" xfId="0" applyAlignment="1">
      <x:alignment horizontal="center" vertical="bottom"/>
    </x:xf>
    <x:xf numFmtId="178" fontId="24" fillId="4" borderId="133" xfId="0" applyAlignment="1">
      <x:alignment horizontal="center" vertical="bottom"/>
    </x:xf>
    <x:xf numFmtId="178" fontId="24" fillId="4" borderId="135" xfId="0" applyAlignment="1">
      <x:alignment horizontal="center" vertical="bottom"/>
    </x:xf>
    <x:xf numFmtId="178" fontId="7" fillId="4" borderId="121" xfId="0" applyAlignment="1">
      <x:alignment horizontal="center" vertical="center"/>
    </x:xf>
    <x:xf numFmtId="178" fontId="7" fillId="23" borderId="84" xfId="0" applyAlignment="1">
      <x:alignment horizontal="center" vertical="bottom"/>
    </x:xf>
    <x:xf numFmtId="201" fontId="7" fillId="4" borderId="84" xfId="0" applyAlignment="1">
      <x:alignment horizontal="center" vertical="center"/>
    </x:xf>
    <x:xf numFmtId="0" fontId="0" fillId="0" borderId="114" xfId="0"/>
    <x:xf numFmtId="178" fontId="1" fillId="4" borderId="22" xfId="0" applyAlignment="1">
      <x:alignment horizontal="center" vertical="bottom"/>
    </x:xf>
    <x:xf numFmtId="178" fontId="24" fillId="4" borderId="22" xfId="0" applyAlignment="1">
      <x:alignment horizontal="center" vertical="bottom"/>
    </x:xf>
    <x:xf numFmtId="186" fontId="1" fillId="24" borderId="105" xfId="0" applyAlignment="1">
      <x:alignment horizontal="center" vertical="center"/>
    </x:xf>
    <x:xf numFmtId="200" fontId="1" fillId="4" borderId="87" xfId="0" applyAlignment="1">
      <x:alignment horizontal="right" vertical="bottom"/>
    </x:xf>
    <x:xf numFmtId="200" fontId="1" fillId="4" borderId="87" xfId="0" applyAlignment="1">
      <x:alignment vertical="bottom"/>
    </x:xf>
    <x:xf numFmtId="200" fontId="1" fillId="4" borderId="146" xfId="0" applyAlignment="1">
      <x:alignment horizontal="right" vertical="bottom"/>
    </x:xf>
    <x:xf numFmtId="201" fontId="1" fillId="4" borderId="147" xfId="0" applyAlignment="1">
      <x:alignment vertical="bottom"/>
    </x:xf>
    <x:xf numFmtId="201" fontId="3" fillId="4" borderId="101" xfId="0" applyAlignment="1">
      <x:alignment vertical="bottom"/>
    </x:xf>
    <x:xf numFmtId="170" fontId="3" fillId="18" borderId="84" xfId="0" applyAlignment="1">
      <x:alignment horizontal="center" vertical="bottom"/>
    </x:xf>
    <x:xf numFmtId="200" fontId="1" fillId="18" borderId="139" xfId="0" applyAlignment="1">
      <x:alignment horizontal="right" vertical="bottom"/>
    </x:xf>
    <x:xf numFmtId="200" fontId="1" fillId="18" borderId="149" xfId="0" applyAlignment="1">
      <x:alignment vertical="bottom"/>
    </x:xf>
    <x:xf numFmtId="170" fontId="3" fillId="23" borderId="151" xfId="0" applyAlignment="1">
      <x:alignment horizontal="center" vertical="bottom"/>
    </x:xf>
    <x:xf numFmtId="200" fontId="1" fillId="4" borderId="140" xfId="0" applyAlignment="1">
      <x:alignment horizontal="right" vertical="bottom"/>
    </x:xf>
    <x:xf numFmtId="200" fontId="36" fillId="22" borderId="140" xfId="0" applyAlignment="1">
      <x:alignment horizontal="right" vertical="bottom"/>
    </x:xf>
    <x:xf numFmtId="200" fontId="1" fillId="22" borderId="87" xfId="0" applyAlignment="1">
      <x:alignment vertical="bottom"/>
    </x:xf>
    <x:xf numFmtId="200" fontId="36" fillId="4" borderId="140" xfId="0" applyAlignment="1">
      <x:alignment horizontal="right" vertical="bottom"/>
    </x:xf>
    <x:xf numFmtId="200" fontId="3" fillId="4" borderId="101" xfId="0" applyAlignment="1">
      <x:alignment vertical="bottom"/>
    </x:xf>
    <x:xf numFmtId="200" fontId="1" fillId="22" borderId="140" xfId="0" applyAlignment="1">
      <x:alignment horizontal="right" vertical="bottom"/>
    </x:xf>
    <x:xf numFmtId="200" fontId="1" fillId="22" borderId="8" xfId="0" applyAlignment="1">
      <x:alignment vertical="bottom"/>
    </x:xf>
    <x:xf numFmtId="170" fontId="3" fillId="23" borderId="84" xfId="0" applyAlignment="1">
      <x:alignment horizontal="center" vertical="bottom"/>
    </x:xf>
    <x:xf numFmtId="200" fontId="34" fillId="4" borderId="87" xfId="0" applyAlignment="1">
      <x:alignment horizontal="right" vertical="bottom"/>
    </x:xf>
    <x:xf numFmtId="200" fontId="34" fillId="17" borderId="87" xfId="0" applyAlignment="1">
      <x:alignment vertical="bottom"/>
    </x:xf>
    <x:xf numFmtId="200" fontId="34" fillId="4" borderId="87" xfId="0" applyAlignment="1">
      <x:alignment vertical="bottom"/>
    </x:xf>
    <x:xf numFmtId="201" fontId="34" fillId="5" borderId="87" xfId="0" applyAlignment="1">
      <x:alignment horizontal="center" vertical="bottom"/>
    </x:xf>
    <x:xf numFmtId="0" fontId="0" fillId="0" borderId="9" xfId="0"/>
    <x:xf numFmtId="0" fontId="0" fillId="0" borderId="10" xfId="0"/>
    <x:xf numFmtId="201" fontId="38" fillId="4" borderId="160" xfId="0" applyAlignment="1">
      <x:alignment horizontal="right" vertical="bottom"/>
    </x:xf>
    <x:xf numFmtId="0" fontId="0" fillId="0" borderId="164" xfId="0"/>
    <x:xf numFmtId="0" fontId="0" fillId="0" borderId="337" xfId="0"/>
    <x:xf numFmtId="200" fontId="7" fillId="17" borderId="168" xfId="0" applyAlignment="1">
      <x:alignment horizontal="right" vertical="bottom"/>
    </x:xf>
    <x:xf numFmtId="200" fontId="7" fillId="18" borderId="168" xfId="0" applyAlignment="1">
      <x:alignment horizontal="right" vertical="bottom"/>
    </x:xf>
    <x:xf numFmtId="200" fontId="7" fillId="4" borderId="170" xfId="0" applyAlignment="1">
      <x:alignment horizontal="right" vertical="bottom"/>
    </x:xf>
    <x:xf numFmtId="202" fontId="7" fillId="17" borderId="168" xfId="0" applyAlignment="1">
      <x:alignment horizontal="right" vertical="bottom"/>
    </x:xf>
    <x:xf numFmtId="203" fontId="7" fillId="18" borderId="168" xfId="0" applyAlignment="1">
      <x:alignment horizontal="right" vertical="bottom"/>
    </x:xf>
    <x:xf numFmtId="203" fontId="7" fillId="4" borderId="170" xfId="0" applyAlignment="1">
      <x:alignment horizontal="right" vertical="bottom"/>
    </x:xf>
    <x:xf numFmtId="203" fontId="7" fillId="17" borderId="168" xfId="0" applyAlignment="1">
      <x:alignment horizontal="right" vertical="bottom"/>
    </x:xf>
    <x:xf numFmtId="0" fontId="0" fillId="0" borderId="103" xfId="0"/>
    <x:xf numFmtId="200" fontId="7" fillId="4" borderId="174" xfId="0" applyAlignment="1">
      <x:alignment horizontal="right" vertical="bottom"/>
    </x:xf>
    <x:xf numFmtId="178" fontId="7" fillId="18" borderId="84" xfId="0" applyAlignment="1">
      <x:alignment horizontal="center" vertical="bottom"/>
    </x:xf>
    <x:xf numFmtId="181" fontId="7" fillId="17" borderId="168" xfId="0" applyAlignment="1">
      <x:alignment horizontal="right" vertical="bottom"/>
    </x:xf>
    <x:xf numFmtId="181" fontId="40" fillId="4" borderId="165" xfId="0" applyAlignment="1">
      <x:alignment horizontal="right" vertical="bottom"/>
    </x:xf>
    <x:xf numFmtId="200" fontId="40" fillId="4" borderId="165" xfId="0" applyAlignment="1">
      <x:alignment horizontal="right" vertical="bottom"/>
    </x:xf>
    <x:xf numFmtId="181" fontId="40" fillId="4" borderId="6" xfId="0" applyAlignment="1">
      <x:alignment horizontal="right" vertical="bottom"/>
    </x:xf>
    <x:xf numFmtId="204" fontId="40" fillId="4" borderId="6" xfId="0" applyAlignment="1">
      <x:alignment horizontal="right" vertical="bottom"/>
    </x:xf>
    <x:xf numFmtId="184" fontId="40" fillId="4" borderId="6" xfId="0" applyAlignment="1">
      <x:alignment horizontal="right" vertical="bottom"/>
    </x:xf>
    <x:xf numFmtId="204" fontId="40" fillId="4" borderId="182" xfId="0" applyAlignment="1">
      <x:alignment horizontal="right" vertical="bottom"/>
    </x:xf>
    <x:xf numFmtId="181" fontId="40" fillId="4" borderId="103" xfId="0" applyAlignment="1">
      <x:alignment horizontal="right" vertical="bottom"/>
    </x:xf>
    <x:xf numFmtId="204" fontId="40" fillId="4" borderId="103" xfId="0" applyAlignment="1">
      <x:alignment horizontal="right" vertical="bottom"/>
    </x:xf>
    <x:xf numFmtId="184" fontId="40" fillId="4" borderId="103" xfId="0" applyAlignment="1">
      <x:alignment horizontal="right" vertical="bottom"/>
    </x:xf>
    <x:xf numFmtId="204" fontId="40" fillId="4" borderId="186" xfId="0" applyAlignment="1">
      <x:alignment horizontal="right" vertical="bottom"/>
    </x:xf>
    <x:xf numFmtId="181" fontId="40" fillId="4" borderId="129" xfId="0" applyAlignment="1">
      <x:alignment horizontal="right" vertical="bottom"/>
    </x:xf>
    <x:xf numFmtId="204" fontId="40" fillId="4" borderId="129" xfId="0" applyAlignment="1">
      <x:alignment horizontal="right" vertical="bottom"/>
    </x:xf>
    <x:xf numFmtId="184" fontId="40" fillId="4" borderId="129" xfId="0" applyAlignment="1">
      <x:alignment horizontal="right" vertical="bottom"/>
    </x:xf>
    <x:xf numFmtId="204" fontId="40" fillId="4" borderId="98" xfId="0" applyAlignment="1">
      <x:alignment horizontal="right" vertical="bottom"/>
    </x:xf>
    <x:xf numFmtId="204" fontId="40" fillId="4" borderId="84" xfId="0" applyAlignment="1">
      <x:alignment horizontal="right" vertical="bottom"/>
    </x:xf>
    <x:xf numFmtId="200" fontId="7" fillId="4" borderId="84" xfId="0" applyAlignment="1">
      <x:alignment horizontal="center" vertical="bottom"/>
    </x:xf>
    <x:xf numFmtId="200" fontId="7" fillId="4" borderId="22" xfId="0" applyAlignment="1">
      <x:alignment vertical="bottom"/>
    </x:xf>
    <x:xf numFmtId="181" fontId="40" fillId="4" borderId="177" xfId="0" applyAlignment="1">
      <x:alignment horizontal="right" vertical="bottom"/>
    </x:xf>
    <x:xf numFmtId="204" fontId="40" fillId="4" borderId="177" xfId="0" applyAlignment="1">
      <x:alignment horizontal="right" vertical="bottom"/>
    </x:xf>
    <x:xf numFmtId="184" fontId="40" fillId="4" borderId="177" xfId="0" applyAlignment="1">
      <x:alignment horizontal="right" vertical="bottom"/>
    </x:xf>
    <x:xf numFmtId="200" fontId="7" fillId="4" borderId="183" xfId="0" applyAlignment="1">
      <x:alignment horizontal="center" vertical="bottom"/>
    </x:xf>
    <x:xf numFmtId="0" fontId="0" fillId="0" borderId="183" xfId="0"/>
    <x:xf numFmtId="200" fontId="7" fillId="4" borderId="181" xfId="0" applyAlignment="1">
      <x:alignment horizontal="center" vertical="bottom"/>
    </x:xf>
    <x:xf numFmtId="0" fontId="0" fillId="0" borderId="181" xfId="0"/>
    <x:xf numFmtId="200" fontId="7" fillId="4" borderId="115" xfId="0" applyAlignment="1">
      <x:alignment vertical="bottom"/>
    </x:xf>
    <x:xf numFmtId="200" fontId="7" fillId="0" borderId="22" xfId="0" applyAlignment="1">
      <x:alignment horizontal="center" vertical="bottom"/>
    </x:xf>
    <x:xf numFmtId="186" fontId="7" fillId="4" borderId="22" xfId="0" applyAlignment="1">
      <x:alignment horizontal="center" vertical="bottom"/>
    </x:xf>
    <x:xf numFmtId="178" fontId="7" fillId="4" borderId="82" xfId="0" applyAlignment="1">
      <x:alignment horizontal="center" vertical="center"/>
    </x:xf>
    <x:xf numFmtId="181" fontId="7" fillId="4" borderId="115" xfId="0" applyAlignment="1">
      <x:alignment horizontal="center" vertical="bottom"/>
    </x:xf>
    <x:xf numFmtId="178" fontId="7" fillId="4" borderId="117" xfId="0" applyAlignment="1">
      <x:alignment horizontal="center" vertical="center"/>
    </x:xf>
    <x:xf numFmtId="178" fontId="7" fillId="4" borderId="117" xfId="0" applyAlignment="1">
      <x:alignment horizontal="center" vertical="bottom"/>
    </x:xf>
    <x:xf numFmtId="181" fontId="7" fillId="4" borderId="82" xfId="0" applyAlignment="1">
      <x:alignment horizontal="center" vertical="bottom"/>
    </x:xf>
    <x:xf numFmtId="0" fontId="0" fillId="0" borderId="108" xfId="0"/>
    <x:xf numFmtId="0" fontId="0" fillId="0" borderId="151" xfId="0"/>
    <x:xf numFmtId="178" fontId="7" fillId="29" borderId="151" xfId="0" applyAlignment="1">
      <x:alignment horizontal="center" vertical="bottom"/>
    </x:xf>
    <x:xf numFmtId="178" fontId="7" fillId="29" borderId="177" xfId="0" applyAlignment="1">
      <x:alignment horizontal="center" vertical="bottom"/>
    </x:xf>
    <x:xf numFmtId="178" fontId="7" fillId="29" borderId="6" xfId="0" applyAlignment="1">
      <x:alignment horizontal="center" vertical="bottom"/>
    </x:xf>
    <x:xf numFmtId="178" fontId="7" fillId="29" borderId="114" xfId="0" applyAlignment="1">
      <x:alignment horizontal="center" vertical="bottom"/>
    </x:xf>
    <x:xf numFmtId="178" fontId="7" fillId="29" borderId="114" xfId="0" applyAlignment="1">
      <x:alignment vertical="bottom"/>
    </x:xf>
    <x:xf numFmtId="0" fontId="0" fillId="0" borderId="186" xfId="0"/>
    <x:xf numFmtId="178" fontId="7" fillId="29" borderId="90" xfId="0" applyAlignment="1">
      <x:alignment horizontal="center" vertical="bottom"/>
    </x:xf>
    <x:xf numFmtId="178" fontId="7" fillId="29" borderId="182" xfId="0" applyAlignment="1">
      <x:alignment horizontal="center" vertical="bottom"/>
    </x:xf>
    <x:xf numFmtId="178" fontId="7" fillId="29" borderId="90" xfId="0" applyAlignment="1">
      <x:alignment horizontal="center" vertical="center"/>
    </x:xf>
    <x:xf numFmtId="178" fontId="7" fillId="29" borderId="98" xfId="0" applyAlignment="1">
      <x:alignment horizontal="center" vertical="center"/>
    </x:xf>
    <x:xf numFmtId="178" fontId="7" fillId="29" borderId="186" xfId="0" applyAlignment="1">
      <x:alignment horizontal="center" vertical="bottom"/>
    </x:xf>
    <x:xf numFmtId="178" fontId="7" fillId="29" borderId="103" xfId="0" applyAlignment="1">
      <x:alignment horizontal="center" vertical="bottom"/>
    </x:xf>
    <x:xf numFmtId="178" fontId="7" fillId="4" borderId="25" xfId="0" applyAlignment="1">
      <x:alignment horizontal="center" vertical="bottom"/>
    </x:xf>
    <x:xf numFmtId="178" fontId="7" fillId="4" borderId="28" xfId="0" applyAlignment="1">
      <x:alignment horizontal="center" vertical="bottom"/>
    </x:xf>
    <x:xf numFmtId="0" fontId="0" fillId="0" borderId="182" xfId="0"/>
    <x:xf numFmtId="178" fontId="7" fillId="4" borderId="127" xfId="0" applyAlignment="1">
      <x:alignment horizontal="center" vertical="center"/>
    </x:xf>
    <x:xf numFmtId="200" fontId="27" fillId="4" borderId="115" xfId="0" applyAlignment="1">
      <x:alignment vertical="bottom"/>
    </x:xf>
    <x:xf numFmtId="200" fontId="27" fillId="4" borderId="116" xfId="0" applyAlignment="1">
      <x:alignment horizontal="center" vertical="bottom"/>
    </x:xf>
    <x:xf numFmtId="178" fontId="27" fillId="4" borderId="117" xfId="0" applyAlignment="1">
      <x:alignment horizontal="center" vertical="center"/>
    </x:xf>
    <x:xf numFmtId="200" fontId="27" fillId="4" borderId="115" xfId="0" applyAlignment="1">
      <x:alignment horizontal="center" vertical="center"/>
    </x:xf>
    <x:xf numFmtId="200" fontId="27" fillId="4" borderId="116" xfId="0" applyAlignment="1">
      <x:alignment horizontal="center" vertical="center"/>
    </x:xf>
    <x:xf numFmtId="200" fontId="27" fillId="4" borderId="117" xfId="0" applyAlignment="1">
      <x:alignment horizontal="center" vertical="bottom"/>
    </x:xf>
    <x:xf numFmtId="178" fontId="27" fillId="4" borderId="117" xfId="0" applyAlignment="1">
      <x:alignment horizontal="center" vertical="bottom"/>
    </x:xf>
    <x:xf numFmtId="178" fontId="27" fillId="4" borderId="116" xfId="0" applyAlignment="1">
      <x:alignment horizontal="center" vertical="bottom"/>
    </x:xf>
    <x:xf numFmtId="200" fontId="27" fillId="4" borderId="116" xfId="0" applyAlignment="1">
      <x:alignment vertical="bottom"/>
    </x:xf>
    <x:xf numFmtId="200" fontId="27" fillId="4" borderId="118" xfId="0" applyAlignment="1">
      <x:alignment vertical="bottom"/>
    </x:xf>
    <x:xf numFmtId="200" fontId="27" fillId="4" borderId="86" xfId="0" applyAlignment="1">
      <x:alignment horizontal="center" vertical="bottom"/>
    </x:xf>
    <x:xf numFmtId="178" fontId="27" fillId="4" borderId="120" xfId="0" applyAlignment="1">
      <x:alignment horizontal="center" vertical="center"/>
    </x:xf>
    <x:xf numFmtId="200" fontId="27" fillId="4" borderId="118" xfId="0" applyAlignment="1">
      <x:alignment horizontal="center" vertical="center"/>
    </x:xf>
    <x:xf numFmtId="200" fontId="27" fillId="4" borderId="86" xfId="0" applyAlignment="1">
      <x:alignment horizontal="center" vertical="center"/>
    </x:xf>
    <x:xf numFmtId="200" fontId="27" fillId="4" borderId="120" xfId="0" applyAlignment="1">
      <x:alignment horizontal="center" vertical="bottom"/>
    </x:xf>
    <x:xf numFmtId="178" fontId="27" fillId="4" borderId="120" xfId="0" applyAlignment="1">
      <x:alignment horizontal="center" vertical="bottom"/>
    </x:xf>
    <x:xf numFmtId="178" fontId="27" fillId="4" borderId="86" xfId="0" applyAlignment="1">
      <x:alignment horizontal="center" vertical="bottom"/>
    </x:xf>
    <x:xf numFmtId="200" fontId="27" fillId="4" borderId="86" xfId="0" applyAlignment="1">
      <x:alignment vertical="bottom"/>
    </x:xf>
    <x:xf numFmtId="200" fontId="7" fillId="4" borderId="85" xfId="0" applyAlignment="1">
      <x:alignment vertical="bottom"/>
    </x:xf>
    <x:xf numFmtId="200" fontId="7" fillId="4" borderId="85" xfId="0" applyAlignment="1">
      <x:alignment horizontal="center" vertical="center"/>
    </x:xf>
    <x:xf numFmtId="178" fontId="7" fillId="4" borderId="96" xfId="0" applyAlignment="1">
      <x:alignment vertical="bottom"/>
    </x:xf>
    <x:xf numFmtId="178" fontId="27" fillId="4" borderId="96" xfId="0" applyAlignment="1">
      <x:alignment horizontal="center" vertical="center"/>
    </x:xf>
    <x:xf numFmtId="200" fontId="27" fillId="4" borderId="85" xfId="0" applyAlignment="1">
      <x:alignment horizontal="center" vertical="center"/>
    </x:xf>
    <x:xf numFmtId="200" fontId="27" fillId="4" borderId="85" xfId="0" applyAlignment="1">
      <x:alignment vertical="bottom"/>
    </x:xf>
    <x:xf numFmtId="178" fontId="27" fillId="4" borderId="96" xfId="0" applyAlignment="1">
      <x:alignment horizontal="center" vertical="bottom"/>
    </x:xf>
    <x:xf numFmtId="178" fontId="27" fillId="4" borderId="22" xfId="0" applyAlignment="1">
      <x:alignment horizontal="center" vertical="bottom"/>
    </x:xf>
    <x:xf numFmtId="178" fontId="24" fillId="4" borderId="96" xfId="0" applyAlignment="1">
      <x:alignment vertical="bottom"/>
    </x:xf>
    <x:xf numFmtId="200" fontId="24" fillId="4" borderId="85" xfId="0" applyAlignment="1">
      <x:alignment vertical="bottom"/>
    </x:xf>
    <x:xf numFmtId="205" fontId="27" fillId="4" borderId="85" xfId="0" applyAlignment="1">
      <x:alignment horizontal="center" vertical="center"/>
    </x:xf>
    <x:xf numFmtId="205" fontId="27" fillId="4" borderId="85" xfId="0" applyAlignment="1">
      <x:alignment vertical="bottom"/>
    </x:xf>
    <x:xf numFmtId="200" fontId="24" fillId="4" borderId="22" xfId="0" applyAlignment="1">
      <x:alignment vertical="bottom"/>
    </x:xf>
    <x:xf numFmtId="200" fontId="24" fillId="4" borderId="123" xfId="0" applyAlignment="1">
      <x:alignment vertical="bottom"/>
    </x:xf>
    <x:xf numFmtId="178" fontId="7" fillId="4" borderId="124" xfId="0" applyAlignment="1">
      <x:alignment horizontal="center" vertical="center"/>
    </x:xf>
    <x:xf numFmtId="205" fontId="27" fillId="4" borderId="123" xfId="0" applyAlignment="1">
      <x:alignment horizontal="center" vertical="center"/>
    </x:xf>
    <x:xf numFmtId="205" fontId="27" fillId="4" borderId="123" xfId="0" applyAlignment="1">
      <x:alignment vertical="bottom"/>
    </x:xf>
    <x:xf numFmtId="178" fontId="27" fillId="4" borderId="124" xfId="0" applyAlignment="1">
      <x:alignment horizontal="center" vertical="bottom"/>
    </x:xf>
    <x:xf numFmtId="178" fontId="27" fillId="4" borderId="82" xfId="0" applyAlignment="1">
      <x:alignment horizontal="center" vertical="bottom"/>
    </x:xf>
    <x:xf numFmtId="200" fontId="27" fillId="4" borderId="82" xfId="0" applyAlignment="1">
      <x:alignment vertical="bottom"/>
    </x:xf>
    <x:xf numFmtId="200" fontId="7" fillId="18" borderId="97" xfId="0" applyAlignment="1">
      <x:alignment vertical="bottom"/>
    </x:xf>
    <x:xf numFmtId="178" fontId="7" fillId="18" borderId="98" xfId="0" applyAlignment="1">
      <x:alignment horizontal="center" vertical="center"/>
    </x:xf>
    <x:xf numFmtId="200" fontId="7" fillId="18" borderId="97" xfId="0" applyAlignment="1">
      <x:alignment horizontal="center" vertical="center"/>
    </x:xf>
    <x:xf numFmtId="200" fontId="7" fillId="18" borderId="129" xfId="0" applyAlignment="1">
      <x:alignment vertical="bottom"/>
    </x:xf>
    <x:xf numFmtId="178" fontId="7" fillId="18" borderId="129" xfId="0" applyAlignment="1">
      <x:alignment horizontal="center" vertical="bottom"/>
    </x:xf>
    <x:xf numFmtId="200" fontId="27" fillId="4" borderId="134" xfId="0" applyAlignment="1">
      <x:alignment vertical="bottom"/>
    </x:xf>
    <x:xf numFmtId="178" fontId="27" fillId="4" borderId="135" xfId="0" applyAlignment="1">
      <x:alignment horizontal="center" vertical="center"/>
    </x:xf>
    <x:xf numFmtId="200" fontId="27" fillId="4" borderId="189" xfId="0" applyAlignment="1">
      <x:alignment horizontal="center" vertical="center"/>
    </x:xf>
    <x:xf numFmtId="178" fontId="27" fillId="4" borderId="23" xfId="0" applyAlignment="1">
      <x:alignment horizontal="center" vertical="bottom"/>
    </x:xf>
    <x:xf numFmtId="200" fontId="7" fillId="30" borderId="140" xfId="0" applyAlignment="1">
      <x:alignment vertical="bottom"/>
    </x:xf>
    <x:xf numFmtId="178" fontId="27" fillId="30" borderId="195" xfId="0" applyAlignment="1">
      <x:alignment horizontal="center" vertical="center"/>
    </x:xf>
    <x:xf numFmtId="200" fontId="27" fillId="30" borderId="110" xfId="0" applyAlignment="1">
      <x:alignment horizontal="center" vertical="center"/>
    </x:xf>
    <x:xf numFmtId="200" fontId="27" fillId="30" borderId="5" xfId="0" applyAlignment="1">
      <x:alignment vertical="bottom"/>
    </x:xf>
    <x:xf numFmtId="178" fontId="27" fillId="30" borderId="5" xfId="0" applyAlignment="1">
      <x:alignment horizontal="center" vertical="bottom"/>
    </x:xf>
    <x:xf numFmtId="200" fontId="7" fillId="18" borderId="197" xfId="0" applyAlignment="1">
      <x:alignment vertical="bottom"/>
    </x:xf>
    <x:xf numFmtId="178" fontId="7" fillId="18" borderId="199" xfId="0" applyAlignment="1">
      <x:alignment horizontal="center" vertical="center"/>
    </x:xf>
    <x:xf numFmtId="200" fontId="7" fillId="18" borderId="197" xfId="0" applyAlignment="1">
      <x:alignment horizontal="center" vertical="center"/>
    </x:xf>
    <x:xf numFmtId="200" fontId="7" fillId="18" borderId="198" xfId="0" applyAlignment="1">
      <x:alignment vertical="bottom"/>
    </x:xf>
    <x:xf numFmtId="178" fontId="7" fillId="18" borderId="198" xfId="0" applyAlignment="1">
      <x:alignment horizontal="center" vertical="bottom"/>
    </x:xf>
    <x:xf numFmtId="200" fontId="27" fillId="4" borderId="189" xfId="0" applyAlignment="1">
      <x:alignment vertical="bottom"/>
    </x:xf>
    <x:xf numFmtId="178" fontId="27" fillId="4" borderId="125" xfId="0" applyAlignment="1">
      <x:alignment horizontal="center" vertical="center"/>
    </x:xf>
    <x:xf numFmtId="178" fontId="27" fillId="4" borderId="125" xfId="0" applyAlignment="1">
      <x:alignment horizontal="center" vertical="bottom"/>
    </x:xf>
    <x:xf numFmtId="178" fontId="7" fillId="4" borderId="125" xfId="0" applyAlignment="1">
      <x:alignment vertical="bottom"/>
    </x:xf>
    <x:xf numFmtId="200" fontId="7" fillId="30" borderId="90" xfId="0" applyAlignment="1">
      <x:alignment vertical="bottom"/>
    </x:xf>
    <x:xf numFmtId="178" fontId="7" fillId="30" borderId="182" xfId="0" applyAlignment="1">
      <x:alignment horizontal="center" vertical="center"/>
    </x:xf>
    <x:xf numFmtId="200" fontId="7" fillId="30" borderId="90" xfId="0" applyAlignment="1">
      <x:alignment horizontal="center" vertical="center"/>
    </x:xf>
    <x:xf numFmtId="178" fontId="7" fillId="30" borderId="182" xfId="0" applyAlignment="1">
      <x:alignment horizontal="center" vertical="bottom"/>
    </x:xf>
    <x:xf numFmtId="178" fontId="7" fillId="30" borderId="6" xfId="0" applyAlignment="1">
      <x:alignment horizontal="center" vertical="bottom"/>
    </x:xf>
    <x:xf numFmtId="200" fontId="7" fillId="30" borderId="6" xfId="0" applyAlignment="1">
      <x:alignment vertical="bottom"/>
    </x:xf>
    <x:xf numFmtId="178" fontId="24" fillId="26" borderId="182" xfId="0" applyAlignment="1">
      <x:alignment vertical="bottom"/>
    </x:xf>
    <x:xf numFmtId="178" fontId="27" fillId="30" borderId="182" xfId="0" applyAlignment="1">
      <x:alignment horizontal="center" vertical="center"/>
    </x:xf>
    <x:xf numFmtId="200" fontId="27" fillId="30" borderId="90" xfId="0" applyAlignment="1">
      <x:alignment horizontal="center" vertical="center"/>
    </x:xf>
    <x:xf numFmtId="200" fontId="27" fillId="30" borderId="90" xfId="0" applyAlignment="1">
      <x:alignment vertical="bottom"/>
    </x:xf>
    <x:xf numFmtId="178" fontId="27" fillId="30" borderId="182" xfId="0" applyAlignment="1">
      <x:alignment horizontal="center" vertical="bottom"/>
    </x:xf>
    <x:xf numFmtId="178" fontId="27" fillId="30" borderId="6" xfId="0" applyAlignment="1">
      <x:alignment horizontal="center" vertical="bottom"/>
    </x:xf>
    <x:xf numFmtId="200" fontId="27" fillId="30" borderId="6" xfId="0" applyAlignment="1">
      <x:alignment vertical="bottom"/>
    </x:xf>
    <x:xf numFmtId="178" fontId="24" fillId="0" borderId="182" xfId="0" applyAlignment="1">
      <x:alignment vertical="bottom"/>
    </x:xf>
    <x:xf numFmtId="200" fontId="7" fillId="31" borderId="90" xfId="0" applyAlignment="1">
      <x:alignment vertical="bottom"/>
    </x:xf>
    <x:xf numFmtId="178" fontId="27" fillId="31" borderId="182" xfId="0" applyAlignment="1">
      <x:alignment horizontal="center" vertical="center"/>
    </x:xf>
    <x:xf numFmtId="200" fontId="27" fillId="31" borderId="90" xfId="0" applyAlignment="1">
      <x:alignment horizontal="center" vertical="center"/>
    </x:xf>
    <x:xf numFmtId="200" fontId="27" fillId="31" borderId="90" xfId="0" applyAlignment="1">
      <x:alignment vertical="bottom"/>
    </x:xf>
    <x:xf numFmtId="178" fontId="27" fillId="31" borderId="182" xfId="0" applyAlignment="1">
      <x:alignment horizontal="center" vertical="bottom"/>
    </x:xf>
    <x:xf numFmtId="178" fontId="27" fillId="31" borderId="6" xfId="0" applyAlignment="1">
      <x:alignment horizontal="center" vertical="bottom"/>
    </x:xf>
    <x:xf numFmtId="200" fontId="27" fillId="31" borderId="6" xfId="0" applyAlignment="1">
      <x:alignment vertical="bottom"/>
    </x:xf>
    <x:xf numFmtId="200" fontId="7" fillId="31" borderId="110" xfId="0" applyAlignment="1">
      <x:alignment vertical="bottom"/>
    </x:xf>
    <x:xf numFmtId="178" fontId="27" fillId="31" borderId="196" xfId="0" applyAlignment="1">
      <x:alignment horizontal="center" vertical="center"/>
    </x:xf>
    <x:xf numFmtId="200" fontId="27" fillId="31" borderId="110" xfId="0" applyAlignment="1">
      <x:alignment horizontal="center" vertical="center"/>
    </x:xf>
    <x:xf numFmtId="200" fontId="27" fillId="31" borderId="110" xfId="0" applyAlignment="1">
      <x:alignment vertical="bottom"/>
    </x:xf>
    <x:xf numFmtId="178" fontId="27" fillId="31" borderId="196" xfId="0" applyAlignment="1">
      <x:alignment horizontal="center" vertical="bottom"/>
    </x:xf>
    <x:xf numFmtId="178" fontId="27" fillId="31" borderId="5" xfId="0" applyAlignment="1">
      <x:alignment horizontal="center" vertical="bottom"/>
    </x:xf>
    <x:xf numFmtId="200" fontId="27" fillId="31" borderId="5" xfId="0" applyAlignment="1">
      <x:alignment vertical="bottom"/>
    </x:xf>
    <x:xf numFmtId="205" fontId="7" fillId="18" borderId="197" xfId="0" applyAlignment="1">
      <x:alignment horizontal="right" vertical="center"/>
    </x:xf>
    <x:xf numFmtId="178" fontId="7" fillId="18" borderId="199" xfId="0" applyAlignment="1">
      <x:alignment horizontal="center" vertical="bottom"/>
    </x:xf>
    <x:xf numFmtId="200" fontId="27" fillId="4" borderId="130" xfId="0" applyAlignment="1">
      <x:alignment vertical="bottom"/>
    </x:xf>
    <x:xf numFmtId="178" fontId="27" fillId="4" borderId="131" xfId="0" applyAlignment="1">
      <x:alignment horizontal="center" vertical="center"/>
    </x:xf>
    <x:xf numFmtId="200" fontId="27" fillId="4" borderId="130" xfId="0" applyAlignment="1">
      <x:alignment horizontal="center" vertical="center"/>
    </x:xf>
    <x:xf numFmtId="200" fontId="27" fillId="4" borderId="99" xfId="0" applyAlignment="1">
      <x:alignment vertical="bottom"/>
    </x:xf>
    <x:xf numFmtId="178" fontId="27" fillId="4" borderId="99" xfId="0" applyAlignment="1">
      <x:alignment horizontal="center" vertical="bottom"/>
    </x:xf>
    <x:xf numFmtId="170" fontId="7" fillId="18" borderId="198" xfId="0" applyAlignment="1">
      <x:alignment horizontal="center" vertical="center"/>
    </x:xf>
    <x:xf numFmtId="200" fontId="7" fillId="17" borderId="84" xfId="0" applyAlignment="1">
      <x:alignment horizontal="center" vertical="bottom"/>
    </x:xf>
    <x:xf numFmtId="200" fontId="7" fillId="4" borderId="22" xfId="0" applyAlignment="1">
      <x:alignment horizontal="center" vertical="center"/>
    </x:xf>
    <x:xf numFmtId="178" fontId="7" fillId="4" borderId="96" xfId="0" applyAlignment="1">
      <x:alignment horizontal="center" vertical="center"/>
    </x:xf>
    <x:xf numFmtId="200" fontId="29" fillId="4" borderId="85" xfId="0" applyAlignment="1">
      <x:alignment horizontal="center" vertical="center"/>
    </x:xf>
    <x:xf numFmtId="178" fontId="29" fillId="4" borderId="96" xfId="0" applyAlignment="1">
      <x:alignment horizontal="center" vertical="bottom"/>
    </x:xf>
    <x:xf numFmtId="178" fontId="7" fillId="4" borderId="84" xfId="0" applyAlignment="1">
      <x:alignment horizontal="center" vertical="center"/>
    </x:xf>
    <x:xf numFmtId="178" fontId="7" fillId="4" borderId="121" xfId="0" applyAlignment="1">
      <x:alignment vertical="bottom"/>
    </x:xf>
    <x:xf numFmtId="178" fontId="7" fillId="4" borderId="125" xfId="0" applyAlignment="1">
      <x:alignment horizontal="center" vertical="center"/>
    </x:xf>
    <x:xf numFmtId="178" fontId="7" fillId="0" borderId="182" xfId="0" applyAlignment="1">
      <x:alignment vertical="bottom"/>
    </x:xf>
    <x:xf numFmtId="201" fontId="7" fillId="31" borderId="182" xfId="0" applyAlignment="1">
      <x:alignment horizontal="center" vertical="center"/>
    </x:xf>
    <x:xf numFmtId="200" fontId="7" fillId="31" borderId="90" xfId="0" applyAlignment="1">
      <x:alignment horizontal="center" vertical="center"/>
    </x:xf>
    <x:xf numFmtId="201" fontId="7" fillId="31" borderId="182" xfId="0" applyAlignment="1">
      <x:alignment horizontal="center" vertical="bottom"/>
    </x:xf>
    <x:xf numFmtId="178" fontId="7" fillId="4" borderId="126" xfId="0" applyAlignment="1">
      <x:alignment vertical="bottom"/>
    </x:xf>
    <x:xf numFmtId="200" fontId="27" fillId="4" borderId="201" xfId="0" applyAlignment="1">
      <x:alignment vertical="bottom"/>
    </x:xf>
    <x:xf numFmtId="178" fontId="7" fillId="4" borderId="126" xfId="0" applyAlignment="1">
      <x:alignment horizontal="center" vertical="center"/>
    </x:xf>
    <x:xf numFmtId="200" fontId="27" fillId="4" borderId="201" xfId="0" applyAlignment="1">
      <x:alignment horizontal="center" vertical="center"/>
    </x:xf>
    <x:xf numFmtId="178" fontId="27" fillId="4" borderId="126" xfId="0" applyAlignment="1">
      <x:alignment horizontal="center" vertical="bottom"/>
    </x:xf>
    <x:xf numFmtId="178" fontId="7" fillId="4" borderId="127" xfId="0" applyAlignment="1">
      <x:alignment vertical="bottom"/>
    </x:xf>
    <x:xf numFmtId="200" fontId="27" fillId="4" borderId="104" xfId="0" applyAlignment="1">
      <x:alignment vertical="bottom"/>
    </x:xf>
    <x:xf numFmtId="200" fontId="27" fillId="4" borderId="104" xfId="0" applyAlignment="1">
      <x:alignment horizontal="center" vertical="center"/>
    </x:xf>
    <x:xf numFmtId="178" fontId="27" fillId="4" borderId="127" xfId="0" applyAlignment="1">
      <x:alignment horizontal="center" vertical="bottom"/>
    </x:xf>
    <x:xf numFmtId="200" fontId="27" fillId="4" borderId="123" xfId="0" applyAlignment="1">
      <x:alignment vertical="bottom"/>
    </x:xf>
    <x:xf numFmtId="200" fontId="27" fillId="4" borderId="123" xfId="0" applyAlignment="1">
      <x:alignment horizontal="center" vertical="center"/>
    </x:xf>
    <x:xf numFmtId="178" fontId="7" fillId="18" borderId="98" xfId="0" applyAlignment="1">
      <x:alignment horizontal="center" vertical="bottom"/>
    </x:xf>
    <x:xf numFmtId="178" fontId="27" fillId="4" borderId="86" xfId="0" applyAlignment="1">
      <x:alignment horizontal="center" vertical="center"/>
    </x:xf>
    <x:xf numFmtId="178" fontId="7" fillId="4" borderId="23" xfId="0" applyAlignment="1">
      <x:alignment horizontal="center" vertical="center"/>
    </x:xf>
    <x:xf numFmtId="201" fontId="7" fillId="31" borderId="6" xfId="0" applyAlignment="1">
      <x:alignment horizontal="center" vertical="center"/>
    </x:xf>
    <x:xf numFmtId="200" fontId="7" fillId="31" borderId="6" xfId="0" applyAlignment="1">
      <x:alignment vertical="bottom"/>
    </x:xf>
    <x:xf numFmtId="178" fontId="7" fillId="4" borderId="25" xfId="0" applyAlignment="1">
      <x:alignment horizontal="center" vertical="center"/>
    </x:xf>
    <x:xf numFmtId="200" fontId="27" fillId="4" borderId="25" xfId="0" applyAlignment="1">
      <x:alignment vertical="bottom"/>
    </x:xf>
    <x:xf numFmtId="178" fontId="7" fillId="4" borderId="22" xfId="0" applyAlignment="1">
      <x:alignment horizontal="center" vertical="center"/>
    </x:xf>
    <x:xf numFmtId="178" fontId="7" fillId="18" borderId="129" xfId="0" applyAlignment="1">
      <x:alignment horizontal="center" vertical="center"/>
    </x:xf>
    <x:xf numFmtId="200" fontId="7" fillId="18" borderId="129" xfId="0" applyAlignment="1">
      <x:alignment horizontal="center" vertical="center"/>
    </x:xf>
    <x:xf numFmtId="0" fontId="7" fillId="17" borderId="151" xfId="0" applyAlignment="1">
      <x:alignment horizontal="center" vertical="bottom"/>
    </x:xf>
    <x:xf numFmtId="0" fontId="0" fillId="0" borderId="177" xfId="0"/>
    <x:xf numFmtId="200" fontId="7" fillId="17" borderId="184" xfId="0" applyAlignment="1">
      <x:alignment horizontal="center" vertical="center"/>
    </x:xf>
    <x:xf numFmtId="200" fontId="7" fillId="17" borderId="177" xfId="0" applyAlignment="1">
      <x:alignment horizontal="center" vertical="bottom"/>
    </x:xf>
    <x:xf numFmtId="200" fontId="7" fillId="17" borderId="151" xfId="0" applyAlignment="1">
      <x:alignment horizontal="center" vertical="bottom"/>
    </x:xf>
    <x:xf numFmtId="200" fontId="7" fillId="17" borderId="184" xfId="0" applyAlignment="1">
      <x:alignment horizontal="center" vertical="bottom"/>
    </x:xf>
    <x:xf numFmtId="200" fontId="27" fillId="4" borderId="202" xfId="0" applyAlignment="1">
      <x:alignment vertical="bottom"/>
    </x:xf>
    <x:xf numFmtId="178" fontId="27" fillId="4" borderId="204" xfId="0" applyAlignment="1">
      <x:alignment horizontal="center" vertical="center"/>
    </x:xf>
    <x:xf numFmtId="200" fontId="27" fillId="4" borderId="202" xfId="0" applyAlignment="1">
      <x:alignment horizontal="center" vertical="center"/>
    </x:xf>
    <x:xf numFmtId="200" fontId="27" fillId="4" borderId="203" xfId="0" applyAlignment="1">
      <x:alignment vertical="bottom"/>
    </x:xf>
    <x:xf numFmtId="178" fontId="27" fillId="4" borderId="203" xfId="0" applyAlignment="1">
      <x:alignment horizontal="center" vertical="bottom"/>
    </x:xf>
    <x:xf numFmtId="178" fontId="7" fillId="26" borderId="182" xfId="0" applyAlignment="1">
      <x:alignment vertical="bottom"/>
    </x:xf>
    <x:xf numFmtId="200" fontId="7" fillId="30" borderId="184" xfId="0" applyAlignment="1">
      <x:alignment horizontal="center" vertical="bottom"/>
    </x:xf>
    <x:xf numFmtId="201" fontId="7" fillId="30" borderId="151" xfId="0" applyAlignment="1">
      <x:alignment horizontal="center" vertical="bottom"/>
    </x:xf>
    <x:xf numFmtId="200" fontId="7" fillId="30" borderId="90" xfId="0" applyAlignment="1">
      <x:alignment horizontal="center" vertical="bottom"/>
    </x:xf>
    <x:xf numFmtId="201" fontId="7" fillId="30" borderId="182" xfId="0" applyAlignment="1">
      <x:alignment horizontal="center" vertical="bottom"/>
    </x:xf>
    <x:xf numFmtId="200" fontId="7" fillId="30" borderId="188" xfId="0" applyAlignment="1">
      <x:alignment horizontal="center" vertical="bottom"/>
    </x:xf>
    <x:xf numFmtId="201" fontId="7" fillId="30" borderId="186" xfId="0" applyAlignment="1">
      <x:alignment horizontal="center" vertical="bottom"/>
    </x:xf>
    <x:xf numFmtId="200" fontId="7" fillId="4" borderId="22" xfId="0" applyAlignment="1">
      <x:alignment horizontal="right" vertical="bottom"/>
    </x:xf>
    <x:xf numFmtId="200" fontId="7" fillId="0" borderId="22" xfId="0" applyAlignment="1">
      <x:alignment horizontal="right" vertical="bottom"/>
    </x:xf>
    <x:xf numFmtId="178" fontId="7" fillId="4" borderId="96" xfId="0" applyAlignment="1">
      <x:alignment horizontal="right" vertical="bottom"/>
    </x:xf>
    <x:xf numFmtId="200" fontId="7" fillId="18" borderId="97" xfId="0" applyAlignment="1">
      <x:alignment horizontal="center" vertical="bottom"/>
    </x:xf>
    <x:xf numFmtId="200" fontId="7" fillId="4" borderId="116" xfId="0" applyAlignment="1">
      <x:alignment vertical="bottom"/>
    </x:xf>
    <x:xf numFmtId="200" fontId="7" fillId="4" borderId="117" xfId="0" applyAlignment="1">
      <x:alignment horizontal="center" vertical="center"/>
    </x:xf>
    <x:xf numFmtId="200" fontId="7" fillId="4" borderId="116" xfId="0" applyAlignment="1">
      <x:alignment horizontal="center" vertical="center"/>
    </x:xf>
    <x:xf numFmtId="200" fontId="27" fillId="32" borderId="90" xfId="0" applyAlignment="1">
      <x:alignment vertical="bottom"/>
    </x:xf>
    <x:xf numFmtId="178" fontId="27" fillId="32" borderId="182" xfId="0" applyAlignment="1">
      <x:alignment horizontal="center" vertical="center"/>
    </x:xf>
    <x:xf numFmtId="178" fontId="27" fillId="32" borderId="182" xfId="0" applyAlignment="1">
      <x:alignment horizontal="center" vertical="bottom"/>
    </x:xf>
    <x:xf numFmtId="200" fontId="27" fillId="32" borderId="188" xfId="0" applyAlignment="1">
      <x:alignment vertical="bottom"/>
    </x:xf>
    <x:xf numFmtId="178" fontId="27" fillId="32" borderId="186" xfId="0" applyAlignment="1">
      <x:alignment horizontal="center" vertical="center"/>
    </x:xf>
    <x:xf numFmtId="178" fontId="27" fillId="32" borderId="186" xfId="0" applyAlignment="1">
      <x:alignment horizontal="center" vertical="bottom"/>
    </x:xf>
    <x:xf numFmtId="178" fontId="27" fillId="4" borderId="124" xfId="0" applyAlignment="1">
      <x:alignment horizontal="center" vertical="center"/>
    </x:xf>
    <x:xf numFmtId="200" fontId="27" fillId="32" borderId="184" xfId="0" applyAlignment="1">
      <x:alignment vertical="bottom"/>
    </x:xf>
    <x:xf numFmtId="178" fontId="27" fillId="32" borderId="151" xfId="0" applyAlignment="1">
      <x:alignment horizontal="center" vertical="center"/>
    </x:xf>
    <x:xf numFmtId="200" fontId="7" fillId="32" borderId="184" xfId="0" applyAlignment="1">
      <x:alignment vertical="bottom"/>
    </x:xf>
    <x:xf numFmtId="178" fontId="7" fillId="32" borderId="151" xfId="0" applyAlignment="1">
      <x:alignment horizontal="center" vertical="center"/>
    </x:xf>
    <x:xf numFmtId="200" fontId="7" fillId="32" borderId="90" xfId="0" applyAlignment="1">
      <x:alignment vertical="bottom"/>
    </x:xf>
    <x:xf numFmtId="178" fontId="7" fillId="32" borderId="182" xfId="0" applyAlignment="1">
      <x:alignment horizontal="center" vertical="center"/>
    </x:xf>
    <x:xf numFmtId="178" fontId="27" fillId="32" borderId="6" xfId="0" applyAlignment="1">
      <x:alignment horizontal="center" vertical="center"/>
    </x:xf>
    <x:xf numFmtId="200" fontId="27" fillId="32" borderId="90" xfId="0" applyAlignment="1">
      <x:alignment horizontal="center" vertical="center"/>
    </x:xf>
    <x:xf numFmtId="200" fontId="29" fillId="18" borderId="90" xfId="0" applyAlignment="1">
      <x:alignment vertical="bottom"/>
    </x:xf>
    <x:xf numFmtId="178" fontId="29" fillId="18" borderId="182" xfId="0" applyAlignment="1">
      <x:alignment horizontal="center" vertical="center"/>
    </x:xf>
    <x:xf numFmtId="200" fontId="27" fillId="32" borderId="188" xfId="0" applyAlignment="1">
      <x:alignment horizontal="center" vertical="center"/>
    </x:xf>
    <x:xf numFmtId="200" fontId="7" fillId="4" borderId="116" xfId="0" applyAlignment="1">
      <x:alignment horizontal="center" vertical="bottom"/>
    </x:xf>
    <x:xf numFmtId="200" fontId="7" fillId="4" borderId="115" xfId="0" applyAlignment="1">
      <x:alignment horizontal="center" vertical="center"/>
    </x:xf>
    <x:xf numFmtId="200" fontId="7" fillId="4" borderId="192" xfId="0" applyAlignment="1">
      <x:alignment horizontal="center" vertical="bottom"/>
    </x:xf>
    <x:xf numFmtId="178" fontId="7" fillId="4" borderId="190" xfId="0" applyAlignment="1">
      <x:alignment horizontal="center" vertical="bottom"/>
    </x:xf>
    <x:xf numFmtId="200" fontId="7" fillId="4" borderId="115" xfId="0" applyAlignment="1">
      <x:alignment horizontal="center" vertical="bottom"/>
    </x:xf>
    <x:xf numFmtId="178" fontId="7" fillId="31" borderId="182" xfId="0" applyAlignment="1">
      <x:alignment horizontal="center" vertical="center"/>
    </x:xf>
    <x:xf numFmtId="200" fontId="27" fillId="31" borderId="188" xfId="0" applyAlignment="1">
      <x:alignment vertical="bottom"/>
    </x:xf>
    <x:xf numFmtId="178" fontId="7" fillId="31" borderId="186" xfId="0" applyAlignment="1">
      <x:alignment horizontal="center" vertical="center"/>
    </x:xf>
    <x:xf numFmtId="200" fontId="27" fillId="31" borderId="188" xfId="0" applyAlignment="1">
      <x:alignment horizontal="center" vertical="center"/>
    </x:xf>
    <x:xf numFmtId="200" fontId="44" fillId="18" borderId="97" xfId="0" applyAlignment="1">
      <x:alignment vertical="bottom"/>
    </x:xf>
    <x:xf numFmtId="178" fontId="24" fillId="4" borderId="96" xfId="0" applyAlignment="1">
      <x:alignment horizontal="center" vertical="center"/>
    </x:xf>
    <x:xf numFmtId="201" fontId="7" fillId="31" borderId="186" xfId="0" applyAlignment="1">
      <x:alignment horizontal="center" vertical="center"/>
    </x:xf>
    <x:xf numFmtId="201" fontId="7" fillId="18" borderId="98" xfId="0" applyAlignment="1">
      <x:alignment horizontal="center" vertical="center"/>
    </x:xf>
    <x:xf numFmtId="200" fontId="44" fillId="18" borderId="97" xfId="0" applyAlignment="1">
      <x:alignment horizontal="center" vertical="bottom"/>
    </x:xf>
    <x:xf numFmtId="178" fontId="7" fillId="4" borderId="116" xfId="0" applyAlignment="1">
      <x:alignment horizontal="center" vertical="center"/>
    </x:xf>
    <x:xf numFmtId="178" fontId="27" fillId="4" borderId="190" xfId="0" applyAlignment="1">
      <x:alignment horizontal="center" vertical="bottom"/>
    </x:xf>
    <x:xf numFmtId="178" fontId="24" fillId="4" borderId="117" xfId="0" applyAlignment="1">
      <x:alignment horizontal="center" vertical="center"/>
    </x:xf>
    <x:xf numFmtId="200" fontId="7" fillId="29" borderId="97" xfId="0" applyAlignment="1">
      <x:alignment vertical="bottom"/>
    </x:xf>
    <x:xf numFmtId="200" fontId="7" fillId="29" borderId="97" xfId="0" applyAlignment="1">
      <x:alignment horizontal="center" vertical="center"/>
    </x:xf>
    <x:xf numFmtId="200" fontId="27" fillId="31" borderId="184" xfId="0" applyAlignment="1">
      <x:alignment vertical="bottom"/>
    </x:xf>
    <x:xf numFmtId="178" fontId="27" fillId="31" borderId="151" xfId="0" applyAlignment="1">
      <x:alignment horizontal="center" vertical="center"/>
    </x:xf>
    <x:xf numFmtId="200" fontId="27" fillId="18" borderId="90" xfId="0" applyAlignment="1">
      <x:alignment vertical="bottom"/>
    </x:xf>
    <x:xf numFmtId="178" fontId="27" fillId="18" borderId="182" xfId="0" applyAlignment="1">
      <x:alignment horizontal="center" vertical="center"/>
    </x:xf>
    <x:xf numFmtId="178" fontId="27" fillId="31" borderId="186" xfId="0" applyAlignment="1">
      <x:alignment horizontal="center" vertical="center"/>
    </x:xf>
    <x:xf numFmtId="200" fontId="7" fillId="4" borderId="86" xfId="0" applyAlignment="1">
      <x:alignment vertical="bottom"/>
    </x:xf>
    <x:xf numFmtId="178" fontId="7" fillId="4" borderId="120" xfId="0" applyAlignment="1">
      <x:alignment horizontal="center" vertical="center"/>
    </x:xf>
    <x:xf numFmtId="200" fontId="7" fillId="4" borderId="118" xfId="0" applyAlignment="1">
      <x:alignment vertical="bottom"/>
    </x:xf>
    <x:xf numFmtId="178" fontId="7" fillId="4" borderId="86" xfId="0" applyAlignment="1">
      <x:alignment horizontal="center" vertical="center"/>
    </x:xf>
    <x:xf numFmtId="178" fontId="7" fillId="4" borderId="206" xfId="0" applyAlignment="1">
      <x:alignment horizontal="center" vertical="center"/>
    </x:xf>
    <x:xf numFmtId="200" fontId="0" fillId="4" borderId="22" xfId="0" applyAlignment="1">
      <x:alignment horizontal="center" vertical="bottom"/>
    </x:xf>
    <x:xf numFmtId="200" fontId="0" fillId="0" borderId="22" xfId="0" applyAlignment="1">
      <x:alignment horizontal="center" vertical="bottom"/>
    </x:xf>
    <x:xf numFmtId="178" fontId="0" fillId="4" borderId="22" xfId="0" applyAlignment="1">
      <x:alignment horizontal="center" vertical="bottom"/>
    </x:xf>
    <x:xf numFmtId="178" fontId="0" fillId="4" borderId="96" xfId="0" applyAlignment="1">
      <x:alignment horizontal="center" vertical="bottom"/>
    </x:xf>
    <x:xf numFmtId="200" fontId="0" fillId="4" borderId="104" xfId="0" applyAlignment="1">
      <x:alignment vertical="bottom"/>
    </x:xf>
    <x:xf numFmtId="178" fontId="0" fillId="4" borderId="127" xfId="0" applyAlignment="1">
      <x:alignment horizontal="center" vertical="center"/>
    </x:xf>
    <x:xf numFmtId="200" fontId="7" fillId="4" borderId="189" xfId="0" applyAlignment="1">
      <x:alignment vertical="bottom"/>
    </x:xf>
    <x:xf numFmtId="200" fontId="7" fillId="4" borderId="192" xfId="0" applyAlignment="1">
      <x:alignment vertical="bottom"/>
    </x:xf>
    <x:xf numFmtId="200" fontId="7" fillId="19" borderId="207" xfId="0" applyAlignment="1">
      <x:alignment vertical="bottom"/>
    </x:xf>
    <x:xf numFmtId="178" fontId="7" fillId="19" borderId="209" xfId="0" applyAlignment="1">
      <x:alignment horizontal="center" vertical="center"/>
    </x:xf>
    <x:xf numFmtId="200" fontId="7" fillId="25" borderId="197" xfId="0" applyAlignment="1">
      <x:alignment vertical="bottom"/>
    </x:xf>
    <x:xf numFmtId="178" fontId="7" fillId="25" borderId="199" xfId="0" applyAlignment="1">
      <x:alignment horizontal="center" vertical="center"/>
    </x:xf>
    <x:xf numFmtId="200" fontId="7" fillId="17" borderId="97" xfId="0" applyAlignment="1">
      <x:alignment vertical="bottom"/>
    </x:xf>
    <x:xf numFmtId="178" fontId="7" fillId="17" borderId="98" xfId="0" applyAlignment="1">
      <x:alignment horizontal="center" vertical="center"/>
    </x:xf>
    <x:xf numFmtId="200" fontId="7" fillId="4" borderId="134" xfId="0" applyAlignment="1">
      <x:alignment horizontal="center" vertical="center"/>
    </x:xf>
    <x:xf numFmtId="200" fontId="7" fillId="4" borderId="91" xfId="0" applyAlignment="1">
      <x:alignment vertical="bottom"/>
    </x:xf>
    <x:xf numFmtId="178" fontId="7" fillId="4" borderId="36" xfId="0" applyAlignment="1">
      <x:alignment horizontal="center" vertical="bottom"/>
    </x:xf>
    <x:xf numFmtId="200" fontId="7" fillId="25" borderId="207" xfId="0" applyAlignment="1">
      <x:alignment vertical="bottom"/>
    </x:xf>
    <x:xf numFmtId="178" fontId="7" fillId="25" borderId="209" xfId="0" applyAlignment="1">
      <x:alignment horizontal="center" vertical="center"/>
    </x:xf>
    <x:xf numFmtId="200" fontId="7" fillId="29" borderId="113" xfId="0" applyAlignment="1">
      <x:alignment vertical="bottom"/>
    </x:xf>
    <x:xf numFmtId="178" fontId="7" fillId="29" borderId="210" xfId="0" applyAlignment="1">
      <x:alignment horizontal="center" vertical="center"/>
    </x:xf>
    <x:xf numFmtId="200" fontId="7" fillId="4" borderId="86" xfId="0" applyAlignment="1">
      <x:alignment horizontal="center" vertical="bottom"/>
    </x:xf>
    <x:xf numFmtId="178" fontId="7" fillId="4" borderId="135" xfId="0" applyAlignment="1">
      <x:alignment horizontal="center" vertical="center"/>
    </x:xf>
    <x:xf numFmtId="200" fontId="7" fillId="29" borderId="197" xfId="0" applyAlignment="1">
      <x:alignment vertical="bottom"/>
    </x:xf>
    <x:xf numFmtId="178" fontId="7" fillId="29" borderId="199" xfId="0" applyAlignment="1">
      <x:alignment horizontal="center" vertical="center"/>
    </x:xf>
    <x:xf numFmtId="206" fontId="7" fillId="4" borderId="6" xfId="0" applyAlignment="1">
      <x:alignment horizontal="left" vertical="center"/>
    </x:xf>
    <x:xf numFmtId="207" fontId="7" fillId="4" borderId="6" xfId="0" applyAlignment="1">
      <x:alignment horizontal="right" vertical="center"/>
    </x:xf>
    <x:xf numFmtId="193" fontId="7" fillId="4" borderId="6" xfId="0" applyAlignment="1">
      <x:alignment horizontal="right" vertical="center"/>
    </x:xf>
    <x:xf numFmtId="184" fontId="7" fillId="7" borderId="6" xfId="0" applyAlignment="1">
      <x:alignment horizontal="left" vertical="center"/>
    </x:xf>
    <x:xf numFmtId="208" fontId="7" fillId="7" borderId="6" xfId="0" applyAlignment="1">
      <x:alignment horizontal="right" vertical="center"/>
    </x:xf>
    <x:xf numFmtId="179" fontId="7" fillId="4" borderId="177" xfId="0" applyAlignment="1">
      <x:alignment horizontal="left" vertical="center"/>
    </x:xf>
    <x:xf numFmtId="185" fontId="7" fillId="4" borderId="6" xfId="0" applyAlignment="1">
      <x:alignment horizontal="left" vertical="center"/>
    </x:xf>
    <x:xf numFmtId="179" fontId="7" fillId="4" borderId="5" xfId="0" applyAlignment="1">
      <x:alignment horizontal="left" vertical="center"/>
    </x:xf>
    <x:xf numFmtId="179" fontId="7" fillId="4" borderId="39" xfId="0" applyAlignment="1">
      <x:alignment horizontal="left" vertical="center"/>
    </x:xf>
    <x:xf numFmtId="185" fontId="7" fillId="4" borderId="177" xfId="0" applyAlignment="1">
      <x:alignment horizontal="left" vertical="center"/>
    </x:xf>
    <x:xf numFmtId="179" fontId="7" fillId="4" borderId="103" xfId="0" applyAlignment="1">
      <x:alignment horizontal="left" vertical="center"/>
    </x:xf>
    <x:xf numFmtId="200" fontId="7" fillId="4" borderId="103" xfId="0" applyAlignment="1">
      <x:alignment horizontal="left" vertical="center"/>
    </x:xf>
    <x:xf numFmtId="201" fontId="0" fillId="4" borderId="6" xfId="0" applyAlignment="1">
      <x:alignment vertical="center"/>
    </x:xf>
    <x:xf numFmtId="185" fontId="7" fillId="4" borderId="18" xfId="0" applyAlignment="1">
      <x:alignment horizontal="left" vertical="center"/>
    </x:xf>
    <x:xf numFmtId="170" fontId="0" fillId="4" borderId="37" xfId="0" applyAlignment="1">
      <x:alignment vertical="center"/>
    </x:xf>
    <x:xf numFmtId="170" fontId="0" fillId="4" borderId="39" xfId="0" applyAlignment="1">
      <x:alignment vertical="center"/>
    </x:xf>
    <x:xf numFmtId="206" fontId="0" fillId="4" borderId="6" xfId="0" applyAlignment="1">
      <x:alignment vertical="center"/>
    </x:xf>
    <x:xf numFmtId="199" fontId="12" fillId="13" borderId="6" xfId="0" applyAlignment="1">
      <x:alignment horizontal="left" vertical="center"/>
    </x:xf>
    <x:xf numFmtId="199" fontId="12" fillId="13" borderId="6" xfId="0" applyAlignment="1">
      <x:alignment horizontal="right" vertical="center"/>
    </x:xf>
    <x:xf numFmtId="170" fontId="12" fillId="13" borderId="211" xfId="0" applyAlignment="1">
      <x:alignment horizontal="right" vertical="center"/>
    </x:xf>
    <x:xf numFmtId="199" fontId="12" fillId="13" borderId="212" xfId="0" applyAlignment="1">
      <x:alignment horizontal="left" vertical="center"/>
    </x:xf>
    <x:xf numFmtId="170" fontId="12" fillId="13" borderId="213" xfId="0" applyAlignment="1">
      <x:alignment horizontal="right" vertical="center"/>
    </x:xf>
    <x:xf numFmtId="199" fontId="12" fillId="13" borderId="214" xfId="0" applyAlignment="1">
      <x:alignment horizontal="left" vertical="center"/>
    </x:xf>
    <x:xf numFmtId="199" fontId="12" fillId="13" borderId="214" xfId="0" applyAlignment="1">
      <x:alignment horizontal="right" vertical="center"/>
    </x:xf>
    <x:xf numFmtId="170" fontId="12" fillId="13" borderId="214" xfId="0" applyAlignment="1">
      <x:alignment horizontal="right" vertical="center"/>
    </x:xf>
    <x:xf numFmtId="170" fontId="18" fillId="13" borderId="214" xfId="0" applyAlignment="1">
      <x:alignment horizontal="right" vertical="center"/>
    </x:xf>
    <x:xf numFmtId="207" fontId="0" fillId="4" borderId="6" xfId="0" applyAlignment="1">
      <x:alignment horizontal="right" vertical="center"/>
    </x:xf>
    <x:xf numFmtId="170" fontId="0" fillId="4" borderId="211" xfId="0" applyAlignment="1">
      <x:alignment horizontal="right" vertical="center"/>
    </x:xf>
    <x:xf numFmtId="207" fontId="0" fillId="4" borderId="212" xfId="0" applyAlignment="1">
      <x:alignment horizontal="right" vertical="center"/>
    </x:xf>
    <x:xf numFmtId="207" fontId="0" fillId="4" borderId="216" xfId="0" applyAlignment="1">
      <x:alignment horizontal="right" vertical="center"/>
    </x:xf>
    <x:xf numFmtId="170" fontId="0" fillId="4" borderId="216" xfId="0" applyAlignment="1">
      <x:alignment horizontal="right" vertical="center"/>
    </x:xf>
    <x:xf numFmtId="193" fontId="0" fillId="4" borderId="6" xfId="0" applyAlignment="1">
      <x:alignment horizontal="right" vertical="center"/>
    </x:xf>
    <x:xf numFmtId="193" fontId="0" fillId="4" borderId="212" xfId="0" applyAlignment="1">
      <x:alignment horizontal="right" vertical="center"/>
    </x:xf>
    <x:xf numFmtId="193" fontId="0" fillId="4" borderId="216" xfId="0" applyAlignment="1">
      <x:alignment horizontal="right" vertical="center"/>
    </x:xf>
    <x:xf numFmtId="179" fontId="0" fillId="7" borderId="6" xfId="0" applyAlignment="1">
      <x:alignment horizontal="left" vertical="center"/>
    </x:xf>
    <x:xf numFmtId="179" fontId="0" fillId="7" borderId="6" xfId="0" applyAlignment="1">
      <x:alignment horizontal="right" vertical="center"/>
    </x:xf>
    <x:xf numFmtId="170" fontId="0" fillId="7" borderId="211" xfId="0" applyAlignment="1">
      <x:alignment horizontal="right" vertical="center"/>
    </x:xf>
    <x:xf numFmtId="179" fontId="0" fillId="7" borderId="212" xfId="0" applyAlignment="1">
      <x:alignment horizontal="left" vertical="center"/>
    </x:xf>
    <x:xf numFmtId="179" fontId="0" fillId="7" borderId="216" xfId="0" applyAlignment="1">
      <x:alignment horizontal="left" vertical="center"/>
    </x:xf>
    <x:xf numFmtId="179" fontId="0" fillId="7" borderId="216" xfId="0" applyAlignment="1">
      <x:alignment horizontal="right" vertical="center"/>
    </x:xf>
    <x:xf numFmtId="170" fontId="0" fillId="7" borderId="216" xfId="0" applyAlignment="1">
      <x:alignment horizontal="right" vertical="center"/>
    </x:xf>
    <x:xf numFmtId="170" fontId="0" fillId="7" borderId="6" xfId="0" applyAlignment="1">
      <x:alignment horizontal="right" vertical="center"/>
    </x:xf>
    <x:xf numFmtId="170" fontId="0" fillId="7" borderId="212" xfId="0" applyAlignment="1">
      <x:alignment horizontal="right" vertical="center"/>
    </x:xf>
    <x:xf numFmtId="184" fontId="0" fillId="7" borderId="6" xfId="0" applyAlignment="1">
      <x:alignment horizontal="left" vertical="center"/>
    </x:xf>
    <x:xf numFmtId="184" fontId="0" fillId="7" borderId="6" xfId="0" applyAlignment="1">
      <x:alignment horizontal="right" vertical="center"/>
    </x:xf>
    <x:xf numFmtId="184" fontId="0" fillId="7" borderId="212" xfId="0" applyAlignment="1">
      <x:alignment horizontal="left" vertical="center"/>
    </x:xf>
    <x:xf numFmtId="184" fontId="0" fillId="7" borderId="216" xfId="0" applyAlignment="1">
      <x:alignment horizontal="left" vertical="center"/>
    </x:xf>
    <x:xf numFmtId="184" fontId="0" fillId="7" borderId="216" xfId="0" applyAlignment="1">
      <x:alignment horizontal="right" vertical="center"/>
    </x:xf>
    <x:xf numFmtId="208" fontId="0" fillId="7" borderId="6" xfId="0" applyAlignment="1">
      <x:alignment horizontal="right" vertical="center"/>
    </x:xf>
    <x:xf numFmtId="208" fontId="0" fillId="7" borderId="216" xfId="0" applyAlignment="1">
      <x:alignment horizontal="right" vertical="center"/>
    </x:xf>
    <x:xf numFmtId="179" fontId="0" fillId="4" borderId="177" xfId="0" applyAlignment="1">
      <x:alignment horizontal="left" vertical="center"/>
    </x:xf>
    <x:xf numFmtId="170" fontId="0" fillId="4" borderId="220" xfId="0" applyAlignment="1">
      <x:alignment horizontal="right" vertical="center"/>
    </x:xf>
    <x:xf numFmtId="179" fontId="0" fillId="4" borderId="221" xfId="0" applyAlignment="1">
      <x:alignment horizontal="left" vertical="center"/>
    </x:xf>
    <x:xf numFmtId="179" fontId="0" fillId="4" borderId="222" xfId="0" applyAlignment="1">
      <x:alignment horizontal="left" vertical="center"/>
    </x:xf>
    <x:xf numFmtId="170" fontId="0" fillId="4" borderId="222" xfId="0" applyAlignment="1">
      <x:alignment horizontal="right" vertical="center"/>
    </x:xf>
    <x:xf numFmtId="185" fontId="0" fillId="4" borderId="6" xfId="0" applyAlignment="1">
      <x:alignment horizontal="left" vertical="center"/>
    </x:xf>
    <x:xf numFmtId="179" fontId="0" fillId="4" borderId="6" xfId="0" applyAlignment="1">
      <x:alignment horizontal="left" vertical="center"/>
    </x:xf>
    <x:xf numFmtId="179" fontId="0" fillId="4" borderId="212" xfId="0" applyAlignment="1">
      <x:alignment horizontal="left" vertical="center"/>
    </x:xf>
    <x:xf numFmtId="179" fontId="0" fillId="4" borderId="216" xfId="0" applyAlignment="1">
      <x:alignment horizontal="left" vertical="center"/>
    </x:xf>
    <x:xf numFmtId="179" fontId="0" fillId="4" borderId="5" xfId="0" applyAlignment="1">
      <x:alignment horizontal="left" vertical="center"/>
    </x:xf>
    <x:xf numFmtId="170" fontId="0" fillId="4" borderId="223" xfId="0" applyAlignment="1">
      <x:alignment horizontal="right" vertical="center"/>
    </x:xf>
    <x:xf numFmtId="179" fontId="0" fillId="4" borderId="224" xfId="0" applyAlignment="1">
      <x:alignment horizontal="left" vertical="center"/>
    </x:xf>
    <x:xf numFmtId="179" fontId="0" fillId="4" borderId="225" xfId="0" applyAlignment="1">
      <x:alignment horizontal="left" vertical="center"/>
    </x:xf>
    <x:xf numFmtId="170" fontId="0" fillId="4" borderId="225" xfId="0" applyAlignment="1">
      <x:alignment horizontal="right" vertical="center"/>
    </x:xf>
    <x:xf numFmtId="179" fontId="0" fillId="4" borderId="39" xfId="0" applyAlignment="1">
      <x:alignment horizontal="left" vertical="center"/>
    </x:xf>
    <x:xf numFmtId="170" fontId="0" fillId="4" borderId="226" xfId="0" applyAlignment="1">
      <x:alignment horizontal="right" vertical="center"/>
    </x:xf>
    <x:xf numFmtId="179" fontId="0" fillId="4" borderId="227" xfId="0" applyAlignment="1">
      <x:alignment horizontal="left" vertical="center"/>
    </x:xf>
    <x:xf numFmtId="179" fontId="0" fillId="4" borderId="228" xfId="0" applyAlignment="1">
      <x:alignment horizontal="left" vertical="center"/>
    </x:xf>
    <x:xf numFmtId="170" fontId="0" fillId="4" borderId="228" xfId="0" applyAlignment="1">
      <x:alignment horizontal="right" vertical="center"/>
    </x:xf>
    <x:xf numFmtId="185" fontId="0" fillId="4" borderId="177" xfId="0" applyAlignment="1">
      <x:alignment horizontal="left" vertical="center"/>
    </x:xf>
    <x:xf numFmtId="179" fontId="0" fillId="4" borderId="103" xfId="0" applyAlignment="1">
      <x:alignment horizontal="left" vertical="center"/>
    </x:xf>
    <x:xf numFmtId="179" fontId="0" fillId="4" borderId="103" xfId="0" applyAlignment="1">
      <x:alignment horizontal="right" vertical="center"/>
    </x:xf>
    <x:xf numFmtId="170" fontId="0" fillId="4" borderId="217" xfId="0" applyAlignment="1">
      <x:alignment horizontal="right" vertical="center"/>
    </x:xf>
    <x:xf numFmtId="179" fontId="0" fillId="4" borderId="218" xfId="0" applyAlignment="1">
      <x:alignment horizontal="left" vertical="center"/>
    </x:xf>
    <x:xf numFmtId="179" fontId="0" fillId="4" borderId="219" xfId="0" applyAlignment="1">
      <x:alignment horizontal="left" vertical="center"/>
    </x:xf>
    <x:xf numFmtId="179" fontId="0" fillId="4" borderId="219" xfId="0" applyAlignment="1">
      <x:alignment horizontal="right" vertical="center"/>
    </x:xf>
    <x:xf numFmtId="170" fontId="0" fillId="4" borderId="219" xfId="0" applyAlignment="1">
      <x:alignment horizontal="right" vertical="center"/>
    </x:xf>
    <x:xf numFmtId="201" fontId="0" fillId="4" borderId="212" xfId="0" applyAlignment="1">
      <x:alignment vertical="center"/>
    </x:xf>
    <x:xf numFmtId="170" fontId="0" fillId="4" borderId="39" xfId="0" applyAlignment="1">
      <x:alignment horizontal="right" vertical="center"/>
    </x:xf>
    <x:xf numFmtId="170" fontId="0" fillId="4" borderId="6" xfId="0" applyAlignment="1">
      <x:alignment horizontal="right" vertical="center"/>
    </x:xf>
    <x:xf numFmtId="185" fontId="0" fillId="4" borderId="18" xfId="0" applyAlignment="1">
      <x:alignment horizontal="left" vertical="center"/>
    </x:xf>
    <x:xf numFmtId="170" fontId="0" fillId="4" borderId="20" xfId="0" applyAlignment="1">
      <x:alignment horizontal="right" vertical="center"/>
    </x:xf>
    <x:xf numFmtId="49" fontId="16" fillId="35" borderId="23" xfId="0" applyAlignment="1">
      <x:alignment horizontal="center" vertical="center"/>
    </x:xf>
    <x:xf numFmtId="49" fontId="18" fillId="36" borderId="28" xfId="0" applyAlignment="1">
      <x:alignment vertical="bottom"/>
    </x:xf>
    <x:xf numFmtId="209" fontId="7" fillId="37" borderId="6" xfId="0" applyAlignment="1">
      <x:alignment vertical="bottom"/>
    </x:xf>
    <x:xf numFmtId="210" fontId="7" fillId="37" borderId="6" xfId="0" applyAlignment="1">
      <x:alignment vertical="bottom"/>
    </x:xf>
    <x:xf numFmtId="166" fontId="7" fillId="37" borderId="6" xfId="0" applyAlignment="1">
      <x:alignment vertical="bottom"/>
    </x:xf>
    <x:xf numFmtId="166" fontId="7" fillId="4" borderId="25" xfId="0" applyAlignment="1">
      <x:alignment vertical="bottom"/>
    </x:xf>
    <x:xf numFmtId="209" fontId="7" fillId="4" borderId="22" xfId="0" applyAlignment="1">
      <x:alignment vertical="bottom"/>
    </x:xf>
    <x:xf numFmtId="209" fontId="15" fillId="4" borderId="28" xfId="0" applyAlignment="1">
      <x:alignment vertical="bottom"/>
    </x:xf>
    <x:xf numFmtId="209" fontId="15" fillId="4" borderId="25" xfId="0" applyAlignment="1">
      <x:alignment vertical="bottom"/>
    </x:xf>
    <x:xf numFmtId="170" fontId="7" fillId="37" borderId="6" xfId="0" applyAlignment="1">
      <x:alignment vertical="bottom"/>
    </x:xf>
    <x:xf numFmtId="210" fontId="0" fillId="4" borderId="26" xfId="0" applyAlignment="1">
      <x:alignment vertical="bottom"/>
    </x:xf>
    <x:xf numFmtId="209" fontId="7" fillId="4" borderId="25" xfId="0" applyAlignment="1">
      <x:alignment vertical="bottom"/>
    </x:xf>
    <x:xf numFmtId="165" fontId="7" fillId="5" borderId="6" xfId="0" applyAlignment="1">
      <x:alignment vertical="bottom"/>
    </x:xf>
    <x:xf numFmtId="165" fontId="7" fillId="5" borderId="7" xfId="0" applyAlignment="1">
      <x:alignment vertical="bottom"/>
    </x:xf>
    <x:xf numFmtId="165" fontId="7" fillId="15" borderId="6" xfId="0" applyAlignment="1">
      <x:alignment vertical="bottom"/>
    </x:xf>
    <x:xf numFmtId="165" fontId="7" fillId="15" borderId="7" xfId="0" applyAlignment="1">
      <x:alignment vertical="bottom"/>
    </x:xf>
    <x:xf numFmtId="165" fontId="7" fillId="4" borderId="25" xfId="0" applyAlignment="1">
      <x:alignment vertical="bottom"/>
    </x:xf>
    <x:xf numFmtId="165" fontId="7" fillId="4" borderId="23" xfId="0" applyAlignment="1">
      <x:alignment vertical="bottom"/>
    </x:xf>
    <x:xf numFmtId="165" fontId="18" fillId="35" borderId="6" xfId="0" applyAlignment="1">
      <x:alignment vertical="bottom"/>
    </x:xf>
    <x:xf numFmtId="165" fontId="18" fillId="35" borderId="7" xfId="0" applyAlignment="1">
      <x:alignment vertical="bottom"/>
    </x:xf>
    <x:xf numFmtId="165" fontId="7" fillId="4" borderId="28" xfId="0" applyAlignment="1">
      <x:alignment vertical="bottom"/>
    </x:xf>
    <x:xf numFmtId="165" fontId="0" fillId="0" borderId="6" xfId="0" applyAlignment="1">
      <x:alignment vertical="bottom"/>
    </x:xf>
    <x:xf numFmtId="165" fontId="0" fillId="0" borderId="7" xfId="0" applyAlignment="1">
      <x:alignment vertical="bottom"/>
    </x:xf>
    <x:xf numFmtId="211" fontId="0" fillId="4" borderId="25" xfId="0" applyAlignment="1">
      <x:alignment vertical="bottom"/>
    </x:xf>
    <x:xf numFmtId="211" fontId="7" fillId="4" borderId="25" xfId="0" applyAlignment="1">
      <x:alignment vertical="bottom"/>
    </x:xf>
    <x:xf numFmtId="165" fontId="48" fillId="35" borderId="6" xfId="0" applyAlignment="1">
      <x:alignment vertical="bottom"/>
    </x:xf>
    <x:xf numFmtId="166" fontId="7" fillId="4" borderId="22" xfId="0" applyAlignment="1">
      <x:alignment vertical="bottom"/>
    </x:xf>
    <x:xf numFmtId="165" fontId="7" fillId="15" borderId="20" xfId="0" applyAlignment="1">
      <x:alignment vertical="bottom"/>
    </x:xf>
    <x:xf numFmtId="184" fontId="0" fillId="4" borderId="22" xfId="0" applyAlignment="1">
      <x:alignment vertical="bottom"/>
    </x:xf>
    <x:xf numFmtId="179" fontId="0" fillId="4" borderId="22" xfId="0" applyAlignment="1">
      <x:alignment vertical="bottom"/>
    </x:xf>
    <x:xf numFmtId="170" fontId="0" fillId="4" borderId="2" xfId="0" applyAlignment="1">
      <x:alignment vertical="bottom"/>
    </x:xf>
    <x:xf numFmtId="170" fontId="7" fillId="10" borderId="229" xfId="0" applyAlignment="1">
      <x:alignment horizontal="center" vertical="bottom"/>
    </x:xf>
    <x:xf numFmtId="179" fontId="0" fillId="10" borderId="230" xfId="0" applyAlignment="1">
      <x:alignment vertical="bottom"/>
    </x:xf>
    <x:xf numFmtId="174" fontId="0" fillId="4" borderId="231" xfId="0" applyAlignment="1">
      <x:alignment vertical="bottom"/>
    </x:xf>
    <x:xf numFmtId="174" fontId="0" fillId="4" borderId="234" xfId="0" applyAlignment="1">
      <x:alignment vertical="bottom"/>
    </x:xf>
    <x:xf numFmtId="179" fontId="0" fillId="10" borderId="229" xfId="0" applyAlignment="1">
      <x:alignment vertical="bottom"/>
    </x:xf>
    <x:xf numFmtId="179" fontId="7" fillId="4" borderId="232" xfId="0" applyAlignment="1">
      <x:alignment horizontal="center" vertical="bottom"/>
    </x:xf>
    <x:xf numFmtId="179" fontId="0" fillId="4" borderId="233" xfId="0" applyAlignment="1">
      <x:alignment vertical="bottom"/>
    </x:xf>
    <x:xf numFmtId="179" fontId="7" fillId="4" borderId="235" xfId="0" applyAlignment="1">
      <x:alignment horizontal="center" vertical="bottom"/>
    </x:xf>
    <x:xf numFmtId="179" fontId="0" fillId="4" borderId="236" xfId="0" applyAlignment="1">
      <x:alignment vertical="bottom"/>
    </x:xf>
    <x:xf numFmtId="179" fontId="0" fillId="4" borderId="235" xfId="0" applyAlignment="1">
      <x:alignment vertical="bottom"/>
    </x:xf>
    <x:xf numFmtId="199" fontId="12" fillId="13" borderId="39" xfId="0" applyAlignment="1">
      <x:alignment horizontal="center" vertical="bottom"/>
    </x:xf>
    <x:xf numFmtId="179" fontId="12" fillId="13" borderId="9" xfId="0" applyAlignment="1">
      <x:alignment vertical="bottom"/>
    </x:xf>
    <x:xf numFmtId="179" fontId="0" fillId="4" borderId="5" xfId="0" applyAlignment="1">
      <x:alignment vertical="bottom"/>
    </x:xf>
    <x:xf numFmtId="179" fontId="0" fillId="4" borderId="9" xfId="0" applyAlignment="1">
      <x:alignment vertical="bottom"/>
    </x:xf>
    <x:xf numFmtId="179" fontId="0" fillId="7" borderId="9" xfId="0" applyAlignment="1">
      <x:alignment vertical="bottom"/>
    </x:xf>
    <x:xf numFmtId="179" fontId="0" fillId="7" borderId="39" xfId="0" applyAlignment="1">
      <x:alignment vertical="bottom"/>
    </x:xf>
    <x:xf numFmtId="179" fontId="0" fillId="7" borderId="5" xfId="0" applyAlignment="1">
      <x:alignment vertical="bottom"/>
    </x:xf>
    <x:xf numFmtId="170" fontId="7" fillId="4" borderId="39" xfId="0" applyAlignment="1">
      <x:alignment horizontal="right" vertical="bottom"/>
    </x:xf>
    <x:xf numFmtId="179" fontId="7" fillId="4" borderId="41" xfId="0" applyAlignment="1">
      <x:alignment horizontal="right" vertical="bottom"/>
    </x:xf>
    <x:xf numFmtId="170" fontId="7" fillId="4" borderId="5" xfId="0" applyAlignment="1">
      <x:alignment horizontal="right" vertical="bottom"/>
    </x:xf>
    <x:xf numFmtId="179" fontId="24" fillId="4" borderId="6" xfId="0" applyAlignment="1">
      <x:alignment vertical="bottom"/>
    </x:xf>
    <x:xf numFmtId="179" fontId="0" fillId="27" borderId="39" xfId="0" applyAlignment="1">
      <x:alignment vertical="bottom"/>
    </x:xf>
    <x:xf numFmtId="179" fontId="0" fillId="27" borderId="5" xfId="0" applyAlignment="1">
      <x:alignment vertical="bottom"/>
    </x:xf>
    <x:xf numFmtId="179" fontId="0" fillId="27" borderId="198" xfId="0" applyAlignment="1">
      <x:alignment vertical="bottom"/>
    </x:xf>
    <x:xf numFmtId="170" fontId="0" fillId="4" borderId="37" xfId="0" applyAlignment="1">
      <x:alignment vertical="top"/>
    </x:xf>
    <x:xf numFmtId="179" fontId="0" fillId="4" borderId="37" xfId="0" applyAlignment="1">
      <x:alignment vertical="top"/>
    </x:xf>
    <x:xf numFmtId="184" fontId="0" fillId="4" borderId="37" xfId="0" applyAlignment="1">
      <x:alignment vertical="top"/>
    </x:xf>
    <x:xf numFmtId="212" fontId="23" fillId="38" borderId="2" xfId="0" applyAlignment="1">
      <x:alignment horizontal="center" vertical="center"/>
    </x:xf>
    <x:xf numFmtId="170" fontId="7" fillId="4" borderId="39" xfId="0" applyAlignment="1">
      <x:alignment horizontal="left" vertical="top"/>
    </x:xf>
    <x:xf numFmtId="170" fontId="7" fillId="4" borderId="6" xfId="0" applyAlignment="1">
      <x:alignment horizontal="left" vertical="top"/>
    </x:xf>
    <x:xf numFmtId="170" fontId="12" fillId="13" borderId="6" xfId="0" applyAlignment="1">
      <x:alignment vertical="top"/>
    </x:xf>
    <x:xf numFmtId="213" fontId="20" fillId="7" borderId="58" xfId="0" applyAlignment="1">
      <x:alignment vertical="top"/>
    </x:xf>
    <x:xf numFmtId="179" fontId="0" fillId="4" borderId="58" xfId="0" applyAlignment="1">
      <x:alignment vertical="top"/>
    </x:xf>
    <x:xf numFmtId="184" fontId="0" fillId="4" borderId="58" xfId="0" applyAlignment="1">
      <x:alignment vertical="top"/>
    </x:xf>
    <x:xf numFmtId="179" fontId="7" fillId="4" borderId="58" xfId="0" applyAlignment="1">
      <x:alignment horizontal="left" vertical="top"/>
    </x:xf>
    <x:xf numFmtId="170" fontId="20" fillId="7" borderId="61" xfId="0" applyAlignment="1">
      <x:alignment vertical="top"/>
    </x:xf>
    <x:xf numFmtId="179" fontId="0" fillId="4" borderId="61" xfId="0" applyAlignment="1">
      <x:alignment vertical="top"/>
    </x:xf>
    <x:xf numFmtId="184" fontId="0" fillId="4" borderId="61" xfId="0" applyAlignment="1">
      <x:alignment vertical="top"/>
    </x:xf>
    <x:xf numFmtId="179" fontId="7" fillId="4" borderId="61" xfId="0" applyAlignment="1">
      <x:alignment horizontal="left" vertical="top"/>
    </x:xf>
    <x:xf numFmtId="170" fontId="0" fillId="4" borderId="61" xfId="0" applyAlignment="1">
      <x:alignment vertical="top"/>
    </x:xf>
    <x:xf numFmtId="179" fontId="20" fillId="4" borderId="61" xfId="0" applyAlignment="1">
      <x:alignment vertical="top"/>
    </x:xf>
    <x:xf numFmtId="170" fontId="0" fillId="7" borderId="69" xfId="0" applyAlignment="1">
      <x:alignment vertical="top"/>
    </x:xf>
    <x:xf numFmtId="179" fontId="0" fillId="7" borderId="69" xfId="0" applyAlignment="1">
      <x:alignment vertical="top"/>
    </x:xf>
    <x:xf numFmtId="184" fontId="0" fillId="7" borderId="69" xfId="0" applyAlignment="1">
      <x:alignment vertical="top"/>
    </x:xf>
    <x:xf numFmtId="170" fontId="0" fillId="4" borderId="6" xfId="0" applyAlignment="1">
      <x:alignment vertical="top"/>
    </x:xf>
    <x:xf numFmtId="184" fontId="0" fillId="4" borderId="6" xfId="0" applyAlignment="1">
      <x:alignment vertical="top"/>
    </x:xf>
    <x:xf numFmtId="170" fontId="0" fillId="4" borderId="58" xfId="0" applyAlignment="1">
      <x:alignment vertical="top"/>
    </x:xf>
    <x:xf numFmtId="179" fontId="20" fillId="38" borderId="58" xfId="0" applyAlignment="1">
      <x:alignment vertical="top"/>
    </x:xf>
    <x:xf numFmtId="179" fontId="24" fillId="4" borderId="61" xfId="0" applyAlignment="1">
      <x:alignment vertical="top"/>
    </x:xf>
    <x:xf numFmtId="179" fontId="20" fillId="38" borderId="61" xfId="0" applyAlignment="1">
      <x:alignment vertical="top"/>
    </x:xf>
    <x:xf numFmtId="179" fontId="20" fillId="34" borderId="61" xfId="0" applyAlignment="1">
      <x:alignment vertical="top"/>
    </x:xf>
    <x:xf numFmtId="179" fontId="20" fillId="4" borderId="58" xfId="0" applyAlignment="1">
      <x:alignment vertical="top"/>
    </x:xf>
    <x:xf numFmtId="184" fontId="20" fillId="7" borderId="61" xfId="0" applyAlignment="1">
      <x:alignment vertical="top"/>
    </x:xf>
    <x:xf numFmtId="179" fontId="12" fillId="13" borderId="6" xfId="0" applyAlignment="1">
      <x:alignment horizontal="center" vertical="top"/>
    </x:xf>
    <x:xf numFmtId="184" fontId="0" fillId="4" borderId="58" xfId="0" applyAlignment="1">
      <x:alignment vertical="bottom"/>
    </x:xf>
    <x:xf numFmtId="179" fontId="24" fillId="4" borderId="58" xfId="0" applyAlignment="1">
      <x:alignment vertical="top" wrapText="1"/>
    </x:xf>
    <x:xf numFmtId="186" fontId="0" fillId="4" borderId="6" xfId="0" applyAlignment="1">
      <x:alignment vertical="top"/>
    </x:xf>
    <x:xf numFmtId="179" fontId="23" fillId="4" borderId="6" xfId="0" applyAlignment="1">
      <x:alignment horizontal="left" vertical="top"/>
    </x:xf>
    <x:xf numFmtId="201" fontId="0" fillId="4" borderId="6" xfId="0" applyAlignment="1">
      <x:alignment vertical="top"/>
    </x:xf>
    <x:xf numFmtId="179" fontId="20" fillId="4" borderId="61" xfId="0" applyAlignment="1">
      <x:alignment vertical="top" wrapText="1"/>
    </x:xf>
    <x:xf numFmtId="179" fontId="23" fillId="4" borderId="6" xfId="0" applyAlignment="1">
      <x:alignment vertical="top"/>
    </x:xf>
    <x:xf numFmtId="179" fontId="23" fillId="4" borderId="7" xfId="0" applyAlignment="1">
      <x:alignment vertical="top"/>
    </x:xf>
    <x:xf numFmtId="170" fontId="12" fillId="10" borderId="6" xfId="0" applyAlignment="1">
      <x:alignment vertical="top"/>
    </x:xf>
    <x:xf numFmtId="179" fontId="12" fillId="10" borderId="6" xfId="0" applyAlignment="1">
      <x:alignment horizontal="center" vertical="top"/>
    </x:xf>
    <x:xf numFmtId="184" fontId="12" fillId="10" borderId="6" xfId="0" applyAlignment="1">
      <x:alignment horizontal="center" vertical="top"/>
    </x:xf>
    <x:xf numFmtId="179" fontId="22" fillId="4" borderId="61" xfId="0" applyAlignment="1">
      <x:alignment vertical="top"/>
    </x:xf>
    <x:xf numFmtId="213" fontId="50" fillId="7" borderId="61" xfId="0" applyAlignment="1">
      <x:alignment vertical="top"/>
    </x:xf>
    <x:xf numFmtId="179" fontId="14" fillId="4" borderId="61" xfId="0" applyAlignment="1">
      <x:alignment vertical="top"/>
    </x:xf>
    <x:xf numFmtId="179" fontId="7" fillId="10" borderId="6" xfId="0" applyAlignment="1">
      <x:alignment horizontal="center" vertical="top"/>
    </x:xf>
    <x:xf numFmtId="213" fontId="50" fillId="7" borderId="58" xfId="0" applyAlignment="1">
      <x:alignment vertical="top"/>
    </x:xf>
    <x:xf numFmtId="179" fontId="14" fillId="4" borderId="58" xfId="0" applyAlignment="1">
      <x:alignment vertical="top"/>
    </x:xf>
    <x:xf numFmtId="213" fontId="20" fillId="7" borderId="61" xfId="0" applyAlignment="1">
      <x:alignment vertical="top"/>
    </x:xf>
    <x:xf numFmtId="214" fontId="20" fillId="7" borderId="61" xfId="0" applyAlignment="1">
      <x:alignment vertical="top"/>
    </x:xf>
    <x:xf numFmtId="170" fontId="0" fillId="7" borderId="6" xfId="0" applyAlignment="1">
      <x:alignment vertical="top"/>
    </x:xf>
    <x:xf numFmtId="179" fontId="0" fillId="7" borderId="6" xfId="0" applyAlignment="1">
      <x:alignment vertical="top"/>
    </x:xf>
    <x:xf numFmtId="184" fontId="0" fillId="7" borderId="6" xfId="0" applyAlignment="1">
      <x:alignment vertical="top"/>
    </x:xf>
    <x:xf numFmtId="179" fontId="20" fillId="7" borderId="61" xfId="0" applyAlignment="1">
      <x:alignment vertical="top"/>
    </x:xf>
    <x:xf numFmtId="179" fontId="7" fillId="4" borderId="6" xfId="0" applyAlignment="1">
      <x:alignment horizontal="left" vertical="top"/>
    </x:xf>
    <x:xf numFmtId="179" fontId="14" fillId="34" borderId="61" xfId="0" applyAlignment="1">
      <x:alignment vertical="top"/>
    </x:xf>
    <x:xf numFmtId="213" fontId="24" fillId="7" borderId="58" xfId="0" applyAlignment="1">
      <x:alignment vertical="top"/>
    </x:xf>
    <x:xf numFmtId="179" fontId="24" fillId="34" borderId="58" xfId="0" applyAlignment="1">
      <x:alignment vertical="top"/>
    </x:xf>
    <x:xf numFmtId="170" fontId="20" fillId="4" borderId="61" xfId="0" applyAlignment="1">
      <x:alignment vertical="top"/>
    </x:xf>
    <x:xf numFmtId="213" fontId="0" fillId="7" borderId="61" xfId="0" applyAlignment="1">
      <x:alignment vertical="top"/>
    </x:xf>
    <x:xf numFmtId="213" fontId="24" fillId="7" borderId="61" xfId="0" applyAlignment="1">
      <x:alignment vertical="top"/>
    </x:xf>
    <x:xf numFmtId="179" fontId="24" fillId="34" borderId="61" xfId="0" applyAlignment="1">
      <x:alignment vertical="top"/>
    </x:xf>
    <x:xf numFmtId="179" fontId="0" fillId="34" borderId="58" xfId="0" applyAlignment="1">
      <x:alignment vertical="top"/>
    </x:xf>
    <x:xf numFmtId="215" fontId="20" fillId="4" borderId="58" xfId="0" applyAlignment="1">
      <x:alignment horizontal="left" vertical="top" wrapText="1"/>
    </x:xf>
    <x:xf numFmtId="179" fontId="0" fillId="34" borderId="61" xfId="0" applyAlignment="1">
      <x:alignment vertical="top"/>
    </x:xf>
    <x:xf numFmtId="215" fontId="20" fillId="4" borderId="61" xfId="0" applyAlignment="1">
      <x:alignment horizontal="left" vertical="top" wrapText="1"/>
    </x:xf>
    <x:xf numFmtId="184" fontId="7" fillId="4" borderId="6" xfId="0" applyAlignment="1">
      <x:alignment horizontal="left" vertical="top"/>
    </x:xf>
    <x:xf numFmtId="170" fontId="12" fillId="39" borderId="6" xfId="0" applyAlignment="1">
      <x:alignment vertical="top"/>
    </x:xf>
    <x:xf numFmtId="179" fontId="12" fillId="39" borderId="6" xfId="0" applyAlignment="1">
      <x:alignment vertical="top"/>
    </x:xf>
    <x:xf numFmtId="184" fontId="12" fillId="39" borderId="6" xfId="0" applyAlignment="1">
      <x:alignment vertical="top"/>
    </x:xf>
    <x:xf numFmtId="184" fontId="23" fillId="4" borderId="6" xfId="0" applyAlignment="1">
      <x:alignment vertical="top"/>
    </x:xf>
    <x:xf numFmtId="179" fontId="14" fillId="4" borderId="6" xfId="0" applyAlignment="1">
      <x:alignment vertical="top"/>
    </x:xf>
    <x:xf numFmtId="179" fontId="0" fillId="4" borderId="5" xfId="0" applyAlignment="1">
      <x:alignment vertical="top"/>
    </x:xf>
    <x:xf numFmtId="170" fontId="0" fillId="4" borderId="198" xfId="0" applyAlignment="1">
      <x:alignment vertical="top"/>
    </x:xf>
    <x:xf numFmtId="179" fontId="0" fillId="4" borderId="198" xfId="0" applyAlignment="1">
      <x:alignment vertical="top"/>
    </x:xf>
    <x:xf numFmtId="179" fontId="0" fillId="4" borderId="177" xfId="0" applyAlignment="1">
      <x:alignment vertical="top"/>
    </x:xf>
    <x:xf numFmtId="0" fontId="0" fillId="0" borderId="39" xfId="0"/>
    <x:xf numFmtId="186" fontId="7" fillId="4" borderId="6" xfId="0" applyAlignment="1">
      <x:alignment horizontal="left" vertical="bottom"/>
    </x:xf>
    <x:xf numFmtId="179" fontId="0" fillId="4" borderId="71" xfId="0" applyAlignment="1">
      <x:alignment vertical="bottom"/>
    </x:xf>
    <x:xf numFmtId="179" fontId="0" fillId="4" borderId="72" xfId="0" applyAlignment="1">
      <x:alignment vertical="bottom"/>
    </x:xf>
    <x:xf numFmtId="179" fontId="0" fillId="7" borderId="6" xfId="0" applyAlignment="1">
      <x:alignment vertical="bottom"/>
    </x:xf>
    <x:xf numFmtId="201" fontId="0" fillId="4" borderId="6" xfId="0" applyAlignment="1">
      <x:alignment vertical="bottom"/>
    </x:xf>
    <x:xf numFmtId="201" fontId="0" fillId="4" borderId="6" xfId="0" applyAlignment="1">
      <x:alignment vertical="bottom" wrapText="1"/>
    </x:xf>
    <x:xf numFmtId="179" fontId="0" fillId="4" borderId="73" xfId="0" applyAlignment="1">
      <x:alignment vertical="bottom"/>
    </x:xf>
    <x:xf numFmtId="179" fontId="0" fillId="4" borderId="74" xfId="0" applyAlignment="1">
      <x:alignment vertical="bottom"/>
    </x:xf>
    <x:xf numFmtId="179" fontId="0" fillId="4" borderId="75" xfId="0" applyAlignment="1">
      <x:alignment vertical="bottom"/>
    </x:xf>
    <x:xf numFmtId="179" fontId="0" fillId="4" borderId="76" xfId="0" applyAlignment="1">
      <x:alignment vertical="bottom"/>
    </x:xf>
    <x:xf numFmtId="191" fontId="0" fillId="4" borderId="6" xfId="0" applyAlignment="1">
      <x:alignment vertical="bottom"/>
    </x:xf>
    <x:xf numFmtId="186" fontId="7" fillId="4" borderId="18" xfId="0" applyAlignment="1">
      <x:alignment horizontal="left" vertical="bottom"/>
    </x:xf>
    <x:xf numFmtId="174" fontId="7" fillId="4" borderId="6" xfId="0" applyAlignment="1">
      <x:alignment horizontal="left" vertical="bottom"/>
    </x:xf>
    <x:xf numFmtId="186" fontId="0" fillId="4" borderId="6" xfId="0" applyAlignment="1">
      <x:alignment vertical="bottom"/>
    </x:xf>
    <x:xf numFmtId="0" fontId="0" fillId="0" borderId="41" xfId="0"/>
    <x:xf numFmtId="170" fontId="57" fillId="4" borderId="6" xfId="0" applyAlignment="1">
      <x:alignment horizontal="center" vertical="bottom"/>
    </x:xf>
    <x:xf numFmtId="170" fontId="0" fillId="4" borderId="46" xfId="0" applyAlignment="1">
      <x:alignment vertical="bottom"/>
    </x:xf>
    <x:xf numFmtId="170" fontId="0" fillId="4" borderId="6" xfId="0" applyAlignment="1">
      <x:alignment vertical="bottom"/>
    </x:xf>
    <x:xf numFmtId="179" fontId="0" fillId="4" borderId="46" xfId="0" applyAlignment="1">
      <x:alignment vertical="bottom"/>
    </x:xf>
    <x:xf numFmtId="184" fontId="0" fillId="4" borderId="7" xfId="0" applyAlignment="1">
      <x:alignment vertical="bottom"/>
    </x:xf>
    <x:xf numFmtId="216" fontId="0" fillId="4" borderId="6" xfId="0" applyAlignment="1">
      <x:alignment vertical="bottom"/>
    </x:xf>
    <x:xf numFmtId="216" fontId="0" fillId="4" borderId="46" xfId="0" applyAlignment="1">
      <x:alignment vertical="bottom"/>
    </x:xf>
    <x:xf numFmtId="217" fontId="0" fillId="4" borderId="6" xfId="0" applyAlignment="1">
      <x:alignment vertical="bottom"/>
    </x:xf>
    <x:xf numFmtId="184" fontId="0" fillId="4" borderId="6" xfId="0" applyAlignment="1">
      <x:alignment vertical="bottom"/>
    </x:xf>
    <x:xf numFmtId="179" fontId="7" fillId="4" borderId="6" xfId="0" applyAlignment="1">
      <x:alignment horizontal="center" vertical="bottom"/>
    </x:xf>
    <x:xf numFmtId="179" fontId="7" fillId="7" borderId="6" xfId="0" applyAlignment="1">
      <x:alignment horizontal="center" vertical="bottom"/>
    </x:xf>
    <x:xf numFmtId="218" fontId="7" fillId="4" borderId="6" xfId="0" applyAlignment="1">
      <x:alignment horizontal="right" vertical="center"/>
    </x:xf>
    <x:xf numFmtId="174" fontId="12" fillId="22" borderId="6" xfId="0" applyAlignment="1">
      <x:alignment vertical="bottom"/>
    </x:xf>
    <x:xf numFmtId="179" fontId="12" fillId="22" borderId="6" xfId="0" applyAlignment="1">
      <x:alignment horizontal="center" vertical="bottom"/>
    </x:xf>
    <x:xf numFmtId="198" fontId="0" fillId="4" borderId="7" xfId="0" applyAlignment="1">
      <x:alignment vertical="bottom"/>
    </x:xf>
    <x:xf numFmtId="218" fontId="7" fillId="4" borderId="20" xfId="0" applyAlignment="1">
      <x:alignment horizontal="right" vertical="center"/>
    </x:xf>
    <x:xf numFmtId="170" fontId="7" fillId="4" borderId="37" xfId="0" applyAlignment="1">
      <x:alignment horizontal="left" vertical="center"/>
    </x:xf>
    <x:xf numFmtId="170" fontId="7" fillId="4" borderId="39" xfId="0" applyAlignment="1">
      <x:alignment horizontal="left" vertical="center"/>
    </x:xf>
    <x:xf numFmtId="170" fontId="7" fillId="4" borderId="6" xfId="0" applyAlignment="1">
      <x:alignment horizontal="left" vertical="center"/>
    </x:xf>
    <x:xf numFmtId="170" fontId="7" fillId="4" borderId="5" xfId="0" applyAlignment="1">
      <x:alignment horizontal="left" vertical="center"/>
    </x:xf>
    <x:xf numFmtId="182" fontId="18" fillId="13" borderId="39" xfId="0" applyAlignment="1">
      <x:alignment horizontal="center" vertical="bottom"/>
    </x:xf>
    <x:xf numFmtId="182" fontId="18" fillId="13" borderId="41" xfId="0" applyAlignment="1">
      <x:alignment horizontal="center" vertical="bottom"/>
    </x:xf>
    <x:xf numFmtId="179" fontId="0" fillId="5" borderId="6" xfId="0" applyAlignment="1">
      <x:alignment vertical="bottom"/>
    </x:xf>
    <x:xf numFmtId="179" fontId="0" fillId="5" borderId="7" xfId="0" applyAlignment="1">
      <x:alignment vertical="bottom"/>
    </x:xf>
    <x:xf numFmtId="179" fontId="0" fillId="4" borderId="7" xfId="0" applyAlignment="1">
      <x:alignment vertical="bottom"/>
    </x:xf>
    <x:xf numFmtId="176" fontId="0" fillId="4" borderId="6" xfId="0" applyAlignment="1">
      <x:alignment vertical="bottom"/>
    </x:xf>
    <x:xf numFmtId="176" fontId="0" fillId="4" borderId="5" xfId="0" applyAlignment="1">
      <x:alignment vertical="bottom"/>
    </x:xf>
    <x:xf numFmtId="179" fontId="0" fillId="4" borderId="244" xfId="0" applyAlignment="1">
      <x:alignment vertical="bottom"/>
    </x:xf>
    <x:xf numFmtId="176" fontId="0" fillId="4" borderId="39" xfId="0" applyAlignment="1">
      <x:alignment vertical="bottom"/>
    </x:xf>
    <x:xf numFmtId="179" fontId="0" fillId="4" borderId="243" xfId="0" applyAlignment="1">
      <x:alignment vertical="bottom"/>
    </x:xf>
    <x:xf numFmtId="178" fontId="0" fillId="4" borderId="6" xfId="0" applyAlignment="1">
      <x:alignment vertical="bottom"/>
    </x:xf>
    <x:xf numFmtId="178" fontId="59" fillId="4" borderId="5" xfId="0" applyAlignment="1">
      <x:alignment vertical="bottom"/>
    </x:xf>
    <x:xf numFmtId="184" fontId="59" fillId="4" borderId="5" xfId="0" applyAlignment="1">
      <x:alignment vertical="bottom"/>
    </x:xf>
    <x:xf numFmtId="184" fontId="59" fillId="4" borderId="244" xfId="0" applyAlignment="1">
      <x:alignment vertical="bottom"/>
    </x:xf>
    <x:xf numFmtId="179" fontId="59" fillId="4" borderId="6" xfId="0" applyAlignment="1">
      <x:alignment vertical="bottom"/>
    </x:xf>
    <x:xf numFmtId="179" fontId="59" fillId="4" borderId="7" xfId="0" applyAlignment="1">
      <x:alignment vertical="bottom"/>
    </x:xf>
    <x:xf numFmtId="176" fontId="0" fillId="4" borderId="9" xfId="0" applyAlignment="1">
      <x:alignment vertical="bottom"/>
    </x:xf>
    <x:xf numFmtId="179" fontId="0" fillId="4" borderId="245" xfId="0" applyAlignment="1">
      <x:alignment vertical="bottom"/>
    </x:xf>
    <x:xf numFmtId="176" fontId="59" fillId="4" borderId="6" xfId="0" applyAlignment="1">
      <x:alignment vertical="bottom"/>
    </x:xf>
    <x:xf numFmtId="178" fontId="0" fillId="4" borderId="20" xfId="0" applyAlignment="1">
      <x:alignment vertical="bottom"/>
    </x:xf>
    <x:xf numFmtId="184" fontId="0" fillId="4" borderId="20" xfId="0" applyAlignment="1">
      <x:alignment vertical="bottom"/>
    </x:xf>
    <x:xf numFmtId="184" fontId="0" fillId="4" borderId="21" xfId="0" applyAlignment="1">
      <x:alignment vertical="bottom"/>
    </x:xf>
    <x:xf numFmtId="191" fontId="0" fillId="27" borderId="10" xfId="0" applyAlignment="1">
      <x:alignment vertical="bottom"/>
    </x:xf>
    <x:xf numFmtId="219" fontId="0" fillId="4" borderId="20" xfId="0" applyAlignment="1">
      <x:alignment vertical="bottom"/>
    </x:xf>
    <x:xf numFmtId="220" fontId="7" fillId="4" borderId="2" xfId="0" applyAlignment="1">
      <x:alignment horizontal="center" vertical="center"/>
    </x:xf>
    <x:xf numFmtId="184" fontId="0" fillId="4" borderId="39" xfId="0" applyAlignment="1">
      <x:alignment vertical="bottom"/>
    </x:xf>
    <x:xf numFmtId="184" fontId="0" fillId="4" borderId="5" xfId="0" applyAlignment="1">
      <x:alignment vertical="bottom"/>
    </x:xf>
    <x:xf numFmtId="179" fontId="0" fillId="5" borderId="9" xfId="0" applyAlignment="1">
      <x:alignment vertical="bottom"/>
    </x:xf>
    <x:xf numFmtId="184" fontId="0" fillId="5" borderId="9" xfId="0" applyAlignment="1">
      <x:alignment vertical="bottom"/>
    </x:xf>
    <x:xf numFmtId="174" fontId="0" fillId="4" borderId="6" xfId="0" applyAlignment="1">
      <x:alignment vertical="bottom"/>
    </x:xf>
    <x:xf numFmtId="174" fontId="7" fillId="4" borderId="13" xfId="0" applyAlignment="1">
      <x:alignment horizontal="center" vertical="bottom"/>
    </x:xf>
    <x:xf numFmtId="174" fontId="7" fillId="4" borderId="17" xfId="0" applyAlignment="1">
      <x:alignment horizontal="center" vertical="bottom"/>
    </x:xf>
    <x:xf numFmtId="174" fontId="7" fillId="4" borderId="6" xfId="0" applyAlignment="1">
      <x:alignment horizontal="center" vertical="bottom"/>
    </x:xf>
    <x:xf numFmtId="174" fontId="7" fillId="4" borderId="20" xfId="0" applyAlignment="1">
      <x:alignment horizontal="left" vertical="bottom"/>
    </x:xf>
    <x:xf numFmtId="189" fontId="0" fillId="4" borderId="25" xfId="0" applyAlignment="1">
      <x:alignment vertical="bottom"/>
    </x:xf>
    <x:xf numFmtId="189" fontId="0" fillId="4" borderId="22" xfId="0" applyAlignment="1">
      <x:alignment vertical="bottom"/>
    </x:xf>
    <x:xf numFmtId="191" fontId="0" fillId="4" borderId="22" xfId="0" applyAlignment="1">
      <x:alignment vertical="bottom"/>
    </x:xf>
    <x:xf numFmtId="189" fontId="0" fillId="4" borderId="23" xfId="0" applyAlignment="1">
      <x:alignment vertical="bottom"/>
    </x:xf>
    <x:xf numFmtId="189" fontId="0" fillId="5" borderId="6" xfId="0" applyAlignment="1">
      <x:alignment vertical="bottom"/>
    </x:xf>
    <x:xf numFmtId="179" fontId="0" fillId="5" borderId="6" xfId="0" applyAlignment="1">
      <x:alignment horizontal="center" vertical="bottom"/>
    </x:xf>
    <x:xf numFmtId="217" fontId="0" fillId="4" borderId="22" xfId="0" applyAlignment="1">
      <x:alignment vertical="bottom"/>
    </x:xf>
    <x:xf numFmtId="221" fontId="0" fillId="4" borderId="22" xfId="0" applyAlignment="1">
      <x:alignment vertical="bottom"/>
    </x:xf>
    <x:xf numFmtId="179" fontId="0" fillId="4" borderId="91" xfId="0" applyAlignment="1">
      <x:alignment vertical="bottom"/>
    </x:xf>
    <x:xf numFmtId="217" fontId="0" fillId="4" borderId="91" xfId="0" applyAlignment="1">
      <x:alignment vertical="bottom"/>
    </x:xf>
    <x:xf numFmtId="179" fontId="0" fillId="4" borderId="92" xfId="0" applyAlignment="1">
      <x:alignment vertical="bottom"/>
    </x:xf>
    <x:xf numFmtId="217" fontId="0" fillId="4" borderId="92" xfId="0" applyAlignment="1">
      <x:alignment vertical="bottom"/>
    </x:xf>
    <x:xf numFmtId="222" fontId="65" fillId="12" borderId="6" xfId="0" applyAlignment="1">
      <x:alignment vertical="bottom"/>
    </x:xf>
    <x:xf numFmtId="191" fontId="66" fillId="4" borderId="92" xfId="0" applyAlignment="1">
      <x:alignment vertical="bottom"/>
    </x:xf>
    <x:xf numFmtId="223" fontId="66" fillId="4" borderId="92" xfId="0" applyAlignment="1">
      <x:alignment vertical="bottom"/>
    </x:xf>
    <x:xf numFmtId="223" fontId="0" fillId="4" borderId="92" xfId="0" applyAlignment="1">
      <x:alignment vertical="bottom"/>
    </x:xf>
    <x:xf numFmtId="191" fontId="67" fillId="4" borderId="22" xfId="0" applyAlignment="1">
      <x:alignment vertical="bottom"/>
    </x:xf>
    <x:xf numFmtId="223" fontId="66" fillId="4" borderId="22" xfId="0" applyAlignment="1">
      <x:alignment vertical="bottom"/>
    </x:xf>
    <x:xf numFmtId="223" fontId="0" fillId="4" borderId="22" xfId="0" applyAlignment="1">
      <x:alignment vertical="bottom"/>
    </x:xf>
    <x:xf numFmtId="223" fontId="66" fillId="4" borderId="91" xfId="0" applyAlignment="1">
      <x:alignment vertical="bottom"/>
    </x:xf>
    <x:xf numFmtId="223" fontId="0" fillId="4" borderId="91" xfId="0" applyAlignment="1">
      <x:alignment vertical="bottom"/>
    </x:xf>
    <x:xf numFmtId="224" fontId="68" fillId="4" borderId="22" xfId="0" applyAlignment="1">
      <x:alignment horizontal="center" vertical="bottom"/>
    </x:xf>
    <x:xf numFmtId="223" fontId="67" fillId="4" borderId="22" xfId="0" applyAlignment="1">
      <x:alignment vertical="bottom"/>
    </x:xf>
    <x:xf numFmtId="223" fontId="67" fillId="4" borderId="91" xfId="0" applyAlignment="1">
      <x:alignment vertical="bottom"/>
    </x:xf>
    <x:xf numFmtId="223" fontId="0" fillId="27" borderId="9" xfId="0" applyAlignment="1">
      <x:alignment vertical="bottom"/>
    </x:xf>
    <x:xf numFmtId="170" fontId="0" fillId="4" borderId="92" xfId="0" applyAlignment="1">
      <x:alignment vertical="bottom"/>
    </x:xf>
    <x:xf numFmtId="179" fontId="66" fillId="4" borderId="22" xfId="0" applyAlignment="1">
      <x:alignment vertical="bottom"/>
    </x:xf>
    <x:xf numFmtId="170" fontId="0" fillId="4" borderId="91" xfId="0" applyAlignment="1">
      <x:alignment vertical="bottom"/>
    </x:xf>
    <x:xf numFmtId="179" fontId="66" fillId="4" borderId="91" xfId="0" applyAlignment="1">
      <x:alignment vertical="bottom"/>
    </x:xf>
    <x:xf numFmtId="179" fontId="0" fillId="26" borderId="9" xfId="0" applyAlignment="1">
      <x:alignment vertical="bottom"/>
    </x:xf>
    <x:xf numFmtId="223" fontId="0" fillId="26" borderId="9" xfId="0" applyAlignment="1">
      <x:alignment vertical="bottom"/>
    </x:xf>
    <x:xf numFmtId="170" fontId="0" fillId="16" borderId="39" xfId="0" applyAlignment="1">
      <x:alignment vertical="bottom"/>
    </x:xf>
    <x:xf numFmtId="179" fontId="66" fillId="16" borderId="39" xfId="0" applyAlignment="1">
      <x:alignment vertical="bottom"/>
    </x:xf>
    <x:xf numFmtId="179" fontId="0" fillId="16" borderId="39" xfId="0" applyAlignment="1">
      <x:alignment vertical="bottom"/>
    </x:xf>
    <x:xf numFmtId="223" fontId="0" fillId="16" borderId="39" xfId="0" applyAlignment="1">
      <x:alignment vertical="bottom"/>
    </x:xf>
    <x:xf numFmtId="170" fontId="0" fillId="16" borderId="6" xfId="0" applyAlignment="1">
      <x:alignment vertical="bottom"/>
    </x:xf>
    <x:xf numFmtId="224" fontId="0" fillId="16" borderId="6" xfId="0" applyAlignment="1">
      <x:alignment vertical="bottom"/>
    </x:xf>
    <x:xf numFmtId="184" fontId="0" fillId="16" borderId="6" xfId="0" applyAlignment="1">
      <x:alignment vertical="bottom"/>
    </x:xf>
    <x:xf numFmtId="223" fontId="0" fillId="16" borderId="6" xfId="0" applyAlignment="1">
      <x:alignment vertical="bottom"/>
    </x:xf>
    <x:xf numFmtId="170" fontId="0" fillId="16" borderId="5" xfId="0" applyAlignment="1">
      <x:alignment vertical="bottom"/>
    </x:xf>
    <x:xf numFmtId="224" fontId="0" fillId="16" borderId="5" xfId="0" applyAlignment="1">
      <x:alignment vertical="bottom"/>
    </x:xf>
    <x:xf numFmtId="184" fontId="0" fillId="16" borderId="5" xfId="0" applyAlignment="1">
      <x:alignment vertical="bottom"/>
    </x:xf>
    <x:xf numFmtId="223" fontId="0" fillId="16" borderId="5" xfId="0" applyAlignment="1">
      <x:alignment vertical="bottom"/>
    </x:xf>
    <x:xf numFmtId="170" fontId="0" fillId="16" borderId="9" xfId="0" applyAlignment="1">
      <x:alignment vertical="bottom"/>
    </x:xf>
    <x:xf numFmtId="179" fontId="66" fillId="16" borderId="9" xfId="0" applyAlignment="1">
      <x:alignment vertical="bottom"/>
    </x:xf>
    <x:xf numFmtId="179" fontId="0" fillId="16" borderId="9" xfId="0" applyAlignment="1">
      <x:alignment vertical="bottom"/>
    </x:xf>
    <x:xf numFmtId="223" fontId="0" fillId="16" borderId="9" xfId="0" applyAlignment="1">
      <x:alignment vertical="bottom"/>
    </x:xf>
    <x:xf numFmtId="223" fontId="66" fillId="16" borderId="6" xfId="0" applyAlignment="1">
      <x:alignment vertical="bottom"/>
    </x:xf>
    <x:xf numFmtId="223" fontId="66" fillId="16" borderId="5" xfId="0" applyAlignment="1">
      <x:alignment vertical="bottom"/>
    </x:xf>
    <x:xf numFmtId="179" fontId="0" fillId="16" borderId="6" xfId="0" applyAlignment="1">
      <x:alignment vertical="bottom"/>
    </x:xf>
    <x:xf numFmtId="224" fontId="0" fillId="40" borderId="6" xfId="0" applyAlignment="1">
      <x:alignment vertical="bottom"/>
    </x:xf>
    <x:xf numFmtId="223" fontId="0" fillId="40" borderId="6" xfId="0" applyAlignment="1">
      <x:alignment vertical="bottom"/>
    </x:xf>
    <x:xf numFmtId="223" fontId="0" fillId="40" borderId="5" xfId="0" applyAlignment="1">
      <x:alignment vertical="bottom"/>
    </x:xf>
    <x:xf numFmtId="223" fontId="67" fillId="40" borderId="5" xfId="0" applyAlignment="1">
      <x:alignment vertical="bottom"/>
    </x:xf>
    <x:xf numFmtId="223" fontId="0" fillId="40" borderId="39" xfId="0" applyAlignment="1">
      <x:alignment vertical="bottom"/>
    </x:xf>
    <x:xf numFmtId="179" fontId="0" fillId="40" borderId="6" xfId="0" applyAlignment="1">
      <x:alignment vertical="bottom"/>
    </x:xf>
    <x:xf numFmtId="224" fontId="68" fillId="4" borderId="25" xfId="0" applyAlignment="1">
      <x:alignment horizontal="center" vertical="bottom"/>
    </x:xf>
    <x:xf numFmtId="179" fontId="0" fillId="4" borderId="25" xfId="0" applyAlignment="1">
      <x:alignment vertical="bottom"/>
    </x:xf>
    <x:xf numFmtId="224" fontId="0" fillId="4" borderId="91" xfId="0" applyAlignment="1">
      <x:alignment vertical="bottom"/>
    </x:xf>
    <x:xf numFmtId="179" fontId="0" fillId="41" borderId="9" xfId="0" applyAlignment="1">
      <x:alignment vertical="bottom"/>
    </x:xf>
    <x:xf numFmtId="223" fontId="0" fillId="41" borderId="9" xfId="0" applyAlignment="1">
      <x:alignment vertical="bottom"/>
    </x:xf>
    <x:xf numFmtId="170" fontId="0" fillId="42" borderId="39" xfId="0" applyAlignment="1">
      <x:alignment vertical="bottom"/>
    </x:xf>
    <x:xf numFmtId="179" fontId="66" fillId="42" borderId="39" xfId="0" applyAlignment="1">
      <x:alignment vertical="bottom"/>
    </x:xf>
    <x:xf numFmtId="179" fontId="0" fillId="42" borderId="39" xfId="0" applyAlignment="1">
      <x:alignment vertical="bottom"/>
    </x:xf>
    <x:xf numFmtId="223" fontId="0" fillId="42" borderId="39" xfId="0" applyAlignment="1">
      <x:alignment vertical="bottom"/>
    </x:xf>
    <x:xf numFmtId="170" fontId="0" fillId="42" borderId="6" xfId="0" applyAlignment="1">
      <x:alignment vertical="bottom"/>
    </x:xf>
    <x:xf numFmtId="184" fontId="0" fillId="42" borderId="6" xfId="0" applyAlignment="1">
      <x:alignment vertical="bottom"/>
    </x:xf>
    <x:xf numFmtId="223" fontId="0" fillId="42" borderId="6" xfId="0" applyAlignment="1">
      <x:alignment vertical="bottom"/>
    </x:xf>
    <x:xf numFmtId="170" fontId="0" fillId="42" borderId="5" xfId="0" applyAlignment="1">
      <x:alignment vertical="bottom"/>
    </x:xf>
    <x:xf numFmtId="224" fontId="0" fillId="42" borderId="5" xfId="0" applyAlignment="1">
      <x:alignment vertical="bottom"/>
    </x:xf>
    <x:xf numFmtId="184" fontId="0" fillId="42" borderId="5" xfId="0" applyAlignment="1">
      <x:alignment vertical="bottom"/>
    </x:xf>
    <x:xf numFmtId="223" fontId="0" fillId="42" borderId="5" xfId="0" applyAlignment="1">
      <x:alignment vertical="bottom"/>
    </x:xf>
    <x:xf numFmtId="170" fontId="0" fillId="42" borderId="9" xfId="0" applyAlignment="1">
      <x:alignment vertical="bottom"/>
    </x:xf>
    <x:xf numFmtId="179" fontId="66" fillId="42" borderId="9" xfId="0" applyAlignment="1">
      <x:alignment vertical="bottom"/>
    </x:xf>
    <x:xf numFmtId="179" fontId="0" fillId="42" borderId="9" xfId="0" applyAlignment="1">
      <x:alignment vertical="bottom"/>
    </x:xf>
    <x:xf numFmtId="223" fontId="0" fillId="42" borderId="9" xfId="0" applyAlignment="1">
      <x:alignment vertical="bottom"/>
    </x:xf>
    <x:xf numFmtId="223" fontId="66" fillId="42" borderId="6" xfId="0" applyAlignment="1">
      <x:alignment vertical="bottom"/>
    </x:xf>
    <x:xf numFmtId="179" fontId="0" fillId="42" borderId="6" xfId="0" applyAlignment="1">
      <x:alignment vertical="bottom"/>
    </x:xf>
    <x:xf numFmtId="224" fontId="0" fillId="21" borderId="6" xfId="0" applyAlignment="1">
      <x:alignment vertical="bottom"/>
    </x:xf>
    <x:xf numFmtId="223" fontId="0" fillId="21" borderId="6" xfId="0" applyAlignment="1">
      <x:alignment vertical="bottom"/>
    </x:xf>
    <x:xf numFmtId="223" fontId="0" fillId="21" borderId="5" xfId="0" applyAlignment="1">
      <x:alignment vertical="bottom"/>
    </x:xf>
    <x:xf numFmtId="223" fontId="67" fillId="21" borderId="5" xfId="0" applyAlignment="1">
      <x:alignment vertical="bottom"/>
    </x:xf>
    <x:xf numFmtId="223" fontId="0" fillId="21" borderId="39" xfId="0" applyAlignment="1">
      <x:alignment vertical="bottom"/>
    </x:xf>
    <x:xf numFmtId="179" fontId="0" fillId="21" borderId="6" xfId="0" applyAlignment="1">
      <x:alignment vertical="bottom"/>
    </x:xf>
    <x:xf numFmtId="186" fontId="53" fillId="4" borderId="248" xfId="0" applyAlignment="1">
      <x:alignment horizontal="center" vertical="bottom"/>
    </x:xf>
    <x:xf numFmtId="186" fontId="53" fillId="4" borderId="247" xfId="0" applyAlignment="1">
      <x:alignment horizontal="center" vertical="bottom"/>
    </x:xf>
    <x:xf numFmtId="0" fontId="0" fillId="0" borderId="341" xfId="0"/>
    <x:xf numFmtId="186" fontId="0" fillId="4" borderId="247" xfId="0" applyAlignment="1">
      <x:alignment vertical="bottom"/>
    </x:xf>
    <x:xf numFmtId="225" fontId="0" fillId="4" borderId="247" xfId="0" applyAlignment="1">
      <x:alignment vertical="bottom"/>
    </x:xf>
    <x:xf numFmtId="186" fontId="53" fillId="4" borderId="247" xfId="0" applyAlignment="1">
      <x:alignment horizontal="right" vertical="bottom"/>
    </x:xf>
    <x:xf numFmtId="186" fontId="0" fillId="4" borderId="26" xfId="0" applyAlignment="1">
      <x:alignment vertical="bottom"/>
    </x:xf>
    <x:xf numFmtId="186" fontId="53" fillId="4" borderId="22" xfId="0" applyAlignment="1">
      <x:alignment horizontal="center" vertical="bottom"/>
    </x:xf>
    <x:xf numFmtId="186" fontId="53" fillId="4" borderId="91" xfId="0" applyAlignment="1">
      <x:alignment horizontal="center" vertical="bottom"/>
    </x:xf>
    <x:xf numFmtId="186" fontId="70" fillId="4" borderId="22" xfId="0" applyAlignment="1">
      <x:alignment horizontal="center" vertical="bottom"/>
    </x:xf>
    <x:xf numFmtId="186" fontId="53" fillId="4" borderId="22" xfId="0" applyAlignment="1">
      <x:alignment horizontal="right" vertical="bottom"/>
    </x:xf>
    <x:xf numFmtId="182" fontId="71" fillId="4" borderId="25" xfId="0" applyAlignment="1">
      <x:alignment vertical="bottom"/>
    </x:xf>
    <x:xf numFmtId="223" fontId="71" fillId="4" borderId="87" xfId="0" applyAlignment="1">
      <x:alignment vertical="bottom"/>
    </x:xf>
    <x:xf numFmtId="223" fontId="0" fillId="4" borderId="87" xfId="0" applyAlignment="1">
      <x:alignment vertical="bottom"/>
    </x:xf>
    <x:xf numFmtId="186" fontId="53" fillId="4" borderId="92" xfId="0" applyAlignment="1">
      <x:alignment horizontal="right" vertical="bottom"/>
    </x:xf>
    <x:xf numFmtId="186" fontId="0" fillId="4" borderId="22" xfId="0" applyAlignment="1">
      <x:alignment vertical="bottom"/>
    </x:xf>
    <x:xf numFmtId="186" fontId="52" fillId="4" borderId="22" xfId="0" applyAlignment="1">
      <x:alignment horizontal="right" vertical="bottom"/>
    </x:xf>
    <x:xf numFmtId="189" fontId="52" fillId="15" borderId="250" xfId="0" applyAlignment="1">
      <x:alignment vertical="bottom"/>
    </x:xf>
    <x:xf numFmtId="179" fontId="52" fillId="16" borderId="251" xfId="0" applyAlignment="1">
      <x:alignment vertical="bottom"/>
    </x:xf>
    <x:xf numFmtId="189" fontId="0" fillId="4" borderId="252" xfId="0" applyAlignment="1">
      <x:alignment vertical="bottom"/>
    </x:xf>
    <x:xf numFmtId="179" fontId="72" fillId="4" borderId="25" xfId="0" applyAlignment="1">
      <x:alignment vertical="bottom"/>
    </x:xf>
    <x:xf numFmtId="179" fontId="0" fillId="4" borderId="253" xfId="0" applyAlignment="1">
      <x:alignment vertical="bottom"/>
    </x:xf>
    <x:xf numFmtId="179" fontId="0" fillId="4" borderId="254" xfId="0" applyAlignment="1">
      <x:alignment vertical="bottom"/>
    </x:xf>
    <x:xf numFmtId="179" fontId="71" fillId="4" borderId="22" xfId="0" applyAlignment="1">
      <x:alignment vertical="bottom"/>
    </x:xf>
    <x:xf numFmtId="179" fontId="0" fillId="4" borderId="255" xfId="0" applyAlignment="1">
      <x:alignment vertical="bottom"/>
    </x:xf>
    <x:xf numFmtId="179" fontId="0" fillId="4" borderId="252" xfId="0" applyAlignment="1">
      <x:alignment vertical="bottom"/>
    </x:xf>
    <x:xf numFmtId="179" fontId="0" fillId="4" borderId="256" xfId="0" applyAlignment="1">
      <x:alignment vertical="bottom"/>
    </x:xf>
    <x:xf numFmtId="179" fontId="71" fillId="4" borderId="91" xfId="0" applyAlignment="1">
      <x:alignment vertical="bottom"/>
    </x:xf>
    <x:xf numFmtId="179" fontId="0" fillId="4" borderId="257" xfId="0" applyAlignment="1">
      <x:alignment vertical="bottom"/>
    </x:xf>
    <x:xf numFmtId="179" fontId="52" fillId="16" borderId="258" xfId="0" applyAlignment="1">
      <x:alignment vertical="bottom"/>
    </x:xf>
    <x:xf numFmtId="179" fontId="0" fillId="4" borderId="259" xfId="0" applyAlignment="1">
      <x:alignment vertical="bottom"/>
    </x:xf>
    <x:xf numFmtId="189" fontId="0" fillId="4" borderId="95" xfId="0" applyAlignment="1">
      <x:alignment vertical="bottom"/>
    </x:xf>
    <x:xf numFmtId="189" fontId="71" fillId="4" borderId="92" xfId="0" applyAlignment="1">
      <x:alignment vertical="bottom"/>
    </x:xf>
    <x:xf numFmtId="189" fontId="0" fillId="4" borderId="92" xfId="0" applyAlignment="1">
      <x:alignment vertical="bottom"/>
    </x:xf>
    <x:xf numFmtId="186" fontId="53" fillId="4" borderId="256" xfId="0" applyAlignment="1">
      <x:alignment horizontal="center" vertical="bottom"/>
    </x:xf>
    <x:xf numFmtId="223" fontId="52" fillId="16" borderId="251" xfId="0" applyAlignment="1">
      <x:alignment vertical="bottom"/>
    </x:xf>
    <x:xf numFmtId="223" fontId="0" fillId="4" borderId="252" xfId="0" applyAlignment="1">
      <x:alignment vertical="bottom"/>
    </x:xf>
    <x:xf numFmtId="186" fontId="0" fillId="27" borderId="41" xfId="0" applyAlignment="1">
      <x:alignment vertical="bottom"/>
    </x:xf>
    <x:xf numFmtId="186" fontId="0" fillId="27" borderId="51" xfId="0" applyAlignment="1">
      <x:alignment vertical="bottom"/>
    </x:xf>
    <x:xf numFmtId="186" fontId="0" fillId="4" borderId="86" xfId="0" applyAlignment="1">
      <x:alignment vertical="bottom"/>
    </x:xf>
    <x:xf numFmtId="170" fontId="0" fillId="4" borderId="6" xfId="0" applyAlignment="1">
      <x:alignment horizontal="right" vertical="bottom"/>
    </x:xf>
    <x:xf numFmtId="170" fontId="74" fillId="4" borderId="6" xfId="0" applyAlignment="1">
      <x:alignment horizontal="center" vertical="bottom"/>
    </x:xf>
    <x:xf numFmtId="177" fontId="74" fillId="4" borderId="6" xfId="0" applyAlignment="1">
      <x:alignment horizontal="center" vertical="bottom"/>
    </x:xf>
    <x:xf numFmtId="170" fontId="0" fillId="4" borderId="5" xfId="0" applyAlignment="1">
      <x:alignment horizontal="right" vertical="bottom"/>
    </x:xf>
    <x:xf numFmtId="170" fontId="0" fillId="4" borderId="39" xfId="0" applyAlignment="1">
      <x:alignment horizontal="right" vertical="bottom"/>
    </x:xf>
    <x:xf numFmtId="179" fontId="1" fillId="4" borderId="6" xfId="0" applyAlignment="1">
      <x:alignment horizontal="right" vertical="bottom"/>
    </x:xf>
    <x:xf numFmtId="170" fontId="0" fillId="4" borderId="6" xfId="0" applyAlignment="1">
      <x:alignment horizontal="center" vertical="bottom"/>
    </x:xf>
    <x:xf numFmtId="179" fontId="0" fillId="4" borderId="6" xfId="0" applyAlignment="1">
      <x:alignment horizontal="left" vertical="bottom"/>
    </x:xf>
    <x:xf numFmtId="170" fontId="1" fillId="4" borderId="6" xfId="0" applyAlignment="1">
      <x:alignment horizontal="right" vertical="bottom"/>
    </x:xf>
    <x:xf numFmtId="179" fontId="1" fillId="4" borderId="6" xfId="0" applyAlignment="1">
      <x:alignment horizontal="left" vertical="bottom"/>
    </x:xf>
    <x:xf numFmtId="174" fontId="0" fillId="4" borderId="268" xfId="0" applyAlignment="1">
      <x:alignment horizontal="center" vertical="center" wrapText="1"/>
    </x:xf>
    <x:xf numFmtId="174" fontId="0" fillId="4" borderId="269" xfId="0" applyAlignment="1">
      <x:alignment horizontal="center" vertical="center" wrapText="1"/>
    </x:xf>
    <x:xf numFmtId="170" fontId="0" fillId="4" borderId="5" xfId="0" applyAlignment="1">
      <x:alignment vertical="bottom"/>
    </x:xf>
    <x:xf numFmtId="170" fontId="0" fillId="4" borderId="39" xfId="0" applyAlignment="1">
      <x:alignment vertical="bottom"/>
    </x:xf>
    <x:xf numFmtId="226" fontId="0" fillId="4" borderId="6" xfId="0" applyAlignment="1">
      <x:alignment horizontal="left" vertical="bottom"/>
    </x:xf>
    <x:xf numFmtId="170" fontId="75" fillId="7" borderId="6" xfId="0" applyAlignment="1">
      <x:alignment vertical="bottom"/>
    </x:xf>
    <x:xf numFmtId="170" fontId="75" fillId="4" borderId="6" xfId="0" applyAlignment="1">
      <x:alignment vertical="bottom"/>
    </x:xf>
    <x:xf numFmtId="178" fontId="75" fillId="7" borderId="6" xfId="0" applyAlignment="1">
      <x:alignment vertical="bottom"/>
    </x:xf>
    <x:xf numFmtId="178" fontId="75" fillId="4" borderId="6" xfId="0" applyAlignment="1">
      <x:alignment vertical="bottom"/>
    </x:xf>
    <x:xf numFmtId="184" fontId="75" fillId="4" borderId="6" xfId="0" applyAlignment="1">
      <x:alignment vertical="bottom"/>
    </x:xf>
    <x:xf numFmtId="178" fontId="0" fillId="7" borderId="6" xfId="0" applyAlignment="1">
      <x:alignment vertical="bottom"/>
    </x:xf>
    <x:xf numFmtId="170" fontId="0" fillId="7" borderId="6" xfId="0" applyAlignment="1">
      <x:alignment vertical="bottom"/>
    </x:xf>
    <x:xf numFmtId="176" fontId="0" fillId="7" borderId="6" xfId="0" applyAlignment="1">
      <x:alignment vertical="bottom"/>
    </x:xf>
    <x:xf numFmtId="176" fontId="0" fillId="7" borderId="39" xfId="0" applyAlignment="1">
      <x:alignment vertical="bottom"/>
    </x:xf>
    <x:xf numFmtId="179" fontId="0" fillId="44" borderId="6" xfId="0" applyAlignment="1">
      <x:alignment horizontal="left" vertical="bottom"/>
    </x:xf>
    <x:xf numFmtId="179" fontId="0" fillId="44" borderId="6" xfId="0" applyAlignment="1">
      <x:alignment vertical="bottom"/>
    </x:xf>
    <x:xf numFmtId="170" fontId="0" fillId="44" borderId="6" xfId="0" applyAlignment="1">
      <x:alignment vertical="bottom"/>
    </x:xf>
    <x:xf numFmtId="176" fontId="0" fillId="4" borderId="6" xfId="0" applyAlignment="1">
      <x:alignment horizontal="right" vertical="bottom"/>
    </x:xf>
    <x:xf numFmtId="176" fontId="0" fillId="4" borderId="39" xfId="0" applyAlignment="1">
      <x:alignment horizontal="right" vertical="bottom"/>
    </x:xf>
    <x:xf numFmtId="223" fontId="0" fillId="4" borderId="6" xfId="0" applyAlignment="1">
      <x:alignment vertical="bottom"/>
    </x:xf>
    <x:xf numFmtId="174" fontId="0" fillId="44" borderId="6" xfId="0" applyAlignment="1">
      <x:alignment vertical="center"/>
    </x:xf>
    <x:xf numFmtId="176" fontId="1" fillId="4" borderId="6" xfId="0" applyAlignment="1">
      <x:alignment horizontal="right" vertical="bottom"/>
    </x:xf>
    <x:xf numFmtId="176" fontId="1" fillId="4" borderId="271" xfId="0" applyAlignment="1">
      <x:alignment horizontal="right" vertical="bottom"/>
    </x:xf>
    <x:xf numFmtId="193" fontId="7" fillId="4" borderId="6" xfId="0" applyAlignment="1">
      <x:alignment vertical="center"/>
    </x:xf>
    <x:xf numFmtId="176" fontId="1" fillId="4" borderId="243" xfId="0" applyAlignment="1">
      <x:alignment horizontal="right" vertical="bottom"/>
    </x:xf>
    <x:xf numFmtId="174" fontId="0" fillId="4" borderId="6" xfId="0" applyAlignment="1">
      <x:alignment horizontal="center" vertical="bottom"/>
    </x:xf>
    <x:xf numFmtId="176" fontId="76" fillId="4" borderId="6" xfId="0" applyAlignment="1">
      <x:alignment vertical="bottom"/>
    </x:xf>
    <x:xf numFmtId="176" fontId="0" fillId="4" borderId="20" xfId="0" applyAlignment="1">
      <x:alignment vertical="bottom"/>
    </x:xf>
    <x:xf numFmtId="179" fontId="7" fillId="4" borderId="6" xfId="0" applyAlignment="1">
      <x:alignment horizontal="left" vertical="bottom"/>
    </x:xf>
    <x:xf numFmtId="179" fontId="7" fillId="4" borderId="5" xfId="0" applyAlignment="1">
      <x:alignment horizontal="left" vertical="bottom"/>
    </x:xf>
    <x:xf numFmtId="179" fontId="7" fillId="4" borderId="39" xfId="0" applyAlignment="1">
      <x:alignment horizontal="left" vertical="bottom"/>
    </x:xf>
    <x:xf numFmtId="179" fontId="7" fillId="4" borderId="272" xfId="0" applyAlignment="1">
      <x:alignment horizontal="center" vertical="bottom"/>
    </x:xf>
    <x:xf numFmtId="179" fontId="7" fillId="4" borderId="273" xfId="0" applyAlignment="1">
      <x:alignment horizontal="center" vertical="bottom"/>
    </x:xf>
    <x:xf numFmtId="179" fontId="7" fillId="4" borderId="274" xfId="0" applyAlignment="1">
      <x:alignment horizontal="center" vertical="bottom"/>
    </x:xf>
    <x:xf numFmtId="179" fontId="7" fillId="4" borderId="275" xfId="0" applyAlignment="1">
      <x:alignment horizontal="center" vertical="bottom"/>
    </x:xf>
    <x:xf numFmtId="179" fontId="7" fillId="4" borderId="276" xfId="0" applyAlignment="1">
      <x:alignment horizontal="center" vertical="bottom"/>
    </x:xf>
    <x:xf numFmtId="179" fontId="7" fillId="4" borderId="277" xfId="0" applyAlignment="1">
      <x:alignment horizontal="center" vertical="bottom"/>
    </x:xf>
    <x:xf numFmtId="179" fontId="0" fillId="4" borderId="278" xfId="0" applyAlignment="1">
      <x:alignment vertical="bottom"/>
    </x:xf>
    <x:xf numFmtId="179" fontId="0" fillId="4" borderId="279" xfId="0" applyAlignment="1">
      <x:alignment vertical="bottom"/>
    </x:xf>
    <x:xf numFmtId="179" fontId="0" fillId="4" borderId="280" xfId="0" applyAlignment="1">
      <x:alignment vertical="bottom"/>
    </x:xf>
    <x:xf numFmtId="179" fontId="0" fillId="4" borderId="272" xfId="0" applyAlignment="1">
      <x:alignment vertical="bottom"/>
    </x:xf>
    <x:xf numFmtId="179" fontId="0" fillId="4" borderId="273" xfId="0" applyAlignment="1">
      <x:alignment vertical="bottom"/>
    </x:xf>
    <x:xf numFmtId="179" fontId="0" fillId="4" borderId="274" xfId="0" applyAlignment="1">
      <x:alignment vertical="bottom"/>
    </x:xf>
    <x:xf numFmtId="179" fontId="0" fillId="4" borderId="275" xfId="0" applyAlignment="1">
      <x:alignment vertical="bottom"/>
    </x:xf>
    <x:xf numFmtId="179" fontId="0" fillId="4" borderId="276" xfId="0" applyAlignment="1">
      <x:alignment vertical="bottom"/>
    </x:xf>
    <x:xf numFmtId="179" fontId="0" fillId="4" borderId="277" xfId="0" applyAlignment="1">
      <x:alignment vertical="bottom"/>
    </x:xf>
    <x:xf numFmtId="170" fontId="7" fillId="4" borderId="6" xfId="0" applyAlignment="1">
      <x:alignment horizontal="right" vertical="bottom"/>
    </x:xf>
    <x:xf numFmtId="170" fontId="7" fillId="4" borderId="6" xfId="0" applyAlignment="1">
      <x:alignment horizontal="left" vertical="bottom"/>
    </x:xf>
    <x:xf numFmtId="211" fontId="7" fillId="4" borderId="6" xfId="0" applyAlignment="1">
      <x:alignment horizontal="left" vertical="bottom"/>
    </x:xf>
    <x:xf numFmtId="170" fontId="7" fillId="4" borderId="5" xfId="0" applyAlignment="1">
      <x:alignment horizontal="left" vertical="bottom"/>
    </x:xf>
    <x:xf numFmtId="211" fontId="7" fillId="4" borderId="5" xfId="0" applyAlignment="1">
      <x:alignment horizontal="left" vertical="bottom"/>
    </x:xf>
    <x:xf numFmtId="170" fontId="7" fillId="4" borderId="39" xfId="0" applyAlignment="1">
      <x:alignment horizontal="left" vertical="bottom"/>
    </x:xf>
    <x:xf numFmtId="211" fontId="7" fillId="4" borderId="39" xfId="0" applyAlignment="1">
      <x:alignment horizontal="left" vertical="bottom"/>
    </x:xf>
    <x:xf numFmtId="179" fontId="7" fillId="4" borderId="278" xfId="0" applyAlignment="1">
      <x:alignment horizontal="left" vertical="bottom"/>
    </x:xf>
    <x:xf numFmtId="179" fontId="7" fillId="4" borderId="280" xfId="0" applyAlignment="1">
      <x:alignment horizontal="left" vertical="bottom"/>
    </x:xf>
    <x:xf numFmtId="179" fontId="0" fillId="4" borderId="20" xfId="0" applyAlignment="1">
      <x:alignment vertical="bottom"/>
    </x:xf>
    <x:xf numFmtId="209" fontId="79" fillId="4" borderId="25" xfId="0" applyAlignment="1">
      <x:alignment vertical="bottom"/>
    </x:xf>
    <x:xf numFmtId="209" fontId="79" fillId="4" borderId="22" xfId="0" applyAlignment="1">
      <x:alignment vertical="bottom"/>
    </x:xf>
    <x:xf numFmtId="227" fontId="79" fillId="4" borderId="22" xfId="0" applyAlignment="1">
      <x:alignment vertical="bottom"/>
    </x:xf>
    <x:xf numFmtId="165" fontId="79" fillId="4" borderId="25" xfId="0" applyAlignment="1">
      <x:alignment vertical="bottom"/>
    </x:xf>
    <x:xf numFmtId="227" fontId="0" fillId="4" borderId="25" xfId="0" applyAlignment="1">
      <x:alignment vertical="bottom"/>
    </x:xf>
    <x:xf numFmtId="165" fontId="79" fillId="4" borderId="23" xfId="0" applyAlignment="1">
      <x:alignment vertical="bottom"/>
    </x:xf>
    <x:xf numFmtId="227" fontId="0" fillId="4" borderId="23" xfId="0" applyAlignment="1">
      <x:alignment vertical="bottom"/>
    </x:xf>
    <x:xf numFmtId="165" fontId="0" fillId="40" borderId="6" xfId="0" applyAlignment="1">
      <x:alignment vertical="bottom"/>
    </x:xf>
    <x:xf numFmtId="227" fontId="0" fillId="40" borderId="6" xfId="0" applyAlignment="1">
      <x:alignment vertical="bottom"/>
    </x:xf>
    <x:xf numFmtId="227" fontId="0" fillId="4" borderId="28" xfId="0" applyAlignment="1">
      <x:alignment vertical="bottom"/>
    </x:xf>
    <x:xf numFmtId="228" fontId="0" fillId="4" borderId="25" xfId="0" applyAlignment="1">
      <x:alignment vertical="bottom"/>
    </x:xf>
    <x:xf numFmtId="228" fontId="0" fillId="4" borderId="22" xfId="0" applyAlignment="1">
      <x:alignment vertical="bottom"/>
    </x:xf>
    <x:xf numFmtId="165" fontId="80" fillId="4" borderId="25" xfId="0" applyAlignment="1">
      <x:alignment vertical="bottom"/>
    </x:xf>
    <x:xf numFmtId="165" fontId="79" fillId="4" borderId="282" xfId="0" applyAlignment="1">
      <x:alignment vertical="bottom"/>
    </x:xf>
    <x:xf numFmtId="165" fontId="0" fillId="0" borderId="282" xfId="0" applyAlignment="1">
      <x:alignment vertical="bottom"/>
    </x:xf>
    <x:xf numFmtId="228" fontId="79" fillId="4" borderId="282" xfId="0" applyAlignment="1">
      <x:alignment vertical="bottom"/>
    </x:xf>
    <x:xf numFmtId="227" fontId="79" fillId="4" borderId="282" xfId="0" applyAlignment="1">
      <x:alignment vertical="bottom"/>
    </x:xf>
    <x:xf numFmtId="165" fontId="80" fillId="4" borderId="282" xfId="0" applyAlignment="1">
      <x:alignment vertical="bottom"/>
    </x:xf>
    <x:xf numFmtId="165" fontId="0" fillId="40" borderId="282" xfId="0" applyAlignment="1">
      <x:alignment vertical="bottom"/>
    </x:xf>
    <x:xf numFmtId="228" fontId="0" fillId="40" borderId="282" xfId="0" applyAlignment="1">
      <x:alignment vertical="bottom"/>
    </x:xf>
    <x:xf numFmtId="227" fontId="0" fillId="40" borderId="282" xfId="0" applyAlignment="1">
      <x:alignment vertical="bottom"/>
    </x:xf>
    <x:xf numFmtId="228" fontId="0" fillId="4" borderId="282" xfId="0" applyAlignment="1">
      <x:alignment vertical="bottom"/>
    </x:xf>
    <x:xf numFmtId="49" fontId="18" fillId="14" borderId="7" xfId="0" applyAlignment="1">
      <x:alignment horizontal="center" vertical="center" wrapText="1"/>
    </x:xf>
    <x:xf numFmtId="228" fontId="80" fillId="18" borderId="282" xfId="0" applyAlignment="1">
      <x:alignment vertical="bottom"/>
    </x:xf>
    <x:xf numFmtId="49" fontId="16" fillId="14" borderId="23" xfId="0" applyAlignment="1">
      <x:alignment vertical="bottom"/>
    </x:xf>
    <x:xf numFmtId="0" fontId="0" fillId="0" borderId="342" xfId="0"/>
    <x:xf numFmtId="0" fontId="0" fillId="0" borderId="343" xfId="0"/>
    <x:xf numFmtId="49" fontId="85" fillId="5" borderId="285" xfId="0" applyAlignment="1">
      <x:alignment horizontal="left" vertical="center"/>
    </x:xf>
    <x:xf numFmtId="0" fontId="0" fillId="0" borderId="287" xfId="0"/>
    <x:xf numFmtId="0" fontId="0" fillId="0" borderId="288" xfId="0"/>
    <x:xf numFmtId="49" fontId="86" fillId="46" borderId="298" xfId="0" applyAlignment="1">
      <x:alignment vertical="bottom"/>
    </x:xf>
    <x:xf numFmtId="0" fontId="0" fillId="0" borderId="290" xfId="0"/>
    <x:xf numFmtId="0" fontId="0" fillId="0" borderId="291" xfId="0"/>
    <x:xf numFmtId="165" fontId="79" fillId="16" borderId="282" xfId="0" applyAlignment="1">
      <x:alignment vertical="bottom"/>
    </x:xf>
    <x:xf numFmtId="228" fontId="0" fillId="16" borderId="282" xfId="0" applyAlignment="1">
      <x:alignment vertical="bottom"/>
    </x:xf>
    <x:xf numFmtId="227" fontId="0" fillId="16" borderId="282" xfId="0" applyAlignment="1">
      <x:alignment vertical="bottom"/>
    </x:xf>
    <x:xf numFmtId="227" fontId="0" fillId="4" borderId="282" xfId="0" applyAlignment="1">
      <x:alignment vertical="bottom"/>
    </x:xf>
    <x:xf numFmtId="49" fontId="86" fillId="46" borderId="313" xfId="0" applyAlignment="1">
      <x:alignment vertical="bottom"/>
    </x:xf>
    <x:xf numFmtId="0" fontId="0" fillId="0" borderId="293" xfId="0"/>
    <x:xf numFmtId="0" fontId="0" fillId="0" borderId="294" xfId="0"/>
    <x:xf numFmtId="49" fontId="87" fillId="32" borderId="28" xfId="0" applyAlignment="1">
      <x:alignment horizontal="left" vertical="center"/>
    </x:xf>
    <x:xf numFmtId="49" fontId="88" fillId="46" borderId="298" xfId="0" applyAlignment="1">
      <x:alignment vertical="bottom"/>
    </x:xf>
    <x:xf numFmtId="49" fontId="88" fillId="46" borderId="313" xfId="0" applyAlignment="1">
      <x:alignment vertical="bottom"/>
    </x:xf>
    <x:xf numFmtId="228" fontId="0" fillId="4" borderId="295" xfId="0" applyAlignment="1">
      <x:alignment vertical="bottom"/>
    </x:xf>
    <x:xf numFmtId="49" fontId="0" fillId="16" borderId="28" xfId="0" applyAlignment="1">
      <x:alignment vertical="bottom"/>
    </x:xf>
    <x:xf numFmtId="49" fontId="16" fillId="14" borderId="23" xfId="0" applyAlignment="1">
      <x:alignment horizontal="center" vertical="center"/>
    </x:xf>
    <x:xf numFmtId="170" fontId="0" fillId="4" borderId="31" xfId="0" applyAlignment="1">
      <x:alignment horizontal="center" vertical="center"/>
    </x:xf>
    <x:xf numFmtId="165" fontId="0" fillId="10" borderId="31" xfId="0" applyAlignment="1">
      <x:alignment vertical="bottom"/>
    </x:xf>
    <x:xf numFmtId="170" fontId="0" fillId="10" borderId="31" xfId="0" applyAlignment="1">
      <x:alignment vertical="bottom"/>
    </x:xf>
    <x:xf numFmtId="49" fontId="16" fillId="14" borderId="28" xfId="0" applyAlignment="1">
      <x:alignment horizontal="center" vertical="center"/>
    </x:xf>
    <x:xf numFmtId="165" fontId="0" fillId="16" borderId="6" xfId="0" applyAlignment="1">
      <x:alignment vertical="bottom"/>
    </x:xf>
    <x:xf numFmtId="170" fontId="0" fillId="4" borderId="23" xfId="0" applyAlignment="1">
      <x:alignment vertical="bottom"/>
    </x:xf>
    <x:xf numFmtId="209" fontId="80" fillId="18" borderId="6" xfId="0" applyAlignment="1">
      <x:alignment vertical="bottom"/>
    </x:xf>
    <x:xf numFmtId="228" fontId="80" fillId="18" borderId="6" xfId="0" applyAlignment="1">
      <x:alignment vertical="bottom"/>
    </x:xf>
    <x:xf numFmtId="165" fontId="80" fillId="18" borderId="6" xfId="0" applyAlignment="1">
      <x:alignment vertical="bottom"/>
    </x:xf>
    <x:xf numFmtId="228" fontId="80" fillId="18" borderId="20" xfId="0" applyAlignment="1">
      <x:alignment vertical="bottom"/>
    </x:xf>
    <x:xf numFmtId="229" fontId="7" fillId="15" borderId="6" xfId="0" applyAlignment="1">
      <x:alignment horizontal="left" vertical="center"/>
    </x:xf>
    <x:xf numFmtId="166" fontId="7" fillId="4" borderId="306" xfId="0" applyAlignment="1">
      <x:alignment horizontal="left" vertical="center"/>
    </x:xf>
    <x:xf numFmtId="166" fontId="27" fillId="4" borderId="22" xfId="0" applyAlignment="1">
      <x:alignment vertical="bottom"/>
    </x:xf>
    <x:xf numFmtId="166" fontId="7" fillId="4" borderId="308" xfId="0" applyAlignment="1">
      <x:alignment horizontal="left" vertical="center"/>
    </x:xf>
    <x:xf numFmtId="166" fontId="7" fillId="18" borderId="309" xfId="0" applyAlignment="1">
      <x:alignment horizontal="left" vertical="center"/>
    </x:xf>
    <x:xf numFmtId="166" fontId="7" fillId="4" borderId="311" xfId="0" applyAlignment="1">
      <x:alignment horizontal="left" vertical="center"/>
    </x:xf>
    <x:xf numFmtId="166" fontId="7" fillId="4" borderId="312" xfId="0" applyAlignment="1">
      <x:alignment horizontal="left" vertical="center"/>
    </x:xf>
    <x:xf numFmtId="166" fontId="92" fillId="4" borderId="306" xfId="0" applyAlignment="1">
      <x:alignment horizontal="left" vertical="center"/>
    </x:xf>
    <x:xf numFmtId="166" fontId="7" fillId="4" borderId="22" xfId="0" applyAlignment="1">
      <x:alignment horizontal="left" vertical="center"/>
    </x:xf>
    <x:xf numFmtId="166" fontId="7" fillId="4" borderId="306" xfId="0" applyAlignment="1">
      <x:alignment horizontal="left" vertical="bottom"/>
    </x:xf>
    <x:xf numFmtId="166" fontId="92" fillId="4" borderId="308" xfId="0" applyAlignment="1">
      <x:alignment horizontal="left" vertical="center"/>
    </x:xf>
    <x:xf numFmtId="166" fontId="7" fillId="48" borderId="309" xfId="0" applyAlignment="1">
      <x:alignment horizontal="left" vertical="center"/>
    </x:xf>
    <x:xf numFmtId="166" fontId="92" fillId="4" borderId="312" xfId="0" applyAlignment="1">
      <x:alignment horizontal="left" vertical="center"/>
    </x:xf>
    <x:xf numFmtId="166" fontId="7" fillId="4" borderId="319" xfId="0" applyAlignment="1">
      <x:alignment horizontal="left" vertical="bottom"/>
    </x:xf>
    <x:xf numFmtId="166" fontId="7" fillId="4" borderId="320" xfId="0" applyAlignment="1">
      <x:alignment horizontal="left" vertical="bottom"/>
    </x:xf>
    <x:xf numFmtId="166" fontId="7" fillId="4" borderId="321" xfId="0" applyAlignment="1">
      <x:alignment horizontal="left" vertical="center"/>
    </x:xf>
    <x:xf numFmtId="166" fontId="92" fillId="18" borderId="309" xfId="0" applyAlignment="1">
      <x:alignment horizontal="left" vertical="center"/>
    </x:xf>
    <x:xf numFmtId="166" fontId="7" fillId="18" borderId="309" xfId="0" applyAlignment="1">
      <x:alignment vertical="bottom"/>
    </x:xf>
    <x:xf numFmtId="166" fontId="7" fillId="48" borderId="309" xfId="0" applyAlignment="1">
      <x:alignment vertical="bottom"/>
    </x:xf>
    <x:xf numFmtId="166" fontId="7" fillId="18" borderId="6" xfId="0" applyAlignment="1">
      <x:alignment vertical="bottom"/>
    </x:xf>
    <x:xf numFmtId="166" fontId="27" fillId="18" borderId="6" xfId="0" applyAlignment="1">
      <x:alignment vertical="bottom"/>
    </x:xf>
    <x:xf numFmtId="166" fontId="27" fillId="4" borderId="327" xfId="0" applyAlignment="1">
      <x:alignment vertical="bottom"/>
    </x:xf>
    <x:xf numFmtId="230" fontId="0" fillId="15" borderId="329" xfId="0" applyAlignment="1">
      <x:alignment horizontal="left" vertical="center"/>
    </x:xf>
    <x:xf numFmtId="176" fontId="0" fillId="4" borderId="3" xfId="0" applyAlignment="1">
      <x:alignment vertical="bottom"/>
    </x:xf>
    <x:xf numFmtId="176" fontId="27" fillId="48" borderId="6" xfId="0" applyAlignment="1">
      <x:alignment vertical="bottom"/>
    </x:xf>
    <x:xf numFmtId="176" fontId="0" fillId="4" borderId="28" xfId="0" applyAlignment="1">
      <x:alignment vertical="bottom"/>
    </x:xf>
    <x:xf numFmtId="176" fontId="48" fillId="35" borderId="6" xfId="0" applyAlignment="1">
      <x:alignment vertical="bottom"/>
    </x:xf>
    <x:xf numFmtId="176" fontId="0" fillId="4" borderId="25" xfId="0" applyAlignment="1">
      <x:alignment vertical="bottom"/>
    </x:xf>
    <x:xf numFmtId="176" fontId="0" fillId="4" borderId="22" xfId="0" applyAlignment="1">
      <x:alignment vertical="bottom"/>
    </x:xf>
    <x:xf numFmtId="49" fontId="12" fillId="8" borderId="28" xfId="0" applyAlignment="1">
      <x:alignment vertical="bottom"/>
    </x:xf>
    <x:xf numFmtId="178" fontId="0" fillId="16" borderId="31" xfId="0" applyAlignment="1">
      <x:alignment horizontal="right" vertical="center"/>
    </x:xf>
    <x:xf numFmtId="170" fontId="0" fillId="16" borderId="31" xfId="0" applyAlignment="1">
      <x:alignment horizontal="right" vertical="center"/>
    </x:xf>
    <x:xf numFmtId="165" fontId="0" fillId="10" borderId="31" xfId="0" applyAlignment="1">
      <x:alignment horizontal="right" vertical="center"/>
    </x:xf>
    <x:xf numFmtId="165" fontId="0" fillId="16" borderId="31" xfId="0" applyAlignment="1">
      <x:alignment horizontal="right" vertical="center"/>
    </x:xf>
    <x:xf numFmtId="231" fontId="0" fillId="0" borderId="344" xfId="0" applyAlignment="1">
      <x:alignment vertical="top" wrapText="1"/>
    </x:xf>
    <x:xf numFmtId="232" fontId="0" fillId="0" borderId="344" xfId="0" applyAlignment="1">
      <x:alignment vertical="top" wrapText="1"/>
    </x:xf>
    <x:xf numFmtId="3" fontId="0" fillId="0" borderId="344" xfId="0" applyAlignment="1">
      <x:alignment vertical="top" wrapText="1"/>
    </x:xf>
    <x:xf numFmtId="2" fontId="0" fillId="0" borderId="344" xfId="0" applyAlignment="1">
      <x:alignment vertical="top" wrapText="1"/>
    </x:xf>
    <x:xf numFmtId="0" fontId="0" fillId="53" borderId="344" xfId="0" applyAlignment="1">
      <x:alignment vertical="top" wrapText="1"/>
    </x:xf>
    <x:xf numFmtId="233" fontId="97" fillId="53" borderId="344" xfId="0" applyAlignment="1">
      <x:alignment vertical="top" wrapText="1"/>
    </x:xf>
    <x:xf numFmtId="234" fontId="98" fillId="53" borderId="344" xfId="0" applyAlignment="1">
      <x:alignment vertical="top" wrapText="1"/>
    </x:xf>
    <x:xf numFmtId="0" fontId="94" fillId="49" borderId="0" xfId="0" applyAlignment="1">
      <x:alignment horizontal="center"/>
    </x:xf>
    <x:xf numFmtId="0" fontId="96" fillId="0" borderId="0" xfId="0" applyAlignment="1">
      <x:alignment horizontal="center"/>
    </x:xf>
    <x:xf numFmtId="0" fontId="101" fillId="49" borderId="0" xfId="0" applyAlignment="1">
      <x:alignment horizontal="center" wrapText="1"/>
    </x:xf>
    <x:xf numFmtId="0" fontId="0" fillId="0" borderId="346" xfId="0" applyAlignment="1">
      <x:alignment vertical="top" wrapText="1"/>
    </x:xf>
    <x:xf numFmtId="234" fontId="0" fillId="0" borderId="346" xfId="0" applyAlignment="1">
      <x:alignment vertical="top" wrapText="1"/>
    </x:xf>
    <x:xf numFmtId="0" fontId="0" fillId="0" borderId="346" xfId="0" applyAlignment="1">
      <x:alignment horizontal="center"/>
    </x:xf>
    <x:xf numFmtId="233" fontId="0" fillId="0" borderId="346" xfId="0" applyAlignment="1">
      <x:alignment vertical="top" wrapText="1"/>
    </x:xf>
    <x:xf numFmtId="235" fontId="100" fillId="24" borderId="84" xfId="0" applyAlignment="1">
      <x:alignment horizontal="right"/>
    </x:xf>
    <x:xf numFmtId="234" fontId="100" fillId="4" borderId="84" xfId="0" applyAlignment="1">
      <x:alignment horizontal="right"/>
    </x:xf>
    <x:xf numFmtId="235" fontId="100" fillId="24" borderId="105" xfId="0" applyAlignment="1">
      <x:alignment horizontal="right"/>
    </x:xf>
    <x:xf numFmtId="234" fontId="100" fillId="4" borderId="105" xfId="0" applyAlignment="1">
      <x:alignment horizontal="right"/>
    </x:xf>
    <x:xf numFmtId="233" fontId="98" fillId="4" borderId="25" xfId="0" applyAlignment="1">
      <x:alignment horizontal="right"/>
    </x:xf>
    <x:xf numFmtId="233" fontId="98" fillId="4" borderId="22" xfId="0" applyAlignment="1">
      <x:alignment horizontal="right"/>
    </x:xf>
    <x:xf numFmtId="233" fontId="97" fillId="0" borderId="282" xfId="0" applyAlignment="1">
      <x:alignment horizontal="right"/>
    </x:xf>
    <x:xf numFmtId="235" fontId="99" fillId="52" borderId="282" xfId="0" applyAlignment="1">
      <x:alignment horizontal="right"/>
    </x:xf>
    <x:xf numFmtId="165" fontId="0" fillId="40" borderId="345" xfId="0" applyAlignment="1">
      <x:alignment vertical="bottom"/>
    </x:xf>
    <x:xf numFmtId="233" fontId="97" fillId="40" borderId="345" xfId="0" applyAlignment="1">
      <x:alignment horizontal="right"/>
    </x:xf>
    <x:xf numFmtId="235" fontId="97" fillId="40" borderId="345" xfId="0" applyAlignment="1">
      <x:alignment horizontal="right"/>
    </x:xf>
    <x:xf numFmtId="235" fontId="80" fillId="18" borderId="282" xfId="0" applyAlignment="1">
      <x:alignment horizontal="right"/>
    </x:xf>
    <x:xf numFmtId="233" fontId="98" fillId="16" borderId="282" xfId="0" applyAlignment="1">
      <x:alignment horizontal="right"/>
    </x:xf>
    <x:xf numFmtId="233" fontId="98" fillId="4" borderId="282" xfId="0" applyAlignment="1">
      <x:alignment horizontal="right"/>
    </x:xf>
    <x:xf numFmtId="165" fontId="97" fillId="40" borderId="282" xfId="0" applyAlignment="1">
      <x:alignment vertical="bottom"/>
    </x:xf>
    <x:xf numFmtId="228" fontId="97" fillId="4" borderId="295" xfId="0" applyAlignment="1">
      <x:alignment vertical="bottom"/>
    </x:xf>
    <x:xf numFmtId="228" fontId="97" fillId="4" borderId="22" xfId="0" applyAlignment="1">
      <x:alignment vertical="bottom"/>
    </x:xf>
    <x:xf numFmtId="233" fontId="98" fillId="4" borderId="31" xfId="0" applyAlignment="1">
      <x:alignment horizontal="right"/>
    </x:xf>
    <x:xf numFmtId="235" fontId="98" fillId="4" borderId="22" xfId="0" applyAlignment="1">
      <x:alignment horizontal="right"/>
    </x:xf>
    <x:xf numFmtId="234" fontId="98" fillId="16" borderId="31" xfId="0" applyAlignment="1">
      <x:alignment horizontal="right"/>
    </x:xf>
    <x:xf numFmtId="233" fontId="98" fillId="16" borderId="31" xfId="0" applyAlignment="1">
      <x:alignment horizontal="right"/>
    </x:xf>
    <x:xf numFmtId="235" fontId="98" fillId="52" borderId="282" xfId="0" applyAlignment="1">
      <x:alignment horizontal="right"/>
    </x:xf>
    <x:xf numFmtId="234" fontId="98" fillId="18" borderId="6" xfId="0" applyAlignment="1">
      <x:alignment horizontal="right"/>
    </x:xf>
    <x:xf numFmtId="236" fontId="99" fillId="52" borderId="6" xfId="0" applyAlignment="1">
      <x:alignment horizontal="right"/>
    </x:xf>
    <x:xf numFmtId="49" fontId="82" fillId="4" borderId="26" xfId="0" applyAlignment="1">
      <x:alignment vertical="top" wrapText="1"/>
    </x:xf>
    <x:xf numFmtId="236" fontId="99" fillId="52" borderId="25" xfId="0" applyAlignment="1">
      <x:alignment horizontal="right"/>
    </x:xf>
    <x:xf numFmtId="236" fontId="99" fillId="52" borderId="22" xfId="0" applyAlignment="1">
      <x:alignment horizontal="right"/>
    </x:xf>
    <x:xf numFmtId="1" fontId="0" fillId="4" borderId="22" xfId="0" applyAlignment="1">
      <x:alignment vertical="top" wrapText="1"/>
    </x:xf>
    <x:xf numFmtId="0" fontId="98" fillId="4" borderId="31" xfId="0" applyAlignment="1">
      <x:alignment horizontal="center" vertical="center"/>
    </x:xf>
    <x:xf numFmtId="0" fontId="0" fillId="0" borderId="0" xfId="0" applyAlignment="1">
      <x:alignment vertical="top" wrapText="1"/>
    </x:xf>
    <x:xf numFmtId="233" fontId="0" fillId="0" borderId="0" xfId="0" applyAlignment="1">
      <x:alignment vertical="top" wrapText="1"/>
    </x:xf>
    <x:xf numFmtId="0" fontId="101" fillId="49" borderId="0" xfId="0"/>
    <x:xf numFmtId="0" fontId="0" fillId="0" borderId="0" xfId="0" applyAlignment="1">
      <x:alignment wrapText="1"/>
    </x:xf>
    <x:xf numFmtId="49" fontId="27" fillId="4" borderId="25" xfId="0" applyAlignment="1">
      <x:alignment wrapText="1"/>
    </x:xf>
    <x:xf numFmtId="233" fontId="102" fillId="4" borderId="22" xfId="0" applyAlignment="1">
      <x:alignment vertical="bottom"/>
    </x:xf>
    <x:xf numFmtId="233" fontId="102" fillId="4" borderId="22" xfId="0" applyAlignment="1">
      <x:alignment horizontal="center" vertical="bottom"/>
    </x:xf>
    <x:xf numFmtId="233" fontId="103" fillId="4" borderId="87" xfId="0" applyAlignment="1">
      <x:alignment horizontal="right" vertical="bottom"/>
    </x:xf>
    <x:xf numFmtId="233" fontId="103" fillId="4" borderId="87" xfId="0" applyAlignment="1">
      <x:alignment vertical="bottom"/>
    </x:xf>
    <x:xf numFmtId="235" fontId="104" fillId="4" borderId="87" xfId="0" applyAlignment="1">
      <x:alignment horizontal="center" vertical="bottom"/>
    </x:xf>
    <x:xf numFmtId="0" fontId="96" fillId="53" borderId="0" xfId="0"/>
    <x:xf numFmtId="0" fontId="101" fillId="49" borderId="352" xfId="0" applyAlignment="1">
      <x:alignment horizontal="center" vertical="center" wrapText="1"/>
    </x:xf>
    <x:xf numFmtId="234" fontId="98" fillId="0" borderId="346" xfId="0" applyAlignment="1">
      <x:alignment vertical="top" wrapText="1"/>
    </x:xf>
    <x:xf numFmtId="0" fontId="95" fillId="64" borderId="346" xfId="0" applyAlignment="1">
      <x:alignment vertical="top" wrapText="1"/>
    </x:xf>
    <x:xf numFmtId="233" fontId="98" fillId="0" borderId="346" xfId="0" applyAlignment="1">
      <x:alignment vertical="top" wrapText="1"/>
    </x:xf>
    <x:xf numFmtId="0" fontId="95" fillId="65" borderId="0" xfId="0" applyAlignment="1">
      <x:alignment vertical="top" wrapText="1"/>
    </x:xf>
    <x:xf numFmtId="234" fontId="98" fillId="53" borderId="0" xfId="0" applyAlignment="1">
      <x:alignment vertical="top" wrapText="1"/>
    </x:xf>
    <x:xf numFmtId="233" fontId="98" fillId="53" borderId="0" xfId="0" applyAlignment="1">
      <x:alignment vertical="top" wrapText="1"/>
    </x:xf>
    <x:xf numFmtId="0" fontId="98" fillId="53" borderId="0" xfId="0" applyAlignment="1">
      <x:alignment vertical="top" wrapText="1"/>
    </x:xf>
    <x:xf numFmtId="0" fontId="105" fillId="54" borderId="6" xfId="0" applyAlignment="1">
      <x:alignment horizontal="left" vertical="center"/>
    </x:xf>
    <x:xf numFmtId="0" fontId="106" fillId="54" borderId="6" xfId="0" applyAlignment="1">
      <x:alignment horizontal="left" vertical="center"/>
    </x:xf>
    <x:xf numFmtId="0" fontId="107" fillId="0" borderId="6" xfId="0" applyAlignment="1">
      <x:alignment horizontal="left" vertical="center"/>
    </x:xf>
    <x:xf numFmtId="0" fontId="108" fillId="55" borderId="6" xfId="0" applyAlignment="1">
      <x:alignment horizontal="left" vertical="center"/>
    </x:xf>
    <x:xf numFmtId="0" fontId="109" fillId="0" borderId="6" xfId="0" applyAlignment="1">
      <x:alignment horizontal="left" vertical="center"/>
    </x:xf>
    <x:xf numFmtId="0" fontId="110" fillId="0" borderId="6" xfId="0" applyAlignment="1">
      <x:alignment horizontal="left" vertical="center"/>
    </x:xf>
    <x:xf numFmtId="0" fontId="111" fillId="0" borderId="6" xfId="0" applyAlignment="1">
      <x:alignment horizontal="left" vertical="center"/>
    </x:xf>
    <x:xf numFmtId="0" fontId="112" fillId="54" borderId="347" xfId="0" applyAlignment="1">
      <x:alignment horizontal="left" vertical="center"/>
    </x:xf>
    <x:xf numFmtId="0" fontId="112" fillId="54" borderId="6" xfId="0" applyAlignment="1">
      <x:alignment horizontal="left" vertical="center"/>
    </x:xf>
    <x:xf numFmtId="0" fontId="112" fillId="56" borderId="348" xfId="0" applyAlignment="1">
      <x:alignment horizontal="center" vertical="center"/>
    </x:xf>
    <x:xf numFmtId="0" fontId="113" fillId="0" borderId="6" xfId="0" applyAlignment="1">
      <x:alignment horizontal="general" vertical="bottom"/>
    </x:xf>
    <x:xf numFmtId="0" fontId="114" fillId="57" borderId="6" xfId="0" applyAlignment="1">
      <x:alignment horizontal="left" vertical="center"/>
    </x:xf>
    <x:xf numFmtId="0" fontId="110" fillId="0" borderId="6" xfId="0" applyAlignment="1">
      <x:alignment horizontal="general" vertical="bottom"/>
    </x:xf>
    <x:xf numFmtId="0" fontId="110" fillId="0" borderId="347" xfId="0" applyAlignment="1">
      <x:alignment horizontal="left" vertical="center"/>
    </x:xf>
    <x:xf numFmtId="0" fontId="115" fillId="0" borderId="347" xfId="0" applyAlignment="1">
      <x:alignment horizontal="left" vertical="center"/>
    </x:xf>
    <x:xf numFmtId="4" fontId="110" fillId="0" borderId="6" xfId="0" applyAlignment="1">
      <x:alignment horizontal="left" vertical="center"/>
    </x:xf>
    <x:xf numFmtId="0" fontId="116" fillId="0" borderId="348" xfId="0" applyAlignment="1">
      <x:alignment horizontal="right" vertical="bottom"/>
    </x:xf>
    <x:xf numFmtId="0" fontId="117" fillId="58" borderId="348" xfId="0" applyAlignment="1">
      <x:alignment horizontal="center" vertical="bottom"/>
    </x:xf>
    <x:xf numFmtId="0" fontId="118" fillId="0" borderId="348" xfId="0" applyAlignment="1">
      <x:alignment horizontal="general" vertical="bottom" wrapText="1"/>
    </x:xf>
    <x:xf numFmtId="0" fontId="117" fillId="55" borderId="348" xfId="0" applyAlignment="1">
      <x:alignment horizontal="center" vertical="bottom"/>
    </x:xf>
    <x:xf numFmtId="0" fontId="107" fillId="0" borderId="6" xfId="0" applyAlignment="1">
      <x:alignment horizontal="general" vertical="bottom"/>
    </x:xf>
    <x:xf numFmtId="0" fontId="115" fillId="0" borderId="6" xfId="0" applyAlignment="1">
      <x:alignment horizontal="left" vertical="center"/>
    </x:xf>
    <x:xf numFmtId="0" fontId="110" fillId="59" borderId="347" xfId="0" applyAlignment="1">
      <x:alignment horizontal="left" vertical="center"/>
    </x:xf>
    <x:xf numFmtId="0" fontId="115" fillId="59" borderId="347" xfId="0" applyAlignment="1">
      <x:alignment horizontal="left" vertical="center"/>
    </x:xf>
    <x:xf numFmtId="0" fontId="110" fillId="59" borderId="6" xfId="0" applyAlignment="1">
      <x:alignment horizontal="left" vertical="center"/>
    </x:xf>
    <x:xf numFmtId="4" fontId="110" fillId="59" borderId="6" xfId="0" applyAlignment="1">
      <x:alignment horizontal="left" vertical="center"/>
    </x:xf>
    <x:xf numFmtId="0" fontId="116" fillId="59" borderId="348" xfId="0" applyAlignment="1">
      <x:alignment horizontal="right" vertical="bottom"/>
    </x:xf>
    <x:xf numFmtId="0" fontId="117" fillId="59" borderId="348" xfId="0" applyAlignment="1">
      <x:alignment horizontal="center" vertical="bottom"/>
    </x:xf>
    <x:xf numFmtId="0" fontId="118" fillId="59" borderId="348" xfId="0" applyAlignment="1">
      <x:alignment horizontal="general" vertical="bottom" wrapText="1"/>
    </x:xf>
    <x:xf numFmtId="0" fontId="117" fillId="60" borderId="348" xfId="0" applyAlignment="1">
      <x:alignment horizontal="center" vertical="bottom"/>
    </x:xf>
    <x:xf numFmtId="0" fontId="117" fillId="61" borderId="348" xfId="0" applyAlignment="1">
      <x:alignment horizontal="center" vertical="bottom"/>
    </x:xf>
    <x:xf numFmtId="0" fontId="110" fillId="62" borderId="6" xfId="0" applyAlignment="1">
      <x:alignment horizontal="left" vertical="center"/>
    </x:xf>
    <x:xf numFmtId="0" fontId="115" fillId="62" borderId="6" xfId="0" applyAlignment="1">
      <x:alignment horizontal="left" vertical="center"/>
    </x:xf>
    <x:xf numFmtId="0" fontId="119" fillId="62" borderId="6" xfId="0" applyAlignment="1">
      <x:alignment horizontal="left" vertical="center"/>
    </x:xf>
    <x:xf numFmtId="4" fontId="119" fillId="0" borderId="6" xfId="0" applyAlignment="1">
      <x:alignment horizontal="left" vertical="center"/>
    </x:xf>
    <x:xf numFmtId="0" fontId="120" fillId="0" borderId="6" xfId="0" applyAlignment="1">
      <x:alignment horizontal="left" vertical="center"/>
    </x:xf>
    <x:xf numFmtId="0" fontId="116" fillId="0" borderId="6" xfId="0" applyAlignment="1">
      <x:alignment horizontal="right" vertical="bottom"/>
    </x:xf>
    <x:xf numFmtId="0" fontId="117" fillId="0" borderId="6" xfId="0" applyAlignment="1">
      <x:alignment horizontal="center" vertical="bottom"/>
    </x:xf>
    <x:xf numFmtId="0" fontId="118" fillId="0" borderId="6" xfId="0" applyAlignment="1">
      <x:alignment horizontal="general" vertical="bottom" wrapText="1"/>
    </x:xf>
    <x:xf numFmtId="0" fontId="110" fillId="57" borderId="6" xfId="0" applyAlignment="1">
      <x:alignment horizontal="left" vertical="center"/>
    </x:xf>
    <x:xf numFmtId="0" fontId="110" fillId="0" borderId="349" xfId="0" applyAlignment="1">
      <x:alignment horizontal="left" vertical="center"/>
    </x:xf>
    <x:xf numFmtId="0" fontId="115" fillId="0" borderId="349" xfId="0" applyAlignment="1">
      <x:alignment horizontal="left" vertical="center"/>
    </x:xf>
    <x:xf numFmtId="0" fontId="110" fillId="0" borderId="350" xfId="0" applyAlignment="1">
      <x:alignment horizontal="left" vertical="center"/>
    </x:xf>
    <x:xf numFmtId="0" fontId="119" fillId="0" borderId="6" xfId="0" applyAlignment="1">
      <x:alignment horizontal="left" vertical="center"/>
    </x:xf>
    <x:xf numFmtId="0" fontId="110" fillId="0" borderId="347" xfId="0" applyAlignment="1">
      <x:alignment horizontal="left" vertical="bottom"/>
    </x:xf>
    <x:xf numFmtId="0" fontId="121" fillId="0" borderId="347" xfId="0" applyAlignment="1">
      <x:alignment horizontal="left" vertical="bottom"/>
    </x:xf>
    <x:xf numFmtId="0" fontId="110" fillId="0" borderId="6" xfId="0" applyAlignment="1">
      <x:alignment horizontal="left" vertical="bottom"/>
    </x:xf>
    <x:xf numFmtId="4" fontId="110" fillId="0" borderId="6" xfId="0" applyAlignment="1">
      <x:alignment horizontal="left" vertical="bottom"/>
    </x:xf>
    <x:xf numFmtId="0" fontId="119" fillId="0" borderId="347" xfId="0" applyAlignment="1">
      <x:alignment horizontal="left" vertical="center"/>
    </x:xf>
    <x:xf numFmtId="0" fontId="110" fillId="63" borderId="347" xfId="0" applyAlignment="1">
      <x:alignment horizontal="left" vertical="center"/>
    </x:xf>
    <x:xf numFmtId="0" fontId="115" fillId="63" borderId="347" xfId="0" applyAlignment="1">
      <x:alignment horizontal="left" vertical="center"/>
    </x:xf>
    <x:xf numFmtId="0" fontId="110" fillId="63" borderId="6" xfId="0" applyAlignment="1">
      <x:alignment horizontal="left" vertical="center"/>
    </x:xf>
    <x:xf numFmtId="4" fontId="110" fillId="63" borderId="6" xfId="0" applyAlignment="1">
      <x:alignment horizontal="left" vertical="center"/>
    </x:xf>
    <x:xf numFmtId="0" fontId="121" fillId="57" borderId="6" xfId="0" applyAlignment="1">
      <x:alignment horizontal="left" vertical="center"/>
    </x:xf>
    <x:xf numFmtId="4" fontId="110" fillId="0" borderId="347" xfId="0" applyAlignment="1">
      <x:alignment horizontal="left" vertical="bottom"/>
    </x:xf>
    <x:xf numFmtId="0" fontId="119" fillId="0" borderId="349" xfId="0" applyAlignment="1">
      <x:alignment horizontal="left" vertical="center"/>
    </x:xf>
    <x:xf numFmtId="0" fontId="110" fillId="63" borderId="349" xfId="0" applyAlignment="1">
      <x:alignment horizontal="left" vertical="center"/>
    </x:xf>
    <x:xf numFmtId="0" fontId="115" fillId="63" borderId="349" xfId="0" applyAlignment="1">
      <x:alignment horizontal="left" vertical="center"/>
    </x:xf>
    <x:xf numFmtId="0" fontId="110" fillId="63" borderId="350" xfId="0" applyAlignment="1">
      <x:alignment horizontal="left" vertical="center"/>
    </x:xf>
    <x:xf numFmtId="0" fontId="119" fillId="59" borderId="347" xfId="0" applyAlignment="1">
      <x:alignment horizontal="left" vertical="center"/>
    </x:xf>
    <x:xf numFmtId="4" fontId="119" fillId="59" borderId="6" xfId="0" applyAlignment="1">
      <x:alignment horizontal="left" vertical="center"/>
    </x:xf>
    <x:xf numFmtId="0" fontId="110" fillId="59" borderId="6" xfId="0" applyAlignment="1">
      <x:alignment horizontal="general" vertical="bottom"/>
    </x:xf>
    <x:xf numFmtId="0" fontId="121" fillId="59" borderId="6" xfId="0" applyAlignment="1">
      <x:alignment horizontal="general" vertical="bottom"/>
    </x:xf>
    <x:xf numFmtId="4" fontId="110" fillId="59" borderId="6" xfId="0" applyAlignment="1">
      <x:alignment horizontal="general" vertical="bottom"/>
    </x:xf>
    <x:xf numFmtId="0" fontId="110" fillId="63" borderId="6" xfId="0" applyAlignment="1">
      <x:alignment horizontal="general" vertical="bottom"/>
    </x:xf>
    <x:xf numFmtId="0" fontId="121" fillId="63" borderId="6" xfId="0" applyAlignment="1">
      <x:alignment horizontal="general" vertical="bottom"/>
    </x:xf>
    <x:xf numFmtId="4" fontId="110" fillId="63" borderId="6" xfId="0" applyAlignment="1">
      <x:alignment horizontal="general" vertical="bottom"/>
    </x:xf>
    <x:xf numFmtId="0" fontId="116" fillId="59" borderId="6" xfId="0" applyAlignment="1">
      <x:alignment horizontal="right" vertical="bottom"/>
    </x:xf>
    <x:xf numFmtId="0" fontId="117" fillId="59" borderId="6" xfId="0" applyAlignment="1">
      <x:alignment horizontal="center" vertical="bottom"/>
    </x:xf>
    <x:xf numFmtId="0" fontId="118" fillId="59" borderId="6" xfId="0" applyAlignment="1">
      <x:alignment horizontal="general" vertical="bottom" wrapText="1"/>
    </x:xf>
    <x:xf numFmtId="0" fontId="107" fillId="59" borderId="6" xfId="0" applyAlignment="1">
      <x:alignment horizontal="general" vertical="bottom"/>
    </x:xf>
    <x:xf numFmtId="0" fontId="115" fillId="59" borderId="6" xfId="0" applyAlignment="1">
      <x:alignment horizontal="left" vertical="center"/>
    </x:xf>
    <x:xf numFmtId="0" fontId="119" fillId="59" borderId="6" xfId="0" applyAlignment="1">
      <x:alignment horizontal="left" vertical="center"/>
    </x:xf>
    <x:xf numFmtId="0" fontId="114" fillId="57" borderId="351" xfId="0" applyAlignment="1">
      <x:alignment horizontal="left" vertical="center"/>
    </x:xf>
    <x:xf numFmtId="237" fontId="114" fillId="57" borderId="351" xfId="0" applyAlignment="1">
      <x:alignment horizontal="left" vertical="center"/>
    </x:xf>
    <x:xf numFmtId="0" fontId="114" fillId="0" borderId="6" xfId="0" applyAlignment="1">
      <x:alignment horizontal="left" vertical="center"/>
    </x:xf>
    <x:xf numFmtId="0" fontId="121" fillId="0" borderId="6" xfId="0" applyAlignment="1">
      <x:alignment horizontal="left" vertical="center"/>
    </x:xf>
    <x:xf numFmtId="0" fontId="109" fillId="57" borderId="6" xfId="0" applyAlignment="1">
      <x:alignment horizontal="left" vertical="center"/>
    </x:xf>
    <x:xf numFmtId="0" fontId="107" fillId="57" borderId="6" xfId="0" applyAlignment="1">
      <x:alignment horizontal="left" vertical="center"/>
    </x:xf>
    <x:xf numFmtId="0" fontId="109" fillId="63" borderId="6" xfId="0" applyAlignment="1">
      <x:alignment horizontal="left" vertical="center"/>
    </x:xf>
    <x:xf numFmtId="0" fontId="107" fillId="63" borderId="6" xfId="0" applyAlignment="1">
      <x:alignment horizontal="left" vertical="center"/>
    </x:xf>
    <x:xf numFmtId="0" fontId="107" fillId="63" borderId="6" xfId="0" applyAlignment="1">
      <x:alignment horizontal="general" vertical="bottom"/>
    </x:xf>
    <x:xf numFmtId="0" fontId="0" fillId="51" borderId="0" xfId="0" applyAlignment="1">
      <x:alignment vertical="top" wrapText="1"/>
    </x:xf>
    <x:xf numFmtId="0" fontId="0" fillId="53" borderId="0" xfId="0" applyAlignment="1">
      <x:alignment vertical="top" wrapText="1"/>
    </x:xf>
    <x:xf numFmtId="235" fontId="0" fillId="0" borderId="346" xfId="0" applyAlignment="1">
      <x:alignment vertical="top" wrapText="1"/>
    </x:xf>
    <x:xf numFmtId="0" fontId="94" fillId="49" borderId="0" xfId="0" applyAlignment="1">
      <x:alignment vertical="top" wrapText="1"/>
    </x:xf>
    <x:xf numFmtId="0" fontId="101" fillId="49" borderId="352" xfId="0" applyAlignment="1">
      <x:alignment vertical="top" wrapText="1"/>
    </x:xf>
    <x:xf numFmtId="0" fontId="0" fillId="64" borderId="346" xfId="0" applyAlignment="1">
      <x:alignment vertical="top" wrapText="1"/>
    </x:xf>
    <x:xf numFmtId="0" fontId="122" fillId="0" borderId="6" xfId="1" applyAlignment="1">
      <x:alignment vertical="top" wrapText="1"/>
    </x:xf>
    <x:xf numFmtId="0" fontId="0" fillId="53" borderId="346" xfId="0" applyAlignment="1">
      <x:alignment vertical="top" wrapText="1"/>
    </x:xf>
    <x:xf numFmtId="0" fontId="98" fillId="0" borderId="346" xfId="0" applyAlignment="1">
      <x:alignment vertical="top" wrapText="1"/>
    </x:xf>
    <x:xf numFmtId="0" fontId="0" fillId="66" borderId="346" xfId="0" applyAlignment="1">
      <x:alignment vertical="top" wrapText="1"/>
    </x:xf>
    <x:xf numFmtId="0" fontId="0" fillId="51" borderId="346" xfId="0" applyAlignment="1">
      <x:alignment vertical="top" wrapText="1"/>
    </x:xf>
    <x:xf numFmtId="235" fontId="98" fillId="0" borderId="346" xfId="0" applyAlignment="1">
      <x:alignment vertical="top" wrapText="1"/>
    </x:xf>
    <x:xf numFmtId="235" fontId="0" fillId="0" borderId="0" xfId="0" applyAlignment="1">
      <x:alignment vertical="top" wrapText="1"/>
    </x:xf>
    <x:xf numFmtId="0" fontId="96" fillId="53" borderId="0" xfId="0" applyAlignment="1">
      <x:alignment vertical="top" wrapText="1"/>
    </x:xf>
    <x:xf numFmtId="235" fontId="20" fillId="4" borderId="45" xfId="0" applyAlignment="1">
      <x:alignment horizontal="right" vertical="bottom"/>
    </x:xf>
    <x:xf numFmtId="235" fontId="20" fillId="4" borderId="43" xfId="0" applyAlignment="1">
      <x:alignment horizontal="center" vertical="bottom"/>
    </x:xf>
    <x:xf numFmtId="235" fontId="20" fillId="4" borderId="44" xfId="0" applyAlignment="1">
      <x:alignment horizontal="center" vertical="center"/>
    </x:xf>
    <x:xf numFmtId="235" fontId="20" fillId="4" borderId="45" xfId="0" applyAlignment="1">
      <x:alignment horizontal="center" vertical="center"/>
    </x:xf>
    <x:xf numFmtId="185" fontId="20" fillId="53" borderId="11" xfId="0" applyAlignment="1">
      <x:alignment vertical="top" wrapText="1"/>
    </x:xf>
    <x:xf numFmtId="1" fontId="20" fillId="53" borderId="6" xfId="0" applyAlignment="1">
      <x:alignment vertical="top" wrapText="1"/>
    </x:xf>
    <x:xf numFmtId="234" fontId="7" fillId="0" borderId="182" xfId="0" applyAlignment="1">
      <x:alignment vertical="bottom"/>
    </x:xf>
    <x:xf numFmtId="49" fontId="7" fillId="53" borderId="108" xfId="0" applyAlignment="1">
      <x:alignment vertical="top" wrapText="1"/>
    </x:xf>
    <x:xf numFmtId="233" fontId="7" fillId="31" borderId="90" xfId="0" applyAlignment="1">
      <x:alignment vertical="bottom"/>
    </x:xf>
    <x:xf numFmtId="234" fontId="7" fillId="4" borderId="22" xfId="0" applyAlignment="1">
      <x:alignment vertical="bottom"/>
    </x:xf>
    <x:xf numFmtId="49" fontId="7" fillId="53" borderId="121" xfId="0" applyAlignment="1">
      <x:alignment vertical="top" wrapText="1"/>
    </x:xf>
    <x:xf numFmtId="234" fontId="7" fillId="4" borderId="22" xfId="0" applyAlignment="1">
      <x:alignment horizontal="center" vertical="bottom"/>
    </x:xf>
    <x:xf numFmtId="233" fontId="27" fillId="32" borderId="90" xfId="0" applyAlignment="1">
      <x:alignment vertical="bottom"/>
    </x:xf>
    <x:xf numFmtId="233" fontId="20" fillId="7" borderId="61" xfId="0" applyAlignment="1">
      <x:alignment vertical="top"/>
    </x:xf>
    <x:xf numFmtId="233" fontId="0" fillId="4" borderId="61" xfId="0" applyAlignment="1">
      <x:alignment vertical="top"/>
    </x:xf>
    <x:xf numFmtId="49" fontId="20" fillId="53" borderId="61" xfId="0" applyAlignment="1">
      <x:alignment vertical="top" wrapText="1"/>
    </x:xf>
    <x:xf numFmtId="233" fontId="0" fillId="4" borderId="6" xfId="0" applyAlignment="1">
      <x:alignment vertical="top"/>
    </x:xf>
    <x:xf numFmtId="49" fontId="0" fillId="53" borderId="282" xfId="0" applyAlignment="1">
      <x:alignment vertical="top" wrapText="1"/>
    </x:xf>
    <x:xf numFmtId="49" fontId="83" fillId="53" borderId="282" xfId="0" applyAlignment="1">
      <x:alignment vertical="top" wrapText="1"/>
    </x:xf>
    <x:xf numFmtId="233" fontId="80" fillId="4" borderId="282" xfId="0" applyAlignment="1">
      <x:alignment vertical="bottom"/>
    </x:xf>
    <x:xf numFmtId="49" fontId="82" fillId="53" borderId="282" xfId="0" applyAlignment="1">
      <x:alignment vertical="top" wrapText="1"/>
    </x:xf>
    <x:xf numFmtId="233" fontId="79" fillId="4" borderId="282" xfId="0" applyAlignment="1">
      <x:alignment vertical="bottom"/>
    </x:xf>
    <x:xf numFmtId="233" fontId="0" fillId="0" borderId="282" xfId="0" applyAlignment="1">
      <x:alignment vertical="bottom"/>
    </x:xf>
    <x:xf numFmtId="233" fontId="0" fillId="40" borderId="282" xfId="0" applyAlignment="1">
      <x:alignment vertical="bottom"/>
    </x:xf>
    <x:xf numFmtId="0" fontId="94" fillId="49" borderId="6" xfId="0" applyAlignment="1">
      <x:alignment vertical="top" wrapText="1"/>
    </x:xf>
    <x:xf numFmtId="0" fontId="95" fillId="65" borderId="6" xfId="0" applyAlignment="1">
      <x:alignment vertical="top" wrapText="1"/>
    </x:xf>
    <x:xf numFmtId="0" fontId="0" fillId="53" borderId="0" xfId="0"/>
    <x:xf numFmtId="1" fontId="1" fillId="67" borderId="84" xfId="0" applyNumberFormat="1" applyFont="1" applyFill="1" applyBorder="1" applyAlignment="1">
      <x:alignment horizontal="center" vertical="bottom"/>
    </x:xf>
    <x:xf numFmtId="1" fontId="123" fillId="67" borderId="84" xfId="0" applyNumberFormat="1" applyFont="1" applyFill="1" applyBorder="1" applyAlignment="1">
      <x:alignment horizontal="center" vertical="bottom"/>
    </x:xf>
    <x:xf numFmtId="1" fontId="96" fillId="67" borderId="0" xfId="0" applyNumberFormat="1" applyFont="1" applyFill="1" applyBorder="1" applyAlignment="1">
      <x:alignment vertical="bottom"/>
    </x:xf>
    <x:xf numFmtId="176" fontId="96" fillId="67" borderId="0" xfId="0" applyNumberFormat="1" applyFont="1" applyFill="1" applyBorder="1" applyAlignment="1">
      <x:alignment vertical="bottom"/>
    </x:xf>
    <x:xf numFmtId="1" fontId="124" fillId="67" borderId="0" xfId="0" applyNumberFormat="1" applyFont="1" applyFill="1" applyBorder="1" applyAlignment="1">
      <x:alignment vertical="bottom"/>
    </x:xf>
    <x:xf numFmtId="176" fontId="124" fillId="67" borderId="0" xfId="0" applyNumberFormat="1" applyFont="1" applyFill="1" applyBorder="1" applyAlignment="1">
      <x:alignment vertical="bottom"/>
    </x:xf>
    <x:xf numFmtId="201" fontId="3" fillId="68" borderId="101" xfId="0" applyNumberFormat="1" applyFont="1" applyFill="1" applyBorder="1" applyAlignment="1">
      <x:alignment vertical="bottom"/>
    </x:xf>
    <x:xf numFmtId="0" fontId="0" fillId="68" borderId="22" xfId="0" applyNumberFormat="1" applyFont="1" applyFill="1" applyBorder="1" applyAlignment="1">
      <x:alignment vertical="bottom"/>
    </x:xf>
    <x:xf numFmtId="201" fontId="125" fillId="68" borderId="101" xfId="0" applyNumberFormat="1" applyFont="1" applyFill="1" applyBorder="1" applyAlignment="1">
      <x:alignment vertical="bottom"/>
    </x:xf>
    <x:xf numFmtId="0" fontId="126" fillId="68" borderId="22" xfId="0" applyNumberFormat="1" applyFont="1" applyFill="1" applyBorder="1" applyAlignment="1">
      <x:alignment vertical="bottom"/>
    </x:xf>
    <x:xf numFmtId="0" fontId="0" fillId="67" borderId="22" xfId="0" applyNumberFormat="1" applyFont="1" applyFill="1" applyBorder="1" applyAlignment="1">
      <x:alignment vertical="bottom"/>
    </x:xf>
    <x:xf numFmtId="0" fontId="127" fillId="67" borderId="22" xfId="0" applyNumberFormat="1" applyFont="1" applyFill="1" applyBorder="1" applyAlignment="1">
      <x:alignment vertical="bottom"/>
    </x:xf>
    <x:xf numFmtId="1" fontId="0" fillId="68" borderId="0" xfId="0" applyNumberFormat="1" applyFont="1" applyFill="1" applyBorder="1" applyAlignment="1">
      <x:alignment vertical="bottom"/>
    </x:xf>
    <x:xf numFmtId="1" fontId="126" fillId="68" borderId="0" xfId="0" applyNumberFormat="1" applyFont="1" applyFill="1" applyBorder="1" applyAlignment="1">
      <x:alignment vertical="bottom"/>
    </x:xf>
    <x:xf numFmtId="1" fontId="0" fillId="67" borderId="0" xfId="0" applyNumberFormat="1" applyFont="1" applyFill="1" applyBorder="1" applyAlignment="1">
      <x:alignment vertical="bottom"/>
    </x:xf>
    <x:xf numFmtId="1" fontId="127" fillId="67" borderId="0" xfId="0" applyNumberFormat="1" applyFont="1" applyFill="1" applyBorder="1" applyAlignment="1">
      <x:alignment vertical="bottom"/>
    </x:xf>
  </x:cellXfs>
  <x:cellStyles count="2">
    <x:cellStyle name="Normal" xfId="0"/>
    <x:cellStyle name="Hyperlink" xfId="1"/>
  </x:cellStyles>
  <x:dxfs count="17">
    <x:dxf>
      <x:font>
        <x:color rgb="ffff0000"/>
      </x:font>
    </x:dxf>
    <x:dxf>
      <x:fill>
        <x:patternFill>
          <x:bgColor indexed="21"/>
        </x:patternFill>
      </x:fill>
    </x:dxf>
    <x:dxf>
      <x:fill>
        <x:patternFill>
          <x:bgColor indexed="21"/>
        </x:patternFill>
      </x:fill>
    </x:dxf>
    <x:dxf>
      <x:font>
        <x:color rgb="ffff0000"/>
      </x:font>
    </x:dxf>
    <x:dxf>
      <x:font>
        <x:color rgb="ffff0000"/>
      </x:font>
    </x:dxf>
    <x:dxf>
      <x:font>
        <x:color rgb="ffff0000"/>
      </x:font>
    </x:dxf>
    <x:dxf>
      <x:font>
        <x:color rgb="ffff0000"/>
      </x:font>
    </x:dxf>
    <x:dxf>
      <x:font>
        <x:color rgb="ffff0000"/>
      </x:font>
    </x:dxf>
    <x:dxf>
      <x:font>
        <x:color rgb="ffff0000"/>
      </x:font>
    </x:dxf>
    <x:dxf>
      <x:font>
        <x:color rgb="ff2f5597"/>
      </x:font>
      <x:fill>
        <x:patternFill>
          <x:bgColor indexed="21"/>
        </x:patternFill>
      </x:fill>
    </x:dxf>
    <x:dxf>
      <x:font>
        <x:color rgb="ffff0000"/>
      </x:font>
    </x:dxf>
    <x:dxf>
      <x:font>
        <x:color rgb="ffff0000"/>
      </x:font>
    </x:dxf>
    <x:dxf>
      <x:font>
        <x:color rgb="ffff0000"/>
      </x:font>
    </x:dxf>
    <x:dxf>
      <x:font>
        <x:color rgb="ffff0000"/>
      </x:font>
    </x:dxf>
    <x:dxf>
      <x:font>
        <x:color rgb="ffff0000"/>
      </x:font>
    </x:dxf>
    <x:dxf>
      <x:fill>
        <x:patternFill>
          <x:bgColor rgb="00E2F0D9"/>
        </x:patternFill>
      </x:fill>
    </x:dxf>
    <x:dxf>
      <x:fill>
        <x:patternFill>
          <x:bgColor rgb="00F4CCCC"/>
        </x:patternFill>
      </x:fill>
    </x:dxf>
  </x:dxfs>
  <x:colors>
    <x:indexedColors>
      <x:rgbColor rgb="FF000000"/>
      <x:rgbColor rgb="FFFFFFFF"/>
      <x:rgbColor rgb="FFFF0000"/>
      <x:rgbColor rgb="FF00FF00"/>
      <x:rgbColor rgb="FF0000FF"/>
      <x:rgbColor rgb="FFFFFF00"/>
      <x:rgbColor rgb="FFFF00FF"/>
      <x:rgbColor rgb="FF00FFFF"/>
      <x:rgbColor rgb="FF000000"/>
      <x:rgbColor rgb="FF5E88B1"/>
      <x:rgbColor rgb="FFEEF3F4"/>
      <x:rgbColor rgb="FF0000FF"/>
      <x:rgbColor rgb="FFFFFFFF"/>
      <x:rgbColor rgb="FFAAAAAA"/>
      <x:rgbColor rgb="FF0070C0"/>
      <x:rgbColor rgb="FFD8D8D8"/>
      <x:rgbColor rgb="FF606060"/>
      <x:rgbColor rgb="FF1F1F1F"/>
      <x:rgbColor rgb="FF008000"/>
      <x:rgbColor rgb="FFFF0000"/>
      <x:rgbColor rgb="FFF2F2F2"/>
      <x:rgbColor rgb="00000000"/>
      <x:rgbColor rgb="FF00FF00"/>
      <x:rgbColor rgb="FFFF6B6B"/>
      <x:rgbColor rgb="FF1F4E78"/>
      <x:rgbColor rgb="FF555555"/>
      <x:rgbColor rgb="FF44546A"/>
      <x:rgbColor rgb="FFBBBBBB"/>
      <x:rgbColor rgb="FF000099"/>
      <x:rgbColor rgb="FFD9E2F3"/>
      <x:rgbColor rgb="FF335593"/>
      <x:rgbColor rgb="FF70AD47"/>
      <x:rgbColor rgb="FFF0F0F0"/>
      <x:rgbColor rgb="FF3F3F3F"/>
      <x:rgbColor rgb="FF203864"/>
      <x:rgbColor rgb="FF20537D"/>
      <x:rgbColor rgb="FFFFFF99"/>
      <x:rgbColor rgb="FFFFF2CC"/>
      <x:rgbColor rgb="FF92D050"/>
      <x:rgbColor rgb="FFFFFF00"/>
      <x:rgbColor rgb="FFC8C8C8"/>
      <x:rgbColor rgb="FFFFC000"/>
      <x:rgbColor rgb="FFBDD6EE"/>
      <x:rgbColor rgb="FFECECEC"/>
      <x:rgbColor rgb="FFDADADA"/>
      <x:rgbColor rgb="FF00A718"/>
      <x:rgbColor rgb="FF3366FF"/>
      <x:rgbColor rgb="FFFFD965"/>
      <x:rgbColor rgb="FF800000"/>
      <x:rgbColor rgb="FF808080"/>
      <x:rgbColor rgb="FFE7E6E6"/>
      <x:rgbColor rgb="FFC0C0C0"/>
      <x:rgbColor rgb="FFCC99FF"/>
      <x:rgbColor rgb="FF00FFFF"/>
      <x:rgbColor rgb="FFFFCC99"/>
      <x:rgbColor rgb="FFBFBFBF"/>
      <x:rgbColor rgb="FF548135"/>
      <x:rgbColor rgb="FFE2EEDA"/>
      <x:rgbColor rgb="FFA5A5A5"/>
      <x:rgbColor rgb="FF7F7F7F"/>
      <x:rgbColor rgb="FF20385E"/>
      <x:rgbColor rgb="FF2F5597"/>
      <x:rgbColor rgb="FFB7E1F0"/>
      <x:rgbColor rgb="FFFBE4D5"/>
    </x:indexedColors>
  </x:colors>
</x:styleSheet>
</file>

<file path=xl/_rels/workbook.xml.rels>&#65279;<?xml version="1.0" encoding="utf-8"?><Relationships xmlns="http://schemas.openxmlformats.org/package/2006/relationships"><Relationship Type="http://schemas.openxmlformats.org/officeDocument/2006/relationships/styles" Target="/xl/styles.xml" Id="R48b397f18c6c43fc" /><Relationship Type="http://schemas.openxmlformats.org/officeDocument/2006/relationships/theme" Target="/xl/theme/theme1.xml" Id="Rb8718265825944ab" /><Relationship Type="http://schemas.openxmlformats.org/officeDocument/2006/relationships/sharedStrings" Target="/xl/sharedStrings.xml" Id="R755a854dce884406" /><Relationship Type="http://schemas.openxmlformats.org/officeDocument/2006/relationships/worksheet" Target="/xl/worksheets/sheet1.xml" Id="Re3ef390fb17d4cd7" /><Relationship Type="http://schemas.openxmlformats.org/officeDocument/2006/relationships/worksheet" Target="/xl/worksheets/sheet2.xml" Id="R20d1fb83e92848ea" /><Relationship Type="http://schemas.openxmlformats.org/officeDocument/2006/relationships/worksheet" Target="/xl/worksheets/sheet3.xml" Id="R38f60b8b6fbb40f3" /><Relationship Type="http://schemas.openxmlformats.org/officeDocument/2006/relationships/worksheet" Target="/xl/worksheets/sheet4.xml" Id="Rd3834c5c894948a6" /><Relationship Type="http://schemas.openxmlformats.org/officeDocument/2006/relationships/worksheet" Target="/xl/worksheets/sheet5.xml" Id="R5b6707b5ea4e4285" /><Relationship Type="http://schemas.openxmlformats.org/officeDocument/2006/relationships/worksheet" Target="/xl/worksheets/sheet6.xml" Id="R0a9970717ae94e7d" /><Relationship Type="http://schemas.openxmlformats.org/officeDocument/2006/relationships/worksheet" Target="/xl/worksheets/sheet7.xml" Id="R58d8043a08a7418d" /><Relationship Type="http://schemas.openxmlformats.org/officeDocument/2006/relationships/worksheet" Target="/xl/worksheets/sheet8.xml" Id="Rc0e804a4e58a4a98" /><Relationship Type="http://schemas.openxmlformats.org/officeDocument/2006/relationships/worksheet" Target="/xl/worksheets/sheet9.xml" Id="Rb0ca3146771a45ad" /><Relationship Type="http://schemas.openxmlformats.org/officeDocument/2006/relationships/worksheet" Target="/xl/worksheets/sheet10.xml" Id="R8a994a408b724174" /><Relationship Type="http://schemas.openxmlformats.org/officeDocument/2006/relationships/worksheet" Target="/xl/worksheets/sheet11.xml" Id="R35ee774101bb4ba0" /><Relationship Type="http://schemas.openxmlformats.org/officeDocument/2006/relationships/worksheet" Target="/xl/worksheets/sheet12.xml" Id="R797c57973a8c4487" /><Relationship Type="http://schemas.openxmlformats.org/officeDocument/2006/relationships/worksheet" Target="/xl/worksheets/sheet13.xml" Id="R7fdf58a741304a49" /><Relationship Type="http://schemas.openxmlformats.org/officeDocument/2006/relationships/worksheet" Target="/xl/worksheets/sheet14.xml" Id="R00e13d4fc9b44d08" /><Relationship Type="http://schemas.openxmlformats.org/officeDocument/2006/relationships/worksheet" Target="/xl/worksheets/sheet15.xml" Id="R71b022bed14b4215" /><Relationship Type="http://schemas.openxmlformats.org/officeDocument/2006/relationships/worksheet" Target="/xl/worksheets/sheet16.xml" Id="R6dfee1679aa1427f" /><Relationship Type="http://schemas.openxmlformats.org/officeDocument/2006/relationships/worksheet" Target="/xl/worksheets/sheet17.xml" Id="R1cae9f781d694ec0" /><Relationship Type="http://schemas.openxmlformats.org/officeDocument/2006/relationships/worksheet" Target="/xl/worksheets/sheet18.xml" Id="Rbff7ad756fc14d07" /><Relationship Type="http://schemas.openxmlformats.org/officeDocument/2006/relationships/worksheet" Target="/xl/worksheets/sheet19.xml" Id="R06ef674f26474dce" /><Relationship Type="http://schemas.openxmlformats.org/officeDocument/2006/relationships/worksheet" Target="/xl/worksheets/sheet20.xml" Id="Rc5f6bc7ea9c34fe9" /><Relationship Type="http://schemas.openxmlformats.org/officeDocument/2006/relationships/worksheet" Target="/xl/worksheets/sheet21.xml" Id="R0d2ad8ac2e684042" /><Relationship Type="http://schemas.openxmlformats.org/officeDocument/2006/relationships/worksheet" Target="/xl/worksheets/sheet22.xml" Id="R5895373d06cb4c77" /><Relationship Type="http://schemas.openxmlformats.org/officeDocument/2006/relationships/worksheet" Target="/xl/worksheets/sheet23.xml" Id="R527812e5743b48ba" /><Relationship Type="http://schemas.openxmlformats.org/officeDocument/2006/relationships/worksheet" Target="/xl/worksheets/sheet24.xml" Id="R888f6279a2034738" /><Relationship Type="http://schemas.openxmlformats.org/officeDocument/2006/relationships/worksheet" Target="/xl/worksheets/sheet25.xml" Id="R9e7f3fd0f75d44dd" /><Relationship Type="http://schemas.openxmlformats.org/officeDocument/2006/relationships/worksheet" Target="/xl/worksheets/sheet26.xml" Id="R15f0a491d01c4796" /><Relationship Type="http://schemas.openxmlformats.org/officeDocument/2006/relationships/worksheet" Target="/xl/worksheets/sheet27.xml" Id="R58403729c8044b69" /><Relationship Type="http://schemas.openxmlformats.org/officeDocument/2006/relationships/worksheet" Target="/xl/worksheets/sheet28.xml" Id="R5b29aafa29184a79" /><Relationship Type="http://schemas.openxmlformats.org/officeDocument/2006/relationships/worksheet" Target="/xl/worksheets/sheet29.xml" Id="Re3089940fecd47e4" /><Relationship Type="http://schemas.openxmlformats.org/officeDocument/2006/relationships/worksheet" Target="/xl/worksheets/sheet30.xml" Id="Rfc0357709f564934" /><Relationship Type="http://schemas.openxmlformats.org/officeDocument/2006/relationships/worksheet" Target="/xl/worksheets/sheet31.xml" Id="R6e13ddd3de8d41f7" /><Relationship Type="http://schemas.openxmlformats.org/officeDocument/2006/relationships/worksheet" Target="/xl/worksheets/sheet32.xml" Id="Raca5946665844b91" /><Relationship Type="http://schemas.openxmlformats.org/officeDocument/2006/relationships/worksheet" Target="/xl/worksheets/sheet33.xml" Id="R8868a79546654934" /><Relationship Type="http://schemas.openxmlformats.org/officeDocument/2006/relationships/worksheet" Target="/xl/worksheets/sheet34.xml" Id="R4c55c02b5bf84452" /><Relationship Type="http://schemas.openxmlformats.org/officeDocument/2006/relationships/worksheet" Target="/xl/worksheets/sheet35.xml" Id="Rc7b9867129464cdc" /><Relationship Type="http://schemas.openxmlformats.org/officeDocument/2006/relationships/worksheet" Target="/xl/worksheets/sheet36.xml" Id="Rdf7885ca795f4e0c" /><Relationship Type="http://schemas.openxmlformats.org/officeDocument/2006/relationships/worksheet" Target="/xl/worksheets/sheet37.xml" Id="Rf9440f73fb7c4850" /><Relationship Type="http://schemas.microsoft.com/office/2017/10/relationships/person" Target="/xl/persons/person.xml" Id="R0f941276524c4cf4" /></Relationships>
</file>

<file path=xl/drawings/_rels/drawing1.xml.rels>&#65279;<?xml version="1.0" encoding="utf-8"?><Relationships xmlns="http://schemas.openxmlformats.org/package/2006/relationships"><Relationship Type="http://schemas.openxmlformats.org/officeDocument/2006/relationships/image" Target="/xl/media/image.png" Id="R0f24f6e6f9554f99" /><Relationship Type="http://schemas.openxmlformats.org/officeDocument/2006/relationships/image" Target="/xl/media/image2.png" Id="R88a22ad9cdad4125" /></Relationships>
</file>

<file path=xl/drawings/_rels/drawing2.xml.rels>&#65279;<?xml version="1.0" encoding="utf-8"?><Relationships xmlns="http://schemas.openxmlformats.org/package/2006/relationships"><Relationship Type="http://schemas.openxmlformats.org/officeDocument/2006/relationships/image" Target="/xl/media/image3.png" Id="Rd3d4fc05982d4ab8" /><Relationship Type="http://schemas.openxmlformats.org/officeDocument/2006/relationships/image" Target="/xl/media/image4.png" Id="R4b86a92a448348d6" /></Relationships>
</file>

<file path=xl/drawings/_rels/drawing3.xml.rels>&#65279;<?xml version="1.0" encoding="utf-8"?><Relationships xmlns="http://schemas.openxmlformats.org/package/2006/relationships"><Relationship Type="http://schemas.openxmlformats.org/officeDocument/2006/relationships/image" Target="/xl/media/image5.png" Id="R8355520d08b44f9a" /></Relationships>
</file>

<file path=xl/drawings/_rels/drawing4.xml.rels>&#65279;<?xml version="1.0" encoding="utf-8"?><Relationships xmlns="http://schemas.openxmlformats.org/package/2006/relationships"><Relationship Type="http://schemas.openxmlformats.org/officeDocument/2006/relationships/image" Target="/xl/media/image6.png" Id="Rc393e16740e8432e" /></Relationships>
</file>

<file path=xl/drawings/_rels/drawing5.xml.rels>&#65279;<?xml version="1.0" encoding="utf-8"?><Relationships xmlns="http://schemas.openxmlformats.org/package/2006/relationships"><Relationship Type="http://schemas.openxmlformats.org/officeDocument/2006/relationships/image" Target="/xl/media/image7.png" Id="Rb2b154b323d04392" /></Relationships>
</file>

<file path=xl/drawings/_rels/drawing6.xml.rels>&#65279;<?xml version="1.0" encoding="utf-8"?><Relationships xmlns="http://schemas.openxmlformats.org/package/2006/relationships"><Relationship Type="http://schemas.openxmlformats.org/officeDocument/2006/relationships/chart" Target="/xl/drawings/charts/chart1.xml" Id="R48d45f143f2b4f5f" /></Relationships>
</file>

<file path=xl/drawings/_rels/drawing7.xml.rels>&#65279;<?xml version="1.0" encoding="utf-8"?><Relationships xmlns="http://schemas.openxmlformats.org/package/2006/relationships"><Relationship Type="http://schemas.openxmlformats.org/officeDocument/2006/relationships/image" Target="/xl/media/image8.png" Id="R94c8fcd7f319449a" /></Relationships>
</file>

<file path=xl/drawings/charts/chart1.xml><?xml version="1.0" encoding="utf-8"?>
<c:chartSpace xmlns:c="http://schemas.openxmlformats.org/drawingml/2006/chart">
  <c:lang val="en-US"/>
  <c:roundedCorners val="0"/>
  <c:chart>
    <c:plotArea>
      <c:layout/>
      <c:barChart>
        <c:barDir val="bar"/>
        <c:grouping val="stacked"/>
        <c:varyColors val="0"/>
        <c:ser>
          <c:idx val="0"/>
          <c:order val="0"/>
          <c:tx>
            <c:strRef>
              <c:f>'S&amp;U-Timeline'!$D$21</c:f>
              <c:strCache>
                <c:ptCount val="1"/>
                <c:pt idx="0">
                  <c:v>START</c:v>
                </c:pt>
              </c:strCache>
            </c:strRef>
          </c:tx>
          <c:spPr>
            <a:noFill xmlns:a="http://schemas.openxmlformats.org/drawingml/2006/main"/>
            <a:ln xmlns:a="http://schemas.openxmlformats.org/drawingml/2006/main" w="12700">
              <a:noFill/>
              <a:prstDash val="solid"/>
            </a:ln>
          </c:spPr>
          <c:cat>
            <c:strRef>
              <c:f>'S&amp;U-Timeline'!$A$22,'S&amp;U-Timeline'!$A$23,'S&amp;U-Timeline'!$A$24,'S&amp;U-Timeline'!$A$25,'S&amp;U-Timeline'!$A$26,'S&amp;U-Timeline'!$A$27,'S&amp;U-Timeline'!$A$28,'S&amp;U-Timeline'!$A$29</c:f>
              <c:strCache>
                <c:ptCount val="8"/>
                <c:pt idx="0">
                  <c:v>Land Acquisition</c:v>
                </c:pt>
                <c:pt idx="1">
                  <c:v>Appprovals</c:v>
                </c:pt>
                <c:pt idx="2">
                  <c:v>Design</c:v>
                </c:pt>
                <c:pt idx="3">
                  <c:v>Permitting</c:v>
                </c:pt>
                <c:pt idx="4">
                  <c:v>Construction</c:v>
                </c:pt>
                <c:pt idx="5">
                  <c:v>Initial Stabilization</c:v>
                </c:pt>
                <c:pt idx="6">
                  <c:v>Final Stabilization</c:v>
                </c:pt>
                <c:pt idx="7">
                  <c:v>Terminal Sale</c:v>
                </c:pt>
              </c:strCache>
            </c:strRef>
          </c:cat>
          <c:val>
            <c:numRef>
              <c:f>'S&amp;U-Timeline'!$D$22:$D$29</c:f>
              <c:numCache>
                <c:formatCode>m/d/yy h:mm" "AM/PM</c:formatCode>
                <c:ptCount val="8"/>
                <c:pt idx="0">
                  <c:v>46113</c:v>
                </c:pt>
                <c:pt idx="1">
                  <c:v>46113</c:v>
                </c:pt>
                <c:pt idx="2">
                  <c:v>46113</c:v>
                </c:pt>
                <c:pt idx="3">
                  <c:v>46143</c:v>
                </c:pt>
                <c:pt idx="4">
                  <c:v>46204</c:v>
                </c:pt>
                <c:pt idx="5">
                  <c:v>46508</c:v>
                </c:pt>
                <c:pt idx="6">
                  <c:v>46874</c:v>
                </c:pt>
                <c:pt idx="7">
                  <c:v>50010</c:v>
                </c:pt>
              </c:numCache>
            </c:numRef>
          </c:val>
        </c:ser>
        <c:ser>
          <c:idx val="1"/>
          <c:order val="1"/>
          <c:tx>
            <c:strRef>
              <c:f>'S&amp;U-Timeline'!$F$21</c:f>
              <c:strCache>
                <c:ptCount val="1"/>
                <c:pt idx="0">
                  <c:v>DUR</c:v>
                </c:pt>
              </c:strCache>
            </c:strRef>
          </c:tx>
          <c:spPr>
            <a:solidFill xmlns:a="http://schemas.openxmlformats.org/drawingml/2006/main">
              <a:schemeClr val="accent2"/>
            </a:solidFill>
            <a:ln xmlns:a="http://schemas.openxmlformats.org/drawingml/2006/main" w="12700">
              <a:noFill/>
              <a:prstDash val="solid"/>
            </a:ln>
          </c:spPr>
          <c:cat>
            <c:strRef>
              <c:f>'S&amp;U-Timeline'!$A$22,'S&amp;U-Timeline'!$A$23,'S&amp;U-Timeline'!$A$24,'S&amp;U-Timeline'!$A$25,'S&amp;U-Timeline'!$A$26,'S&amp;U-Timeline'!$A$27,'S&amp;U-Timeline'!$A$28,'S&amp;U-Timeline'!$A$29</c:f>
              <c:strCache>
                <c:ptCount val="8"/>
                <c:pt idx="0">
                  <c:v>Land Acquisition</c:v>
                </c:pt>
                <c:pt idx="1">
                  <c:v>Appprovals</c:v>
                </c:pt>
                <c:pt idx="2">
                  <c:v>Design</c:v>
                </c:pt>
                <c:pt idx="3">
                  <c:v>Permitting</c:v>
                </c:pt>
                <c:pt idx="4">
                  <c:v>Construction</c:v>
                </c:pt>
                <c:pt idx="5">
                  <c:v>Initial Stabilization</c:v>
                </c:pt>
                <c:pt idx="6">
                  <c:v>Final Stabilization</c:v>
                </c:pt>
                <c:pt idx="7">
                  <c:v>Terminal Sale</c:v>
                </c:pt>
              </c:strCache>
            </c:strRef>
          </c:cat>
          <c:val>
            <c:numRef>
              <c:f>'S&amp;U-Timeline'!$M$25:$M$32</c:f>
              <c:numCache>
                <c:formatCode>m/d/yy h:mm" "AM/PM</c:formatCode>
                <c:ptCount val="8"/>
                <c:pt idx="0">
                  <c:v>90</c:v>
                </c:pt>
                <c:pt idx="1">
                  <c:v>90</c:v>
                </c:pt>
                <c:pt idx="2">
                  <c:v>90</c:v>
                </c:pt>
                <c:pt idx="3">
                  <c:v>60</c:v>
                </c:pt>
                <c:pt idx="4">
                  <c:v>270</c:v>
                </c:pt>
                <c:pt idx="5">
                  <c:v>360</c:v>
                </c:pt>
                <c:pt idx="6">
                  <c:v>3060</c:v>
                </c:pt>
                <c:pt idx="7">
                  <c:v>90</c:v>
                </c:pt>
              </c:numCache>
            </c:numRef>
          </c:val>
        </c:ser>
        <c:dLbls>
          <c:showLegendKey val="0"/>
          <c:showVal val="0"/>
          <c:showCatName val="0"/>
          <c:showSerName val="0"/>
          <c:showPercent val="0"/>
          <c:showBubbleSize val="0"/>
          <c:showLeaderLines val="0"/>
        </c:dLbls>
        <c:gapWidth val="3"/>
        <c:overlap val="100"/>
        <c:axId val="48650112"/>
        <c:axId val="48672768"/>
      </c:barChart>
      <c:catAx>
        <c:axId val="48650112"/>
        <c:scaling>
          <c:orientation val="maxMin"/>
        </c:scaling>
        <c:delete val="0"/>
        <c:axPos val="l"/>
        <c:majorGridlines>
          <c:spPr>
            <a:ln xmlns:a="http://schemas.openxmlformats.org/drawingml/2006/main" w="12700">
              <a:solidFill>
                <a:srgbClr val="D9D9D9"/>
              </a:solidFill>
              <a:prstDash val="solid"/>
            </a:ln>
          </c:spPr>
        </c:majorGridlines>
        <c:minorGridlines>
          <c:spPr>
            <a:ln xmlns:a="http://schemas.openxmlformats.org/drawingml/2006/main" w="12700">
              <a:solidFill>
                <a:srgbClr val="F2F2F2"/>
              </a:solidFill>
              <a:prstDash val="solid"/>
            </a:ln>
          </c:spPr>
        </c:minorGridlines>
        <c:numFmt formatCode="General" sourceLinked="0"/>
        <c:majorTickMark val="out"/>
        <c:minorTickMark val="out"/>
        <c:tickLblPos val="nextTo"/>
        <c:spPr>
          <a:ln xmlns:a="http://schemas.openxmlformats.org/drawingml/2006/main" w="12700">
            <a:solidFill>
              <a:schemeClr val="accent1"/>
            </a:solidFill>
            <a:prstDash val="solid"/>
          </a:ln>
        </c:spPr>
        <c:txPr>
          <a:bodyPr xmlns:a="http://schemas.openxmlformats.org/drawingml/2006/main" rot="0" anchorCtr="1"/>
          <a:lstStyle xmlns:a="http://schemas.openxmlformats.org/drawingml/2006/main"/>
          <a:p xmlns:a="http://schemas.openxmlformats.org/drawingml/2006/main">
            <a:pPr>
              <a:defRPr sz="900" b="1" i="0">
                <a:solidFill>
                  <a:srgbClr val="595959"/>
                </a:solidFill>
                <a:latin typeface="Calibri"/>
                <a:ea typeface="Calibri"/>
                <a:cs typeface="Calibri"/>
              </a:defRPr>
            </a:pPr>
          </a:p>
        </c:txPr>
        <c:crossAx val="48672768"/>
        <c:crosses val="autoZero"/>
        <c:lblAlgn val="ctr"/>
        <c:lblOffset val="100"/>
        <c:noMultiLvlLbl val="0"/>
      </c:catAx>
      <c:valAx>
        <c:axId val="48672768"/>
        <c:scaling>
          <c:orientation val="minMax"/>
        </c:scaling>
        <c:delete val="0"/>
        <c:axPos val="b"/>
        <c:majorGridlines>
          <c:spPr>
            <a:ln xmlns:a="http://schemas.openxmlformats.org/drawingml/2006/main" w="12700">
              <a:solidFill>
                <a:srgbClr val="D9D9D9"/>
              </a:solidFill>
              <a:prstDash val="solid"/>
            </a:ln>
          </c:spPr>
        </c:majorGridlines>
        <c:numFmt formatCode="m/d/yy h:mm&quot; &quot;AM/PM" sourceLinked="1"/>
        <c:majorTickMark val="none"/>
        <c:minorTickMark val="none"/>
        <c:tickLblPos val="high"/>
        <c:spPr>
          <a:ln xmlns:a="http://schemas.openxmlformats.org/drawingml/2006/main" w="12700">
            <a:solidFill>
              <a:schemeClr val="accent1"/>
            </a:solidFill>
            <a:prstDash val="solid"/>
          </a:ln>
        </c:spPr>
        <c:txPr>
          <a:bodyPr xmlns:a="http://schemas.openxmlformats.org/drawingml/2006/main" rot="0" anchorCtr="1"/>
          <a:lstStyle xmlns:a="http://schemas.openxmlformats.org/drawingml/2006/main"/>
          <a:p xmlns:a="http://schemas.openxmlformats.org/drawingml/2006/main">
            <a:pPr>
              <a:defRPr sz="900" b="1" i="0">
                <a:solidFill>
                  <a:srgbClr val="595959"/>
                </a:solidFill>
                <a:latin typeface="Calibri"/>
                <a:ea typeface="Calibri"/>
                <a:cs typeface="Calibri"/>
              </a:defRPr>
            </a:pPr>
          </a:p>
        </c:txPr>
        <c:crossAx val="48650112"/>
        <c:crosses val="autoZero"/>
        <c:crossBetween val="between"/>
      </c:valAx>
    </c:plotArea>
    <c:plotVisOnly val="1"/>
  </c:chart>
  <c:spPr>
    <a:solidFill xmlns:a="http://schemas.openxmlformats.org/drawingml/2006/main">
      <a:srgbClr val="FFFFFF"/>
    </a:solidFill>
    <a:ln xmlns:a="http://schemas.openxmlformats.org/drawingml/2006/main">
      <a:noFill/>
      <a:prstDash val="solid"/>
    </a:ln>
  </c:spPr>
</c:chartSpace>
</file>

<file path=xl/drawings/drawing1.xml><?xml version="1.0" encoding="utf-8"?>
<xdr:wsDr xmlns:xdr="http://schemas.openxmlformats.org/drawingml/2006/spreadsheetDrawing">
  <xdr:twoCellAnchor editAs="oneCell">
    <xdr:from>
      <xdr:col>4</xdr:col>
      <xdr:colOff>27359</xdr:colOff>
      <xdr:row>3</xdr:row>
      <xdr:rowOff>81720</xdr:rowOff>
    </xdr:from>
    <xdr:to>
      <xdr:col>4</xdr:col>
      <xdr:colOff>2737440</xdr:colOff>
      <xdr:row>6</xdr:row>
      <xdr:rowOff>177480</xdr:rowOff>
    </xdr:to>
    <xdr:pic>
      <xdr:nvPicPr>
        <xdr:cNvPr id="1" name="/xl/media/image1.png"/>
        <xdr:cNvPicPr>
          <a:picLocks xmlns:a="http://schemas.openxmlformats.org/drawingml/2006/main" noChangeAspect="1"/>
        </xdr:cNvPicPr>
      </xdr:nvPicPr>
      <xdr:blipFill>
        <a:blip xmlns:r="http://schemas.openxmlformats.org/officeDocument/2006/relationships" xmlns:a="http://schemas.openxmlformats.org/drawingml/2006/main" r:embed="R0f24f6e6f9554f99"/>
        <a:stretch xmlns:a="http://schemas.openxmlformats.org/drawingml/2006/main">
          <a:fillRect/>
        </a:stretch>
      </xdr:blipFill>
      <xdr:spPr>
        <a:prstGeom xmlns:a="http://schemas.openxmlformats.org/drawingml/2006/main" prst="rect"/>
      </xdr:spPr>
    </xdr:pic>
    <xdr:clientData/>
  </xdr:twoCellAnchor>
  <xdr:twoCellAnchor editAs="oneCell">
    <xdr:from>
      <xdr:col>12</xdr:col>
      <xdr:colOff>59399</xdr:colOff>
      <xdr:row>47</xdr:row>
      <xdr:rowOff>35639</xdr:rowOff>
    </xdr:from>
    <xdr:to>
      <xdr:col>13</xdr:col>
      <xdr:colOff>1522080</xdr:colOff>
      <xdr:row>50</xdr:row>
      <xdr:rowOff>140759</xdr:rowOff>
    </xdr:to>
    <xdr:pic>
      <xdr:nvPicPr>
        <xdr:cNvPr id="2" name="/xl/media/image2.png"/>
        <xdr:cNvPicPr>
          <a:picLocks xmlns:a="http://schemas.openxmlformats.org/drawingml/2006/main" noChangeAspect="1"/>
        </xdr:cNvPicPr>
      </xdr:nvPicPr>
      <xdr:blipFill>
        <a:blip xmlns:r="http://schemas.openxmlformats.org/officeDocument/2006/relationships" xmlns:a="http://schemas.openxmlformats.org/drawingml/2006/main" r:embed="R88a22ad9cdad4125"/>
        <a:stretch xmlns:a="http://schemas.openxmlformats.org/drawingml/2006/main">
          <a:fillRect/>
        </a:stretch>
      </xdr:blipFill>
      <xdr:spPr>
        <a:prstGeom xmlns:a="http://schemas.openxmlformats.org/drawingml/2006/main" prst="rect"/>
      </xdr:spPr>
    </xdr:pic>
    <xdr:clientData/>
  </xdr:twoCellAnchor>
</xdr:wsDr>
</file>

<file path=xl/drawings/drawing2.xml><?xml version="1.0" encoding="utf-8"?>
<xdr:wsDr xmlns:xdr="http://schemas.openxmlformats.org/drawingml/2006/spreadsheetDrawing">
  <xdr:twoCellAnchor editAs="oneCell">
    <xdr:from>
      <xdr:col>0</xdr:col>
      <xdr:colOff>121320</xdr:colOff>
      <xdr:row>0</xdr:row>
      <xdr:rowOff>121320</xdr:rowOff>
    </xdr:from>
    <xdr:to>
      <xdr:col>1</xdr:col>
      <xdr:colOff>1531080</xdr:colOff>
      <xdr:row>4</xdr:row>
      <xdr:rowOff>72719</xdr:rowOff>
    </xdr:to>
    <xdr:pic>
      <xdr:nvPicPr>
        <xdr:cNvPr id="1" name="/xl/media/image3.png"/>
        <xdr:cNvPicPr>
          <a:picLocks xmlns:a="http://schemas.openxmlformats.org/drawingml/2006/main" noChangeAspect="1"/>
        </xdr:cNvPicPr>
      </xdr:nvPicPr>
      <xdr:blipFill>
        <a:blip xmlns:r="http://schemas.openxmlformats.org/officeDocument/2006/relationships" xmlns:a="http://schemas.openxmlformats.org/drawingml/2006/main" r:embed="Rd3d4fc05982d4ab8"/>
        <a:stretch xmlns:a="http://schemas.openxmlformats.org/drawingml/2006/main">
          <a:fillRect/>
        </a:stretch>
      </xdr:blipFill>
      <xdr:spPr>
        <a:prstGeom xmlns:a="http://schemas.openxmlformats.org/drawingml/2006/main" prst="rect"/>
      </xdr:spPr>
    </xdr:pic>
    <xdr:clientData/>
  </xdr:twoCellAnchor>
  <xdr:twoCellAnchor editAs="oneCell">
    <xdr:from>
      <xdr:col>1</xdr:col>
      <xdr:colOff>612359</xdr:colOff>
      <xdr:row>14</xdr:row>
      <xdr:rowOff>108719</xdr:rowOff>
    </xdr:from>
    <xdr:to>
      <xdr:col>2</xdr:col>
      <xdr:colOff>1280880</xdr:colOff>
      <xdr:row>18</xdr:row>
      <xdr:rowOff>124559</xdr:rowOff>
    </xdr:to>
    <xdr:pic>
      <xdr:nvPicPr>
        <xdr:cNvPr id="2" name="/xl/media/image4.png"/>
        <xdr:cNvPicPr>
          <a:picLocks xmlns:a="http://schemas.openxmlformats.org/drawingml/2006/main" noChangeAspect="1"/>
        </xdr:cNvPicPr>
      </xdr:nvPicPr>
      <xdr:blipFill>
        <a:blip xmlns:r="http://schemas.openxmlformats.org/officeDocument/2006/relationships" xmlns:a="http://schemas.openxmlformats.org/drawingml/2006/main" r:embed="R4b86a92a448348d6"/>
        <a:stretch xmlns:a="http://schemas.openxmlformats.org/drawingml/2006/main">
          <a:fillRect/>
        </a:stretch>
      </xdr:blipFill>
      <xdr:spPr>
        <a:prstGeom xmlns:a="http://schemas.openxmlformats.org/drawingml/2006/main" prst="rect"/>
      </xdr:spPr>
    </xdr:pic>
    <xdr:clientData/>
  </xdr:twoCellAnchor>
</xdr:wsDr>
</file>

<file path=xl/drawings/drawing3.xml><?xml version="1.0" encoding="utf-8"?>
<xdr:wsDr xmlns:xdr="http://schemas.openxmlformats.org/drawingml/2006/spreadsheetDrawing">
  <xdr:twoCellAnchor editAs="oneCell">
    <xdr:from>
      <xdr:col>7</xdr:col>
      <xdr:colOff>523799</xdr:colOff>
      <xdr:row>0</xdr:row>
      <xdr:rowOff>237959</xdr:rowOff>
    </xdr:from>
    <xdr:to>
      <xdr:col>11</xdr:col>
      <xdr:colOff>271439</xdr:colOff>
      <xdr:row>4</xdr:row>
      <xdr:rowOff>13679</xdr:rowOff>
    </xdr:to>
    <xdr:pic>
      <xdr:nvPicPr>
        <xdr:cNvPr id="1" name="/xl/media/image5.png"/>
        <xdr:cNvPicPr>
          <a:picLocks xmlns:a="http://schemas.openxmlformats.org/drawingml/2006/main" noChangeAspect="1"/>
        </xdr:cNvPicPr>
      </xdr:nvPicPr>
      <xdr:blipFill>
        <a:blip xmlns:r="http://schemas.openxmlformats.org/officeDocument/2006/relationships" xmlns:a="http://schemas.openxmlformats.org/drawingml/2006/main" r:embed="R8355520d08b44f9a"/>
        <a:stretch xmlns:a="http://schemas.openxmlformats.org/drawingml/2006/main">
          <a:fillRect/>
        </a:stretch>
      </xdr:blipFill>
      <xdr:spPr>
        <a:prstGeom xmlns:a="http://schemas.openxmlformats.org/drawingml/2006/main" prst="rect"/>
      </xdr:spPr>
    </xdr:pic>
    <xdr:clientData/>
  </xdr:twoCellAnchor>
</xdr:wsDr>
</file>

<file path=xl/drawings/drawing4.xml><?xml version="1.0" encoding="utf-8"?>
<xdr:wsDr xmlns:xdr="http://schemas.openxmlformats.org/drawingml/2006/spreadsheetDrawing">
  <xdr:twoCellAnchor editAs="oneCell">
    <xdr:from>
      <xdr:col>11</xdr:col>
      <xdr:colOff>0</xdr:colOff>
      <xdr:row>2</xdr:row>
      <xdr:rowOff>0</xdr:rowOff>
    </xdr:from>
    <xdr:to>
      <xdr:col>15</xdr:col>
      <xdr:colOff>138239</xdr:colOff>
      <xdr:row>5</xdr:row>
      <xdr:rowOff>86760</xdr:rowOff>
    </xdr:to>
    <xdr:pic>
      <xdr:nvPicPr>
        <xdr:cNvPr id="1" name="/xl/media/image6.png"/>
        <xdr:cNvPicPr>
          <a:picLocks xmlns:a="http://schemas.openxmlformats.org/drawingml/2006/main" noChangeAspect="1"/>
        </xdr:cNvPicPr>
      </xdr:nvPicPr>
      <xdr:blipFill>
        <a:blip xmlns:r="http://schemas.openxmlformats.org/officeDocument/2006/relationships" xmlns:a="http://schemas.openxmlformats.org/drawingml/2006/main" r:embed="Rc393e16740e8432e"/>
        <a:stretch xmlns:a="http://schemas.openxmlformats.org/drawingml/2006/main">
          <a:fillRect/>
        </a:stretch>
      </xdr:blipFill>
      <xdr:spPr>
        <a:prstGeom xmlns:a="http://schemas.openxmlformats.org/drawingml/2006/main" prst="rect"/>
      </xdr:spPr>
    </xdr:pic>
    <xdr:clientData/>
  </xdr:twoCellAnchor>
</xdr:wsDr>
</file>

<file path=xl/drawings/drawing5.xml><?xml version="1.0" encoding="utf-8"?>
<xdr:wsDr xmlns:xdr="http://schemas.openxmlformats.org/drawingml/2006/spreadsheetDrawing">
  <xdr:twoCellAnchor editAs="oneCell">
    <xdr:from>
      <xdr:col>0</xdr:col>
      <xdr:colOff>40680</xdr:colOff>
      <xdr:row>12</xdr:row>
      <xdr:rowOff>44639</xdr:rowOff>
    </xdr:from>
    <xdr:to>
      <xdr:col>3</xdr:col>
      <xdr:colOff>227880</xdr:colOff>
      <xdr:row>16</xdr:row>
      <xdr:rowOff>97200</xdr:rowOff>
    </xdr:to>
    <xdr:pic>
      <xdr:nvPicPr>
        <xdr:cNvPr id="1" name="/xl/media/image7.png"/>
        <xdr:cNvPicPr>
          <a:picLocks xmlns:a="http://schemas.openxmlformats.org/drawingml/2006/main" noChangeAspect="1"/>
        </xdr:cNvPicPr>
      </xdr:nvPicPr>
      <xdr:blipFill>
        <a:blip xmlns:r="http://schemas.openxmlformats.org/officeDocument/2006/relationships" xmlns:a="http://schemas.openxmlformats.org/drawingml/2006/main" r:embed="Rb2b154b323d04392"/>
        <a:stretch xmlns:a="http://schemas.openxmlformats.org/drawingml/2006/main">
          <a:fillRect/>
        </a:stretch>
      </xdr:blipFill>
      <xdr:spPr>
        <a:prstGeom xmlns:a="http://schemas.openxmlformats.org/drawingml/2006/main" prst="rect"/>
      </xdr:spPr>
    </xdr:pic>
    <xdr:clientData/>
  </xdr:twoCellAnchor>
</xdr:wsDr>
</file>

<file path=xl/drawings/drawing6.xml><?xml version="1.0" encoding="utf-8"?>
<xdr:wsDr xmlns:xdr="http://schemas.openxmlformats.org/drawingml/2006/spreadsheetDrawing">
  <xdr:twoCellAnchor>
    <xdr:from>
      <xdr:col>0</xdr:col>
      <xdr:colOff>75718</xdr:colOff>
      <xdr:row>31</xdr:row>
      <xdr:rowOff>139536</xdr:rowOff>
    </xdr:from>
    <xdr:to>
      <xdr:col>8</xdr:col>
      <xdr:colOff>254351</xdr:colOff>
      <xdr:row>45</xdr:row>
      <xdr:rowOff>4560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48d45f143f2b4f5f"/>
        </a:graphicData>
      </a:graphic>
    </xdr:graphicFrame>
    <xdr:clientData/>
  </xdr:twoCellAnchor>
</xdr:wsDr>
</file>

<file path=xl/drawings/drawing7.xml><?xml version="1.0" encoding="utf-8"?>
<xdr:wsDr xmlns:xdr="http://schemas.openxmlformats.org/drawingml/2006/spreadsheetDrawing">
  <xdr:twoCellAnchor editAs="oneCell">
    <xdr:from>
      <xdr:col>13</xdr:col>
      <xdr:colOff>0</xdr:colOff>
      <xdr:row>2</xdr:row>
      <xdr:rowOff>0</xdr:rowOff>
    </xdr:from>
    <xdr:to>
      <xdr:col>23</xdr:col>
      <xdr:colOff>399240</xdr:colOff>
      <xdr:row>15</xdr:row>
      <xdr:rowOff>131759</xdr:rowOff>
    </xdr:to>
    <xdr:pic>
      <xdr:nvPicPr>
        <xdr:cNvPr id="1" name="/xl/media/image8.png"/>
        <xdr:cNvPicPr>
          <a:picLocks xmlns:a="http://schemas.openxmlformats.org/drawingml/2006/main" noChangeAspect="1"/>
        </xdr:cNvPicPr>
      </xdr:nvPicPr>
      <xdr:blipFill>
        <a:blip xmlns:r="http://schemas.openxmlformats.org/officeDocument/2006/relationships" xmlns:a="http://schemas.openxmlformats.org/drawingml/2006/main" r:embed="R94c8fcd7f319449a"/>
        <a:stretch xmlns:a="http://schemas.openxmlformats.org/drawingml/2006/main">
          <a:fillRect/>
        </a:stretch>
      </xdr:blipFill>
      <xdr:spPr>
        <a:prstGeom xmlns:a="http://schemas.openxmlformats.org/drawingml/2006/main" prst="rect"/>
      </xdr:spPr>
    </xdr:pic>
    <xdr:clientData/>
  </xdr:twoCellAnchor>
</xdr:wsDr>
</file>

<file path=xl/persons/person.xml><?xml version="1.0" encoding="utf-8"?>
<xltc:personList xmlns:xltc="http://schemas.microsoft.com/office/spreadsheetml/2018/threadedcomments">
  <xltc:person displayName="tc={0ED190F4-4B44-48D6-B6A1-D84B962053F0}" id="{F51C76D4-8E3E-DE2C-0E40-15FF3FC4A301}"/>
  <xltc:person displayName="tc={BEF380B8-DCD8-4F9A-8265-9F6A930D3542}" id="{101D56CB-3ED5-9E25-28C3-C1C50FC5BB30}"/>
  <xltc:person displayName="tc={03EDDF01-D4B8-4901-B6A4-E0AC20A5B342}" id="{3724A2B9-1D83-459F-E692-5A64D46BF5A0}"/>
  <xltc:person displayName="tc={82ED53EC-07F6-4359-8C38-CFD9049C175B}" id="{F6573650-DEF6-E745-4174-6C5680062763}"/>
  <xltc:person displayName="tc={6F258978-E8F3-4A13-9A51-82624BF00349}" id="{E19EB313-753B-F885-A3C4-48828D164AC2}"/>
  <xltc:person displayName="John Reinhart" id="{8129E402-8223-EAB6-61AB-A73AED4E22EF}"/>
</xltc:personList>
</file>

<file path=xl/theme/theme1.xml><?xml version="1.0" encoding="utf-8"?>
<a:theme xmlns:a="http://schemas.openxmlformats.org/drawingml/2006/main" name="Office Theme">
  <a:themeElements>
    <a:clrScheme name="Office Theme">
      <a:dk1>
        <a:srgbClr val="000000"/>
      </a:dk1>
      <a:lt1>
        <a:srgbClr val="FFFFFF"/>
      </a:lt1>
      <a:dk2>
        <a:srgbClr val="A7A7A7"/>
      </a:dk2>
      <a:lt2>
        <a:srgbClr val="535353"/>
      </a:lt2>
      <a:accent1>
        <a:srgbClr val="5B9BD5"/>
      </a:accent1>
      <a:accent2>
        <a:srgbClr val="ED7D31"/>
      </a:accent2>
      <a:accent3>
        <a:srgbClr val="A5A5A5"/>
      </a:accent3>
      <a:accent4>
        <a:srgbClr val="FFC000"/>
      </a:accent4>
      <a:accent5>
        <a:srgbClr val="4472C4"/>
      </a:accent5>
      <a:accent6>
        <a:srgbClr val="70AD47"/>
      </a:accent6>
      <a:hlink>
        <a:srgbClr val="0000FF"/>
      </a:hlink>
      <a:folHlink>
        <a:srgbClr val="FF00FF"/>
      </a:folHlink>
    </a:clrScheme>
    <a:fontScheme name="Office">
      <a:majorFont>
        <a:latin typeface="Calibri"/>
        <a:ea typeface="Calibri"/>
        <a:cs typeface="Calibri"/>
      </a:majorFont>
      <a:minorFont>
        <a:latin typeface="Calibri"/>
        <a:ea typeface="Calibri"/>
        <a:cs typeface="Calibri"/>
      </a:minorFont>
    </a:fontScheme>
    <a:fmtScheme name="Office Theme">
      <a:fillStyleLst>
        <a:solidFill>
          <a:schemeClr val="phClr"/>
        </a:solidFill>
        <a:solidFill>
          <a:schemeClr val="dk1"/>
        </a:solidFill>
        <a:solidFill>
          <a:schemeClr val="accent1"/>
        </a:solidFill>
      </a:fillStyleLst>
      <a:lnStyleLst>
        <a:ln w="9525">
          <a:solidFill>
            <a:schemeClr val="phClr">
              <a:shade val="95000"/>
              <a:satMod val="104999"/>
            </a:schemeClr>
          </a:solidFill>
          <a:prstDash val="solid"/>
        </a:ln>
        <a:ln w="25400">
          <a:solidFill>
            <a:schemeClr val="phClr"/>
          </a:solidFill>
          <a:prstDash val="solid"/>
        </a:ln>
        <a:ln w="38100">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theme>
</file>

<file path=xl/worksheets/_rels/sheet14.xml.rels>&#65279;<?xml version="1.0" encoding="utf-8"?><Relationships xmlns="http://schemas.openxmlformats.org/package/2006/relationships"><Relationship Type="http://schemas.openxmlformats.org/officeDocument/2006/relationships/comments" Target="/xl/comments1.xml" Id="R572a6aadf5644e01" /><Relationship Type="http://schemas.openxmlformats.org/officeDocument/2006/relationships/vmlDrawing" Target="/xl/drawings/vmldrawing.vml" Id="R110c8c4a8fb7422f" /></Relationships>
</file>

<file path=xl/worksheets/_rels/sheet20.xml.rels>&#65279;<?xml version="1.0" encoding="utf-8"?><Relationships xmlns="http://schemas.openxmlformats.org/package/2006/relationships"><Relationship Type="http://schemas.openxmlformats.org/officeDocument/2006/relationships/drawing" Target="/xl/drawings/drawing6.xml" Id="R079d26a540b845e6" /></Relationships>
</file>

<file path=xl/worksheets/_rels/sheet21.xml.rels>&#65279;<?xml version="1.0" encoding="utf-8"?><Relationships xmlns="http://schemas.openxmlformats.org/package/2006/relationships"><Relationship Type="http://schemas.openxmlformats.org/officeDocument/2006/relationships/drawing" Target="/xl/drawings/drawing7.xml" Id="Ra392da6c28d543c9" /></Relationships>
</file>

<file path=xl/worksheets/_rels/sheet22.xml.rels>&#65279;<?xml version="1.0" encoding="utf-8"?><Relationships xmlns="http://schemas.openxmlformats.org/package/2006/relationships"><Relationship Type="http://schemas.openxmlformats.org/officeDocument/2006/relationships/comments" Target="/xl/comments2.xml" Id="Rd4b59bd4a6f144bd" /><Relationship Type="http://schemas.openxmlformats.org/officeDocument/2006/relationships/vmlDrawing" Target="/xl/drawings/vmldrawing2.vml" Id="R0d41deb4b6084fa0" /></Relationships>
</file>

<file path=xl/worksheets/_rels/sheet23.xml.rels>&#65279;<?xml version="1.0" encoding="utf-8"?><Relationships xmlns="http://schemas.openxmlformats.org/package/2006/relationships"><Relationship Type="http://schemas.openxmlformats.org/officeDocument/2006/relationships/comments" Target="/xl/comments3.xml" Id="R7c10842744ed4bfd" /><Relationship Type="http://schemas.openxmlformats.org/officeDocument/2006/relationships/vmlDrawing" Target="/xl/drawings/vmldrawing3.vml" Id="Rc9beda8d87ad4d69" /></Relationships>
</file>

<file path=xl/worksheets/_rels/sheet3.xml.rels>&#65279;<?xml version="1.0" encoding="utf-8"?><Relationships xmlns="http://schemas.openxmlformats.org/package/2006/relationships"><Relationship Type="http://schemas.openxmlformats.org/officeDocument/2006/relationships/drawing" Target="/xl/drawings/drawing1.xml" Id="Rfa10d3ccfee24350" /></Relationships>
</file>

<file path=xl/worksheets/_rels/sheet4.xml.rels>&#65279;<?xml version="1.0" encoding="utf-8"?><Relationships xmlns="http://schemas.openxmlformats.org/package/2006/relationships"><Relationship Type="http://schemas.openxmlformats.org/officeDocument/2006/relationships/drawing" Target="/xl/drawings/drawing2.xml" Id="R8fe47e7ff9eb4b01" /></Relationships>
</file>

<file path=xl/worksheets/_rels/sheet5.xml.rels>&#65279;<?xml version="1.0" encoding="utf-8"?><Relationships xmlns="http://schemas.openxmlformats.org/package/2006/relationships"><Relationship Type="http://schemas.openxmlformats.org/officeDocument/2006/relationships/drawing" Target="/xl/drawings/drawing3.xml" Id="Rc7cc1e2ea0e14fc2" /></Relationships>
</file>

<file path=xl/worksheets/_rels/sheet6.xml.rels>&#65279;<?xml version="1.0" encoding="utf-8"?><Relationships xmlns="http://schemas.openxmlformats.org/package/2006/relationships"><Relationship Type="http://schemas.openxmlformats.org/officeDocument/2006/relationships/drawing" Target="/xl/drawings/drawing4.xml" Id="R367c2e36276d4f36" /></Relationships>
</file>

<file path=xl/worksheets/_rels/sheet7.xml.rels>&#65279;<?xml version="1.0" encoding="utf-8"?><Relationships xmlns="http://schemas.openxmlformats.org/package/2006/relationships"><Relationship Type="http://schemas.openxmlformats.org/officeDocument/2006/relationships/drawing" Target="/xl/drawings/drawing5.xml" Id="R79fbdbb9da1c4a3a" /></Relationships>
</file>

<file path=xl/worksheets/sheet1.xml><?xml version="1.0" encoding="utf-8"?>
<worksheet xmlns="http://schemas.openxmlformats.org/spreadsheetml/2006/main">
  <sheetViews>
    <sheetView showGridLines="0" workbookViewId="0"/>
  </sheetViews>
  <sheetFormatPr baseColWidth="8" defaultColWidth="8.333330154418945" defaultRowHeight="13.5"/>
  <cols>
    <col min="1" max="3" width="9.35155963897705" style="3136" customWidth="1"/>
    <col min="4" max="4" width="11.35159969329834" style="3136" customWidth="1"/>
    <col min="5" max="5" width="9.35155963897705" style="3136" customWidth="1"/>
    <col min="6" max="6" width="12" style="3136" customWidth="1"/>
    <col min="7" max="8" width="9.35155963897705" style="3136" customWidth="1"/>
    <col min="9" max="9" width="10.35159969329834" style="3136" customWidth="1"/>
    <col min="10" max="16" width="9.35155963897705" style="3136" customWidth="1"/>
    <col min="17" max="17" width="1.3515599966049194" style="3136" customWidth="1"/>
    <col min="18" max="18" width="8.35155963897705" style="3136" customWidth="1"/>
    <col min="19" max="19" width="9.35155963897705" style="3136" customWidth="1"/>
    <col min="20" max="20" width="8.85155963897705" style="3136" customWidth="1"/>
    <col min="21" max="21" width="24" style="3136" customWidth="1"/>
    <col min="22" max="23" width="8.35155963897705" style="3136" customWidth="1"/>
    <col min="24" max="25" width="11.35159969329834" style="3136" customWidth="1"/>
    <col min="26" max="31" width="8.35155963897705" style="3136" customWidth="1"/>
    <col min="32" max="16384" width="8.35155963897705" style="3136" customWidth="1"/>
  </cols>
  <sheetData>
    <row r="1" s="3154" customFormat="1" ht="19.5" customHeight="1">
      <c r="A1" s="152" t="inlineStr">
        <is>
          <t xml:space="preserve">PRO FORMA ASSUMPTIONS</t>
        </is>
      </c>
      <c r="B1" s="153" t="n"/>
      <c r="C1" s="153" t="n"/>
      <c r="D1" s="153" t="n"/>
      <c r="E1" s="153" t="n"/>
      <c r="F1" s="3222" t="n"/>
      <c r="G1" s="153" t="n"/>
      <c r="H1" s="153" t="n"/>
      <c r="I1" s="153" t="n"/>
      <c r="J1" s="153" t="n"/>
      <c r="K1" s="153" t="n"/>
      <c r="L1" s="153" t="n"/>
      <c r="M1" s="3223" t="n">
        <v>45741</v>
      </c>
      <c r="N1" s="3224" t="n"/>
      <c r="O1" s="3224" t="n"/>
      <c r="P1" s="11" t="n"/>
      <c r="Q1" s="11" t="n"/>
      <c r="R1" s="11" t="n"/>
      <c r="S1" s="11" t="n"/>
      <c r="T1" s="11" t="n"/>
      <c r="U1" s="3225" t="n">
        <f t="array" ref="U1">M1</f>
        <v>45741</v>
      </c>
      <c r="V1" s="11" t="str"/>
      <c r="W1" s="11" t="n"/>
      <c r="X1" s="11" t="n"/>
      <c r="Y1" s="11" t="n"/>
      <c r="Z1" s="11" t="n"/>
      <c r="AA1" s="11" t="n"/>
      <c r="AB1" s="11" t="n"/>
      <c r="AC1" s="11" t="n"/>
      <c r="AD1" s="11" t="n"/>
      <c r="AE1" s="13" t="n"/>
    </row>
    <row r="2" s="3154" customFormat="1" ht="17.25" customHeight="1">
      <c r="A2" s="157" t="str">
        <f t="array" ref="A2">$D$6&amp;" / "&amp;$D$7&amp;" / "&amp;$D$9</f>
        <v>INDEPENDENT (No Flag) / SLEEP SPACE — 100-KEY PREFAB (50 EP + 50 E) / Austin, TX</v>
      </c>
      <c r="B2" s="158" t="n"/>
      <c r="C2" s="158" t="n"/>
      <c r="D2" s="158" t="n"/>
      <c r="E2" s="158" t="n"/>
      <c r="F2" s="3226" t="n"/>
      <c r="G2" s="158" t="n"/>
      <c r="H2" s="158" t="n"/>
      <c r="I2" s="158" t="n"/>
      <c r="J2" s="158" t="n"/>
      <c r="K2" s="158" t="n"/>
      <c r="L2" s="158" t="n"/>
      <c r="M2" s="158" t="n"/>
      <c r="N2" s="158" t="n"/>
      <c r="O2" s="158" t="n"/>
      <c r="P2" s="26" t="n"/>
      <c r="Q2" s="160" t="inlineStr">
        <is>
          <t xml:space="preserve"> --OUT OF PRINT AREA--&gt;</t>
        </is>
      </c>
      <c r="R2" s="26" t="str"/>
      <c r="S2" s="26" t="n"/>
      <c r="T2" s="26" t="n"/>
      <c r="U2" s="26" t="n"/>
      <c r="V2" s="26" t="n"/>
      <c r="W2" s="26" t="n"/>
      <c r="X2" s="26" t="n"/>
      <c r="Y2" s="26" t="n"/>
      <c r="Z2" s="26" t="n"/>
      <c r="AA2" s="26" t="n"/>
      <c r="AB2" s="26" t="n"/>
      <c r="AC2" s="26" t="n"/>
      <c r="AD2" s="26" t="n"/>
      <c r="AE2" s="27" t="n"/>
    </row>
    <row r="3" s="3154" customFormat="1" ht="13.5" customHeight="1">
      <c r="A3" s="161" t="str">
        <f t="array" ref="A3">"Version Notes: "&amp;VLOOKUP($M$1,'Version Notes'!$B$4:$J$25,2,0)</f>
        <v>Version Notes: Added 1st round of GPM Costs from Pinkerton and Laws. We anticipate further cost savings. </v>
      </c>
      <c r="B3" s="26" t="n"/>
      <c r="C3" s="26" t="n"/>
      <c r="D3" s="26" t="n"/>
      <c r="E3" s="26" t="n"/>
      <c r="F3" s="26" t="n"/>
      <c r="G3" s="26" t="n"/>
      <c r="H3" s="26" t="n"/>
      <c r="I3" s="26" t="n"/>
      <c r="J3" s="26" t="n"/>
      <c r="K3" s="26" t="n"/>
      <c r="L3" s="26" t="n"/>
      <c r="M3" s="26" t="n"/>
      <c r="N3" s="26" t="n"/>
      <c r="O3" s="26" t="n"/>
      <c r="P3" s="26" t="n"/>
      <c r="Q3" s="26" t="n"/>
      <c r="R3" s="26" t="n"/>
      <c r="S3" s="26" t="n"/>
      <c r="T3" s="26" t="n"/>
      <c r="U3" s="26" t="n"/>
      <c r="V3" s="26" t="n"/>
      <c r="W3" s="26" t="n"/>
      <c r="X3" s="26" t="n"/>
      <c r="Y3" s="26" t="n"/>
      <c r="Z3" s="26" t="n"/>
      <c r="AA3" s="26" t="n"/>
      <c r="AB3" s="26" t="n"/>
      <c r="AC3" s="26" t="n"/>
      <c r="AD3" s="26" t="n"/>
      <c r="AE3" s="27" t="n"/>
    </row>
    <row r="4" s="3154" customFormat="1" ht="13.5" customHeight="1">
      <c r="A4" s="162" t="n"/>
      <c r="B4" s="163" t="n"/>
      <c r="C4" s="163" t="n"/>
      <c r="D4" s="163" t="n"/>
      <c r="E4" s="163" t="n"/>
      <c r="F4" s="163" t="n"/>
      <c r="G4" s="163" t="n"/>
      <c r="H4" s="163" t="n"/>
      <c r="I4" s="163" t="n"/>
      <c r="J4" s="163" t="n"/>
      <c r="K4" s="26" t="n"/>
      <c r="L4" s="163" t="n"/>
      <c r="M4" s="163" t="n"/>
      <c r="N4" s="163" t="n"/>
      <c r="O4" s="163" t="n"/>
      <c r="P4" s="26" t="n"/>
      <c r="Q4" s="26" t="n"/>
      <c r="R4" s="26" t="n"/>
      <c r="S4" s="26" t="n"/>
      <c r="T4" s="26" t="n"/>
      <c r="U4" s="26" t="n"/>
      <c r="V4" s="26" t="n"/>
      <c r="W4" s="26" t="n"/>
      <c r="X4" s="26" t="n"/>
      <c r="Y4" s="26" t="n"/>
      <c r="Z4" s="26" t="n"/>
      <c r="AA4" s="26" t="n"/>
      <c r="AB4" s="26" t="n"/>
      <c r="AC4" s="26" t="n"/>
      <c r="AD4" s="26" t="n"/>
      <c r="AE4" s="27" t="n"/>
    </row>
    <row r="5" s="3154" customFormat="1" ht="13.5" customHeight="1">
      <c r="A5" s="164" t="inlineStr">
        <is>
          <t xml:space="preserve">DEVELOPMENT INFORMATION</t>
        </is>
      </c>
      <c r="B5" s="165" t="n"/>
      <c r="C5" s="165" t="n"/>
      <c r="D5" s="165" t="n"/>
      <c r="E5" s="165" t="n"/>
      <c r="F5" s="165" t="n"/>
      <c r="G5" s="165" t="n"/>
      <c r="H5" s="165" t="n"/>
      <c r="I5" s="165" t="n"/>
      <c r="J5" s="166" t="n"/>
      <c r="K5" s="167" t="n"/>
      <c r="L5" s="164" t="inlineStr">
        <is>
          <t xml:space="preserve">DEVELOPMENT CONTACTS</t>
        </is>
      </c>
      <c r="M5" s="168" t="n"/>
      <c r="N5" s="168" t="n"/>
      <c r="O5" s="169" t="n"/>
      <c r="P5" s="25" t="n"/>
      <c r="Q5" s="26" t="n"/>
      <c r="R5" s="26" t="n"/>
      <c r="S5" s="26" t="n"/>
      <c r="T5" s="26" t="n"/>
      <c r="U5" s="26" t="n"/>
      <c r="V5" s="26" t="n"/>
      <c r="W5" s="26" t="n"/>
      <c r="X5" s="26" t="n"/>
      <c r="Y5" s="26" t="n"/>
      <c r="Z5" s="26" t="n"/>
      <c r="AA5" s="26" t="n"/>
      <c r="AB5" s="26" t="n"/>
      <c r="AC5" s="26" t="n"/>
      <c r="AD5" s="26" t="n"/>
      <c r="AE5" s="27" t="n"/>
    </row>
    <row r="6" s="3154" customFormat="1" ht="13.5" customHeight="1">
      <c r="A6" s="170" t="inlineStr">
        <is>
          <t xml:space="preserve">Project/Hotel Flag</t>
        </is>
      </c>
      <c r="B6" s="171" t="n"/>
      <c r="C6" s="171" t="n"/>
      <c r="D6" s="172" t="inlineStr">
        <is>
          <t xml:space="preserve">INDEPENDENT (No Flag)</t>
        </is>
      </c>
      <c r="E6" s="171" t="n"/>
      <c r="F6" s="26" t="n"/>
      <c r="G6" s="173" t="inlineStr">
        <is>
          <t xml:space="preserve">Land Size (acres)</t>
        </is>
      </c>
      <c r="H6" s="174" t="n"/>
      <c r="I6" s="171" t="n"/>
      <c r="J6" s="175" t="n">
        <v>1</v>
      </c>
      <c r="K6" s="167" t="n"/>
      <c r="L6" s="176" t="n"/>
      <c r="M6" s="26" t="n"/>
      <c r="N6" s="26" t="n"/>
      <c r="O6" s="177" t="n"/>
      <c r="P6" s="25" t="n"/>
      <c r="Q6" s="26" t="n"/>
      <c r="R6" s="26" t="n"/>
      <c r="S6" s="26" t="n"/>
      <c r="T6" s="26" t="n"/>
      <c r="U6" s="26" t="n"/>
      <c r="V6" s="26" t="n"/>
      <c r="W6" s="26" t="n"/>
      <c r="X6" s="26" t="n"/>
      <c r="Y6" s="26" t="n"/>
      <c r="Z6" s="26" t="n"/>
      <c r="AA6" s="26" t="n"/>
      <c r="AB6" s="26" t="n"/>
      <c r="AC6" s="26" t="n"/>
      <c r="AD6" s="26" t="n"/>
      <c r="AE6" s="27" t="n"/>
    </row>
    <row r="7" s="3154" customFormat="1" ht="13.5" customHeight="1">
      <c r="A7" s="178" t="inlineStr">
        <is>
          <t xml:space="preserve">Development Name</t>
        </is>
      </c>
      <c r="B7" s="179" t="n"/>
      <c r="C7" s="179" t="n"/>
      <c r="D7" s="180" t="str">
        <v>SLEEP SPACE — 100-KEY PREFAB (50 EP + 50 E)</v>
      </c>
      <c r="E7" s="179" t="n"/>
      <c r="F7" s="26" t="n"/>
      <c r="G7" s="181" t="inlineStr">
        <is>
          <t xml:space="preserve">Number of Hotel Rooms/Keys</t>
        </is>
      </c>
      <c r="H7" s="182" t="n"/>
      <c r="I7" s="179" t="n"/>
      <c r="J7" s="3227" t="n">
        <v>100</v>
      </c>
      <c r="K7" s="167" t="n"/>
      <c r="L7" s="176" t="n"/>
      <c r="M7" s="26" t="n"/>
      <c r="N7" s="26" t="n"/>
      <c r="O7" s="177" t="n"/>
      <c r="P7" s="25" t="n"/>
      <c r="Q7" s="26" t="n"/>
      <c r="R7" s="26" t="n"/>
      <c r="S7" s="26" t="n"/>
      <c r="T7" s="26" t="n"/>
      <c r="U7" s="26" t="n"/>
      <c r="V7" s="26" t="n"/>
      <c r="W7" s="26" t="n"/>
      <c r="X7" s="26" t="n"/>
      <c r="Y7" s="26" t="n"/>
      <c r="Z7" s="26" t="n"/>
      <c r="AA7" s="26" t="n"/>
      <c r="AB7" s="26" t="n"/>
      <c r="AC7" s="26" t="n"/>
      <c r="AD7" s="26" t="n"/>
      <c r="AE7" s="27" t="n"/>
    </row>
    <row r="8" s="3154" customFormat="1" ht="13.5" customHeight="1">
      <c r="A8" s="178" t="inlineStr">
        <is>
          <t xml:space="preserve">Street Address:</t>
        </is>
      </c>
      <c r="B8" s="179" t="n"/>
      <c r="C8" s="179" t="n"/>
      <c r="D8" s="184" t="n"/>
      <c r="E8" s="179" t="n"/>
      <c r="F8" s="26" t="n"/>
      <c r="G8" s="185" t="inlineStr">
        <is>
          <t xml:space="preserve">Building Gross Sq Ft</t>
        </is>
      </c>
      <c r="H8" s="186" t="n"/>
      <c r="I8" s="179" t="n"/>
      <c r="J8" s="3228" t="n">
        <v>17034.16</v>
      </c>
      <c r="K8" s="167" t="n"/>
      <c r="L8" s="176" t="n"/>
      <c r="M8" s="26" t="n"/>
      <c r="N8" s="26" t="n"/>
      <c r="O8" s="177" t="n"/>
      <c r="P8" s="25" t="n"/>
      <c r="Q8" s="26" t="n"/>
      <c r="R8" s="26" t="n"/>
      <c r="S8" s="26" t="n"/>
      <c r="T8" s="26" t="n"/>
      <c r="U8" s="26" t="n"/>
      <c r="V8" s="26" t="n"/>
      <c r="W8" s="26" t="n"/>
      <c r="X8" s="26" t="n"/>
      <c r="Y8" s="26" t="n"/>
      <c r="Z8" s="26" t="n"/>
      <c r="AA8" s="26" t="n"/>
      <c r="AB8" s="26" t="n"/>
      <c r="AC8" s="26" t="n"/>
      <c r="AD8" s="26" t="n"/>
      <c r="AE8" s="27" t="n"/>
    </row>
    <row r="9" s="3154" customFormat="1" ht="13.5" customHeight="1">
      <c r="A9" s="178" t="inlineStr">
        <is>
          <t xml:space="preserve">City, State</t>
        </is>
      </c>
      <c r="B9" s="179" t="n"/>
      <c r="C9" s="179" t="n"/>
      <c r="D9" s="180" t="inlineStr">
        <is>
          <t xml:space="preserve">Austin, TX</t>
        </is>
      </c>
      <c r="E9" s="179" t="n"/>
      <c r="F9" s="26" t="n"/>
      <c r="G9" s="185" t="inlineStr">
        <is>
          <t xml:space="preserve">Parking Spaces</t>
        </is>
      </c>
      <c r="H9" s="186" t="n"/>
      <c r="I9" s="179" t="n"/>
      <c r="J9" s="183" t="n">
        <v>50</v>
      </c>
      <c r="K9" s="167" t="n"/>
      <c r="L9" s="176" t="n"/>
      <c r="M9" s="26" t="n"/>
      <c r="N9" s="26" t="n"/>
      <c r="O9" s="177" t="n"/>
      <c r="P9" s="25" t="n"/>
      <c r="Q9" s="26" t="n"/>
      <c r="R9" s="26" t="n"/>
      <c r="S9" s="26" t="n"/>
      <c r="T9" s="26" t="n"/>
      <c r="U9" s="26" t="n"/>
      <c r="V9" s="26" t="n"/>
      <c r="W9" s="26" t="n"/>
      <c r="X9" s="26" t="n"/>
      <c r="Y9" s="26" t="n"/>
      <c r="Z9" s="26" t="n"/>
      <c r="AA9" s="26" t="n"/>
      <c r="AB9" s="26" t="n"/>
      <c r="AC9" s="26" t="n"/>
      <c r="AD9" s="26" t="n"/>
      <c r="AE9" s="27" t="n"/>
    </row>
    <row r="10" s="3154" customFormat="1" ht="13.5" customHeight="1">
      <c r="A10" s="188" t="n"/>
      <c r="B10" s="189" t="n"/>
      <c r="C10" s="189" t="n"/>
      <c r="D10" s="190" t="n"/>
      <c r="E10" s="189" t="n"/>
      <c r="F10" s="26" t="n"/>
      <c r="G10" s="181" t="inlineStr">
        <is>
          <t xml:space="preserve">Conference Center (sf)</t>
        </is>
      </c>
      <c r="H10" s="182" t="n"/>
      <c r="I10" s="179" t="n"/>
      <c r="J10" s="187" t="n">
        <v>0</v>
      </c>
      <c r="K10" s="167" t="n"/>
      <c r="L10" s="191" t="n"/>
      <c r="M10" s="163" t="n"/>
      <c r="N10" s="163" t="n"/>
      <c r="O10" s="192" t="n"/>
      <c r="P10" s="25" t="n"/>
      <c r="Q10" s="26" t="n"/>
      <c r="R10" s="26" t="n"/>
      <c r="S10" s="26" t="n"/>
      <c r="T10" s="26" t="n"/>
      <c r="U10" s="26" t="n"/>
      <c r="V10" s="26" t="n"/>
      <c r="W10" s="26" t="n"/>
      <c r="X10" s="26" t="n"/>
      <c r="Y10" s="26" t="n"/>
      <c r="Z10" s="26" t="n"/>
      <c r="AA10" s="26" t="n"/>
      <c r="AB10" s="26" t="n"/>
      <c r="AC10" s="26" t="n"/>
      <c r="AD10" s="26" t="n"/>
      <c r="AE10" s="27" t="n"/>
    </row>
    <row r="11" s="3154" customFormat="1" ht="13.5" customHeight="1">
      <c r="A11" s="25" t="n"/>
      <c r="B11" s="26" t="n"/>
      <c r="C11" s="26" t="n"/>
      <c r="D11" s="193" t="n"/>
      <c r="E11" s="26" t="n"/>
      <c r="F11" s="26" t="n"/>
      <c r="G11" s="181" t="inlineStr">
        <is>
          <t xml:space="preserve">Retail/Restaurant (sf)</t>
        </is>
      </c>
      <c r="H11" s="182" t="n"/>
      <c r="I11" s="179" t="n"/>
      <c r="J11" s="187" t="n">
        <v>0</v>
      </c>
      <c r="K11" s="25" t="n"/>
      <c r="L11" s="158" t="n"/>
      <c r="M11" s="158" t="n"/>
      <c r="N11" s="158" t="n"/>
      <c r="O11" s="158" t="n"/>
      <c r="P11" s="26" t="n"/>
      <c r="Q11" s="26" t="n"/>
      <c r="R11" s="26" t="n"/>
      <c r="S11" s="26" t="n"/>
      <c r="T11" s="26" t="n"/>
      <c r="U11" s="26" t="n"/>
      <c r="V11" s="26" t="n"/>
      <c r="W11" s="26" t="n"/>
      <c r="X11" s="26" t="n"/>
      <c r="Y11" s="26" t="n"/>
      <c r="Z11" s="26" t="n"/>
      <c r="AA11" s="26" t="n"/>
      <c r="AB11" s="26" t="n"/>
      <c r="AC11" s="26" t="n"/>
      <c r="AD11" s="26" t="n"/>
      <c r="AE11" s="27" t="n"/>
    </row>
    <row r="12" s="3154" customFormat="1" ht="13.5" customHeight="1">
      <c r="A12" s="194" t="n"/>
      <c r="B12" s="163" t="n"/>
      <c r="C12" s="163" t="n"/>
      <c r="D12" s="195" t="n"/>
      <c r="E12" s="163" t="n"/>
      <c r="F12" s="163" t="n"/>
      <c r="G12" s="196" t="inlineStr">
        <is>
          <t xml:space="preserve">Spa (sf)</t>
        </is>
      </c>
      <c r="H12" s="197" t="n"/>
      <c r="I12" s="198" t="n"/>
      <c r="J12" s="199" t="n">
        <v>0</v>
      </c>
      <c r="K12" s="25" t="n"/>
      <c r="L12" s="26" t="n"/>
      <c r="M12" s="26" t="n"/>
      <c r="N12" s="26" t="n"/>
      <c r="O12" s="26" t="n"/>
      <c r="P12" s="26" t="n"/>
      <c r="Q12" s="26" t="n"/>
      <c r="R12" s="26" t="n"/>
      <c r="S12" s="26" t="n"/>
      <c r="T12" s="26" t="n"/>
      <c r="U12" s="26" t="n"/>
      <c r="V12" s="26" t="n"/>
      <c r="W12" s="26" t="n"/>
      <c r="X12" s="26" t="n"/>
      <c r="Y12" s="26" t="n"/>
      <c r="Z12" s="26" t="n"/>
      <c r="AA12" s="26" t="n"/>
      <c r="AB12" s="26" t="n"/>
      <c r="AC12" s="26" t="n"/>
      <c r="AD12" s="26" t="n"/>
      <c r="AE12" s="27" t="n"/>
    </row>
    <row r="13" s="3154" customFormat="1" ht="13.5" customHeight="1">
      <c r="A13" s="200" t="n"/>
      <c r="B13" s="201" t="n"/>
      <c r="C13" s="201" t="n"/>
      <c r="D13" s="201" t="n"/>
      <c r="E13" s="201" t="n"/>
      <c r="F13" s="201" t="n"/>
      <c r="G13" s="201" t="n"/>
      <c r="H13" s="201" t="n"/>
      <c r="I13" s="201" t="n"/>
      <c r="J13" s="201" t="n"/>
      <c r="K13" s="26" t="n"/>
      <c r="L13" s="26" t="n"/>
      <c r="M13" s="26" t="n"/>
      <c r="N13" s="26" t="n"/>
      <c r="O13" s="26" t="n"/>
      <c r="P13" s="26" t="n"/>
      <c r="Q13" s="26" t="n"/>
      <c r="R13" s="26" t="n"/>
      <c r="S13" s="26" t="n"/>
      <c r="T13" s="26" t="n"/>
      <c r="U13" s="26" t="n"/>
      <c r="V13" s="26" t="n"/>
      <c r="W13" s="26" t="n"/>
      <c r="X13" s="26" t="n"/>
      <c r="Y13" s="26" t="n"/>
      <c r="Z13" s="26" t="n"/>
      <c r="AA13" s="26" t="n"/>
      <c r="AB13" s="26" t="n"/>
      <c r="AC13" s="26" t="n"/>
      <c r="AD13" s="26" t="n"/>
      <c r="AE13" s="27" t="n"/>
    </row>
    <row r="14" s="3154" customFormat="1" ht="13.5" customHeight="1">
      <c r="A14" s="164" t="inlineStr">
        <is>
          <t xml:space="preserve">PROJECT TIMELINE</t>
        </is>
      </c>
      <c r="B14" s="165" t="n"/>
      <c r="C14" s="165" t="n"/>
      <c r="D14" s="165" t="n"/>
      <c r="E14" s="165" t="n"/>
      <c r="F14" s="165" t="n"/>
      <c r="G14" s="165" t="n"/>
      <c r="H14" s="165" t="n"/>
      <c r="I14" s="165" t="n"/>
      <c r="J14" s="166" t="n"/>
      <c r="K14" s="25" t="n"/>
      <c r="L14" s="26" t="n"/>
      <c r="M14" s="26" t="n"/>
      <c r="N14" s="26" t="n"/>
      <c r="O14" s="26" t="n"/>
      <c r="P14" s="26" t="n"/>
      <c r="Q14" s="26" t="n"/>
      <c r="R14" s="26" t="n"/>
      <c r="S14" s="26" t="n"/>
      <c r="T14" s="26" t="n"/>
      <c r="U14" s="26" t="n"/>
      <c r="V14" s="26" t="n"/>
      <c r="W14" s="26" t="n"/>
      <c r="X14" s="26" t="n"/>
      <c r="Y14" s="26" t="n"/>
      <c r="Z14" s="26" t="n"/>
      <c r="AA14" s="26" t="n"/>
      <c r="AB14" s="26" t="n"/>
      <c r="AC14" s="26" t="n"/>
      <c r="AD14" s="26" t="n"/>
      <c r="AE14" s="27" t="n"/>
    </row>
    <row r="15" s="3154" customFormat="1" ht="13.5" customHeight="1">
      <c r="A15" s="202" t="inlineStr">
        <is>
          <t xml:space="preserve">TASK</t>
        </is>
      </c>
      <c r="B15" s="203" t="n"/>
      <c r="C15" s="204" t="inlineStr">
        <is>
          <t xml:space="preserve">LAG</t>
        </is>
      </c>
      <c r="D15" s="204" t="inlineStr">
        <is>
          <t xml:space="preserve">START</t>
        </is>
      </c>
      <c r="E15" s="204" t="inlineStr">
        <is>
          <t xml:space="preserve">MTH</t>
        </is>
      </c>
      <c r="F15" s="204" t="inlineStr">
        <is>
          <t xml:space="preserve">DUR</t>
        </is>
      </c>
      <c r="G15" s="204" t="inlineStr">
        <is>
          <t xml:space="preserve">MTH</t>
        </is>
      </c>
      <c r="H15" s="204" t="inlineStr">
        <is>
          <t xml:space="preserve">END</t>
        </is>
      </c>
      <c r="I15" s="203" t="n"/>
      <c r="J15" s="205" t="n"/>
      <c r="K15" s="25" t="n"/>
      <c r="L15" s="26" t="n"/>
      <c r="M15" s="26" t="n"/>
      <c r="N15" s="26" t="n"/>
      <c r="O15" s="26" t="n"/>
      <c r="P15" s="26" t="n"/>
      <c r="Q15" s="26" t="n"/>
      <c r="R15" s="26" t="n"/>
      <c r="S15" s="206" t="inlineStr">
        <is>
          <t xml:space="preserve">Proj Yr</t>
        </is>
      </c>
      <c r="T15" s="206" t="inlineStr">
        <is>
          <t xml:space="preserve">Sale Yr</t>
        </is>
      </c>
      <c r="U15" s="206" t="inlineStr">
        <is>
          <t xml:space="preserve">Sale Mth</t>
        </is>
      </c>
      <c r="V15" s="26" t="n"/>
      <c r="W15" s="26" t="n"/>
      <c r="X15" s="26" t="n"/>
      <c r="Y15" s="26" t="n"/>
      <c r="Z15" s="26" t="n"/>
      <c r="AA15" s="26" t="n"/>
      <c r="AB15" s="26" t="n"/>
      <c r="AC15" s="26" t="n"/>
      <c r="AD15" s="26" t="n"/>
      <c r="AE15" s="27" t="n"/>
    </row>
    <row r="16" s="3154" customFormat="1" ht="13.5" customHeight="1">
      <c r="A16" s="170" t="inlineStr">
        <is>
          <t xml:space="preserve">Land Acquisition</t>
        </is>
      </c>
      <c r="B16" s="171" t="n"/>
      <c r="C16" s="207" t="n">
        <v>0</v>
      </c>
      <c r="D16" s="3229" t="n">
        <v>46113</v>
      </c>
      <c r="E16" s="207" t="n">
        <v>0</v>
      </c>
      <c r="F16" s="207" t="n">
        <v>0</v>
      </c>
      <c r="G16" s="3230" t="n">
        <f t="array" ref="G16">VLOOKUP(H16,'S&amp;U-Timeline'!$P$9:$R$164,3,0)</f>
        <v>46113</v>
      </c>
      <c r="H16" s="207" t="n">
        <f t="array" ref="H16">E16+F16</f>
        <v>0</v>
      </c>
      <c r="I16" s="26" t="n"/>
      <c r="J16" s="177" t="n"/>
      <c r="K16" s="25" t="n"/>
      <c r="L16" s="26" t="n"/>
      <c r="M16" s="26" t="n"/>
      <c r="N16" s="26" t="n"/>
      <c r="O16" s="26" t="n"/>
      <c r="P16" s="26" t="n"/>
      <c r="Q16" s="26" t="n"/>
      <c r="R16" s="26" t="n"/>
      <c r="S16" s="3231" t="n">
        <v>0</v>
      </c>
      <c r="T16" s="211" t="n">
        <f t="array" ref="T16">'Project Summary'!C24</f>
        <v>2026</v>
      </c>
      <c r="U16" s="3232" t="n">
        <f t="array" ref="U16">DATE(T16,12,1)</f>
        <v>46357</v>
      </c>
      <c r="V16" s="26" t="n"/>
      <c r="W16" s="26" t="n"/>
      <c r="X16" s="26" t="n"/>
      <c r="Y16" s="26" t="n"/>
      <c r="Z16" s="26" t="n"/>
      <c r="AA16" s="26" t="n"/>
      <c r="AB16" s="26" t="n"/>
      <c r="AC16" s="26" t="n"/>
      <c r="AD16" s="26" t="n"/>
      <c r="AE16" s="27" t="n"/>
    </row>
    <row r="17" s="3154" customFormat="1" ht="13.5" customHeight="1">
      <c r="A17" s="178" t="inlineStr">
        <is>
          <t xml:space="preserve">Appprovals</t>
        </is>
      </c>
      <c r="B17" s="179" t="n"/>
      <c r="C17" s="213" t="n">
        <v>0</v>
      </c>
      <c r="D17" s="3233" t="n">
        <v>46113</v>
      </c>
      <c r="E17" s="215" t="n">
        <f t="array" ref="E17">H16+C17</f>
        <v>0</v>
      </c>
      <c r="F17" s="213" t="n">
        <v>0</v>
      </c>
      <c r="G17" s="3233" t="n">
        <f t="array" ref="G17">VLOOKUP(H17,'S&amp;U-Timeline'!$P$9:$R$164,3,0)</f>
        <v>46113</v>
      </c>
      <c r="H17" s="215" t="n">
        <f t="array" ref="H17">E17+F17</f>
        <v>0</v>
      </c>
      <c r="I17" s="26" t="n"/>
      <c r="J17" s="177" t="n"/>
      <c r="K17" s="25" t="n"/>
      <c r="L17" s="26" t="n"/>
      <c r="M17" s="26" t="n"/>
      <c r="N17" s="26" t="n"/>
      <c r="O17" s="26" t="n"/>
      <c r="P17" s="26" t="n"/>
      <c r="Q17" s="26" t="n"/>
      <c r="R17" s="26" t="n"/>
      <c r="S17" s="3231" t="n">
        <f t="array" ref="S17">S16+1</f>
        <v>1</v>
      </c>
      <c r="T17" s="211" t="n">
        <f t="array" ref="T17">T16+1</f>
        <v>2027</v>
      </c>
      <c r="U17" s="3232" t="n">
        <f t="array" ref="U17">DATE(T17,12,1)</f>
        <v>46722</v>
      </c>
      <c r="V17" s="26" t="n"/>
      <c r="W17" s="26" t="n"/>
      <c r="X17" s="26" t="n"/>
      <c r="Y17" s="26" t="n"/>
      <c r="Z17" s="26" t="n"/>
      <c r="AA17" s="26" t="n"/>
      <c r="AB17" s="26" t="n"/>
      <c r="AC17" s="26" t="n"/>
      <c r="AD17" s="26" t="n"/>
      <c r="AE17" s="27" t="n"/>
    </row>
    <row r="18" s="3154" customFormat="1" ht="13.5" customHeight="1">
      <c r="A18" s="178" t="inlineStr">
        <is>
          <t xml:space="preserve">Design</t>
        </is>
      </c>
      <c r="B18" s="179" t="n"/>
      <c r="C18" s="213" t="n">
        <v>0</v>
      </c>
      <c r="D18" s="3233" t="n">
        <f t="array" ref="D18">VLOOKUP(E18,'S&amp;U-Timeline'!$P$9:$R$164,3,0)</f>
        <v>46113</v>
      </c>
      <c r="E18" s="215" t="n">
        <f t="array" ref="E18">H17+C18</f>
        <v>0</v>
      </c>
      <c r="F18" s="213" t="n">
        <v>3</v>
      </c>
      <c r="G18" s="3233" t="e">
        <f t="array" ref="G18">VLOOKUP(H18,'S&amp;U-Timeline'!$P$9:$R$164,3,0)</f>
      </c>
      <c r="H18" s="215" t="n">
        <f t="array" ref="H18">E18+F18</f>
        <v>3</v>
      </c>
      <c r="I18" s="26" t="n"/>
      <c r="J18" s="177" t="n"/>
      <c r="K18" s="25" t="n"/>
      <c r="L18" s="26" t="n"/>
      <c r="M18" s="26" t="n"/>
      <c r="N18" s="26" t="n"/>
      <c r="O18" s="26" t="n"/>
      <c r="P18" s="26" t="n"/>
      <c r="Q18" s="26" t="n"/>
      <c r="R18" s="26" t="n"/>
      <c r="S18" s="3231" t="n">
        <f t="array" ref="S18">S17+1</f>
        <v>2</v>
      </c>
      <c r="T18" s="211" t="n">
        <f t="array" ref="T18">T17+1</f>
        <v>2028</v>
      </c>
      <c r="U18" s="3232" t="n">
        <f t="array" ref="U18">DATE(T18,12,1)</f>
        <v>47088</v>
      </c>
      <c r="V18" s="26" t="n"/>
      <c r="W18" s="26" t="n"/>
      <c r="X18" s="26" t="n"/>
      <c r="Y18" s="26" t="n"/>
      <c r="Z18" s="26" t="n"/>
      <c r="AA18" s="26" t="n"/>
      <c r="AB18" s="26" t="n"/>
      <c r="AC18" s="26" t="n"/>
      <c r="AD18" s="26" t="n"/>
      <c r="AE18" s="27" t="n"/>
    </row>
    <row r="19" s="3154" customFormat="1" ht="13.5" customHeight="1">
      <c r="A19" s="178" t="inlineStr">
        <is>
          <t xml:space="preserve">Permitting</t>
        </is>
      </c>
      <c r="B19" s="179" t="n"/>
      <c r="C19" s="213" t="n">
        <v>-2</v>
      </c>
      <c r="D19" s="3233" t="e">
        <f t="array" ref="D19">VLOOKUP(E19,'S&amp;U-Timeline'!$P$9:$R$164,3,0)</f>
      </c>
      <c r="E19" s="215" t="n">
        <f t="array" ref="E19">H18+C19</f>
        <v>1</v>
      </c>
      <c r="F19" s="213" t="n">
        <v>2</v>
      </c>
      <c r="G19" s="3233" t="e">
        <f t="array" ref="G19">VLOOKUP(H19,'S&amp;U-Timeline'!$P$9:$R$164,3,0)</f>
      </c>
      <c r="H19" s="215" t="n">
        <f t="array" ref="H19">E19+F19</f>
        <v>3</v>
      </c>
      <c r="I19" s="26" t="n"/>
      <c r="J19" s="177" t="n"/>
      <c r="K19" s="25" t="n"/>
      <c r="L19" s="26" t="n"/>
      <c r="M19" s="26" t="n"/>
      <c r="N19" s="26" t="n"/>
      <c r="O19" s="26" t="n"/>
      <c r="P19" s="26" t="n"/>
      <c r="Q19" s="26" t="n"/>
      <c r="R19" s="26" t="n"/>
      <c r="S19" s="3231" t="n">
        <f t="array" ref="S19">S18+1</f>
        <v>3</v>
      </c>
      <c r="T19" s="211" t="n">
        <f t="array" ref="T19">T18+1</f>
        <v>2029</v>
      </c>
      <c r="U19" s="3232" t="n">
        <f t="array" ref="U19">DATE(T19,12,1)</f>
        <v>47453</v>
      </c>
      <c r="V19" s="26" t="n"/>
      <c r="W19" s="26" t="n"/>
      <c r="X19" s="26" t="n"/>
      <c r="Y19" s="26" t="n"/>
      <c r="Z19" s="26" t="n"/>
      <c r="AA19" s="26" t="n"/>
      <c r="AB19" s="26" t="n"/>
      <c r="AC19" s="26" t="n"/>
      <c r="AD19" s="26" t="n"/>
      <c r="AE19" s="27" t="n"/>
    </row>
    <row r="20" s="3154" customFormat="1" ht="13.5" customHeight="1">
      <c r="A20" s="178" t="inlineStr">
        <is>
          <t xml:space="preserve">Construction</t>
        </is>
      </c>
      <c r="B20" s="179" t="n"/>
      <c r="C20" s="213" t="n">
        <v>0</v>
      </c>
      <c r="D20" s="3233" t="e">
        <f t="array" ref="D20">VLOOKUP(E20,'S&amp;U-Timeline'!$P$9:$R$164,3,0)</f>
      </c>
      <c r="E20" s="215" t="n">
        <f t="array" ref="E20">H19+C20</f>
        <v>3</v>
      </c>
      <c r="F20" s="213" t="n">
        <v>9</v>
      </c>
      <c r="G20" s="3233" t="e">
        <f t="array" ref="G20">VLOOKUP(H20,'S&amp;U-Timeline'!$P$9:$R$164,3,0)</f>
      </c>
      <c r="H20" s="215" t="n">
        <f t="array" ref="H20">E20+F20</f>
        <v>12</v>
      </c>
      <c r="I20" s="26" t="n"/>
      <c r="J20" s="177" t="n"/>
      <c r="K20" s="25" t="n"/>
      <c r="L20" s="26" t="n"/>
      <c r="M20" s="26" t="n"/>
      <c r="N20" s="26" t="n"/>
      <c r="O20" s="26" t="n"/>
      <c r="P20" s="26" t="n"/>
      <c r="Q20" s="26" t="n"/>
      <c r="R20" s="26" t="n"/>
      <c r="S20" s="3231" t="n">
        <f t="array" ref="S20">S19+1</f>
        <v>4</v>
      </c>
      <c r="T20" s="211" t="n">
        <f t="array" ref="T20">T19+1</f>
        <v>2030</v>
      </c>
      <c r="U20" s="3232" t="n">
        <f t="array" ref="U20">DATE(T20,12,1)</f>
        <v>47818</v>
      </c>
      <c r="V20" s="26" t="n"/>
      <c r="W20" s="26" t="n"/>
      <c r="X20" s="26" t="n"/>
      <c r="Y20" s="26" t="n"/>
      <c r="Z20" s="26" t="n"/>
      <c r="AA20" s="26" t="n"/>
      <c r="AB20" s="26" t="n"/>
      <c r="AC20" s="26" t="n"/>
      <c r="AD20" s="26" t="n"/>
      <c r="AE20" s="27" t="n"/>
    </row>
    <row r="21" s="3154" customFormat="1" ht="13.5" customHeight="1">
      <c r="A21" s="178" t="inlineStr">
        <is>
          <t xml:space="preserve">Initial Stabilization</t>
        </is>
      </c>
      <c r="B21" s="179" t="n"/>
      <c r="C21" s="213" t="n">
        <v>1</v>
      </c>
      <c r="D21" s="3233" t="e">
        <f t="array" ref="D21">VLOOKUP(E21,'S&amp;U-Timeline'!$P$9:$R$164,3,0)</f>
      </c>
      <c r="E21" s="215" t="n">
        <f t="array" ref="E21">H20+C21</f>
        <v>13</v>
      </c>
      <c r="F21" s="213" t="n">
        <v>12</v>
      </c>
      <c r="G21" s="3233" t="e">
        <f t="array" ref="G21">VLOOKUP(H21,'S&amp;U-Timeline'!$P$9:$R$164,3,0)</f>
      </c>
      <c r="H21" s="215" t="n">
        <f t="array" ref="H21">E21+F21</f>
        <v>25</v>
      </c>
      <c r="I21" s="26" t="n"/>
      <c r="J21" s="177" t="n"/>
      <c r="K21" s="25" t="n"/>
      <c r="L21" s="26" t="n"/>
      <c r="M21" s="26" t="n"/>
      <c r="N21" s="26" t="n"/>
      <c r="O21" s="26" t="n"/>
      <c r="P21" s="26" t="n"/>
      <c r="Q21" s="26" t="n"/>
      <c r="R21" s="26" t="n"/>
      <c r="S21" s="3231" t="n">
        <f t="array" ref="S21">S20+1</f>
        <v>5</v>
      </c>
      <c r="T21" s="211" t="n">
        <f t="array" ref="T21">T20+1</f>
        <v>2031</v>
      </c>
      <c r="U21" s="3232" t="n">
        <f t="array" ref="U21">DATE(T21,12,1)</f>
        <v>48183</v>
      </c>
      <c r="V21" s="26" t="n"/>
      <c r="W21" s="26" t="n"/>
      <c r="X21" s="26" t="n"/>
      <c r="Y21" s="26" t="n"/>
      <c r="Z21" s="26" t="n"/>
      <c r="AA21" s="26" t="n"/>
      <c r="AB21" s="26" t="n"/>
      <c r="AC21" s="26" t="n"/>
      <c r="AD21" s="26" t="n"/>
      <c r="AE21" s="27" t="n"/>
    </row>
    <row r="22" s="3154" customFormat="1" ht="13.5" customHeight="1">
      <c r="A22" s="178" t="inlineStr">
        <is>
          <t xml:space="preserve">Final Stabilization</t>
        </is>
      </c>
      <c r="B22" s="179" t="n"/>
      <c r="C22" s="213" t="n">
        <v>0</v>
      </c>
      <c r="D22" s="3233" t="e">
        <f t="array" ref="D22">VLOOKUP(E22,'S&amp;U-Timeline'!$P$9:$R$164,3,0)</f>
      </c>
      <c r="E22" s="215" t="n">
        <f t="array" ref="E22">H21+C22</f>
        <v>25</v>
      </c>
      <c r="F22" s="215" t="e">
        <f t="array" ref="F22">H22-E22</f>
      </c>
      <c r="G22" s="3233" t="e">
        <f t="array" ref="G22">VLOOKUP(H22,'S&amp;U-Timeline'!$P$9:$R$164,3,0)</f>
      </c>
      <c r="H22" s="215" t="e">
        <f t="array" ref="H22">E23-1</f>
      </c>
      <c r="I22" s="26" t="n"/>
      <c r="J22" s="177" t="n"/>
      <c r="K22" s="25" t="n"/>
      <c r="L22" s="26" t="n"/>
      <c r="M22" s="26" t="n"/>
      <c r="N22" s="26" t="n"/>
      <c r="O22" s="26" t="n"/>
      <c r="P22" s="26" t="n"/>
      <c r="Q22" s="26" t="n"/>
      <c r="R22" s="26" t="n"/>
      <c r="S22" s="3231" t="n">
        <f t="array" ref="S22">S21+1</f>
        <v>6</v>
      </c>
      <c r="T22" s="211" t="n">
        <f t="array" ref="T22">T21+1</f>
        <v>2032</v>
      </c>
      <c r="U22" s="3232" t="n">
        <f t="array" ref="U22">DATE(T22,12,1)</f>
        <v>48549</v>
      </c>
      <c r="V22" s="26" t="n"/>
      <c r="W22" s="26" t="n"/>
      <c r="X22" s="26" t="n"/>
      <c r="Y22" s="26" t="n"/>
      <c r="Z22" s="26" t="n"/>
      <c r="AA22" s="26" t="n"/>
      <c r="AB22" s="26" t="n"/>
      <c r="AC22" s="26" t="n"/>
      <c r="AD22" s="26" t="n"/>
      <c r="AE22" s="27" t="n"/>
    </row>
    <row r="23" s="3154" customFormat="1" ht="13.5" customHeight="1">
      <c r="A23" s="216" t="inlineStr">
        <is>
          <t xml:space="preserve">Terminal Sale</t>
        </is>
      </c>
      <c r="B23" s="198" t="n"/>
      <c r="C23" s="3234" t="n">
        <v>10</v>
      </c>
      <c r="D23" s="3235" t="n">
        <f t="array" ref="D23">VLOOKUP($C23,$S$16:$U$27,3,0)</f>
        <v>50010</v>
      </c>
      <c r="E23" s="219" t="e">
        <f t="array" ref="E23">H23</f>
      </c>
      <c r="F23" s="219" t="n">
        <v>0</v>
      </c>
      <c r="G23" s="3235" t="n">
        <f t="array" ref="G23">VLOOKUP($C23,$S$16:$U$27,3,0)</f>
        <v>50010</v>
      </c>
      <c r="H23" s="219" t="e">
        <f t="array" ref="H23">DATEDIF(D16,G23,"M")</f>
      </c>
      <c r="I23" s="163" t="n"/>
      <c r="J23" s="192" t="n"/>
      <c r="K23" s="25" t="n"/>
      <c r="L23" s="26" t="n"/>
      <c r="M23" s="26" t="n"/>
      <c r="N23" s="26" t="n"/>
      <c r="O23" s="26" t="n"/>
      <c r="P23" s="26" t="n"/>
      <c r="Q23" s="26" t="n"/>
      <c r="R23" s="26" t="n"/>
      <c r="S23" s="3231" t="n">
        <f t="array" ref="S23">S22+1</f>
        <v>7</v>
      </c>
      <c r="T23" s="211" t="n">
        <f t="array" ref="T23">T22+1</f>
        <v>2033</v>
      </c>
      <c r="U23" s="3232" t="n">
        <f t="array" ref="U23">DATE(T23,12,1)</f>
        <v>48914</v>
      </c>
      <c r="V23" s="26" t="n"/>
      <c r="W23" s="26" t="n"/>
      <c r="X23" s="26" t="n"/>
      <c r="Y23" s="26" t="n"/>
      <c r="Z23" s="26" t="n"/>
      <c r="AA23" s="26" t="n"/>
      <c r="AB23" s="26" t="n"/>
      <c r="AC23" s="26" t="n"/>
      <c r="AD23" s="26" t="n"/>
      <c r="AE23" s="27" t="n"/>
    </row>
    <row r="24" s="3154" customFormat="1" ht="13.5" customHeight="1">
      <c r="A24" s="200" t="n"/>
      <c r="B24" s="201" t="n"/>
      <c r="C24" s="220" t="n"/>
      <c r="D24" s="3236" t="n"/>
      <c r="E24" s="222" t="n"/>
      <c r="F24" s="222" t="n"/>
      <c r="G24" s="3236" t="n"/>
      <c r="H24" s="222" t="n"/>
      <c r="I24" s="201" t="n"/>
      <c r="J24" s="201" t="n"/>
      <c r="K24" s="163" t="n"/>
      <c r="L24" s="163" t="n"/>
      <c r="M24" s="163" t="n"/>
      <c r="N24" s="163" t="n"/>
      <c r="O24" s="163" t="n"/>
      <c r="P24" s="26" t="n"/>
      <c r="Q24" s="26" t="n"/>
      <c r="R24" s="26" t="n"/>
      <c r="S24" s="3231" t="n">
        <f t="array" ref="S24">S23+1</f>
        <v>8</v>
      </c>
      <c r="T24" s="211" t="n">
        <f t="array" ref="T24">T23+1</f>
        <v>2034</v>
      </c>
      <c r="U24" s="3232" t="n">
        <f t="array" ref="U24">DATE(T24,12,1)</f>
        <v>49279</v>
      </c>
      <c r="V24" s="26" t="n"/>
      <c r="W24" s="26" t="n"/>
      <c r="X24" s="26" t="n"/>
      <c r="Y24" s="26" t="n"/>
      <c r="Z24" s="26" t="n"/>
      <c r="AA24" s="26" t="n"/>
      <c r="AB24" s="26" t="n"/>
      <c r="AC24" s="26" t="n"/>
      <c r="AD24" s="26" t="n"/>
      <c r="AE24" s="27" t="n"/>
    </row>
    <row r="25" s="3154" customFormat="1" ht="13.5" customHeight="1">
      <c r="A25" s="164" t="inlineStr">
        <is>
          <t xml:space="preserve">OPERATING ASSUMPTIONS</t>
        </is>
      </c>
      <c r="B25" s="165" t="n"/>
      <c r="C25" s="165" t="n"/>
      <c r="D25" s="165" t="n"/>
      <c r="E25" s="223" t="n"/>
      <c r="F25" s="3237" t="n">
        <v>1</v>
      </c>
      <c r="G25" s="3237" t="n">
        <f t="array" ref="G25">F25+1</f>
        <v>2</v>
      </c>
      <c r="H25" s="3237" t="n">
        <f t="array" ref="H25">G25+1</f>
        <v>3</v>
      </c>
      <c r="I25" s="3237" t="n">
        <f t="array" ref="I25">H25+1</f>
        <v>4</v>
      </c>
      <c r="J25" s="3237" t="n">
        <f t="array" ref="J25">I25+1</f>
        <v>5</v>
      </c>
      <c r="K25" s="3237" t="n">
        <f t="array" ref="K25">J25+1</f>
        <v>6</v>
      </c>
      <c r="L25" s="3237" t="n">
        <f t="array" ref="L25">K25+1</f>
        <v>7</v>
      </c>
      <c r="M25" s="3237" t="n">
        <f t="array" ref="M25">L25+1</f>
        <v>8</v>
      </c>
      <c r="N25" s="3237" t="n">
        <f t="array" ref="N25">M25+1</f>
        <v>9</v>
      </c>
      <c r="O25" s="3238" t="n">
        <f t="array" ref="O25">N25+1</f>
        <v>10</v>
      </c>
      <c r="P25" s="25" t="n"/>
      <c r="Q25" s="226" t="n"/>
      <c r="R25" s="226" t="n"/>
      <c r="S25" s="3231" t="n">
        <f t="array" ref="S25">S24+1</f>
        <v>9</v>
      </c>
      <c r="T25" s="211" t="n">
        <f t="array" ref="T25">T24+1</f>
        <v>2035</v>
      </c>
      <c r="U25" s="3232" t="n">
        <f t="array" ref="U25">DATE(T25,12,1)</f>
        <v>49644</v>
      </c>
      <c r="V25" s="226" t="n"/>
      <c r="W25" s="226" t="n"/>
      <c r="X25" s="226" t="n"/>
      <c r="Y25" s="226" t="n"/>
      <c r="Z25" s="226" t="n"/>
      <c r="AA25" s="226" t="n"/>
      <c r="AB25" s="226" t="n"/>
      <c r="AC25" s="226" t="n"/>
      <c r="AD25" s="226" t="n"/>
      <c r="AE25" s="227" t="n"/>
    </row>
    <row r="26" s="3154" customFormat="1" ht="13.5" customHeight="1">
      <c r="A26" s="228" t="n"/>
      <c r="B26" s="229" t="n"/>
      <c r="C26" s="229" t="n"/>
      <c r="D26" s="229" t="n"/>
      <c r="E26" s="230" t="n"/>
      <c r="F26" s="231" t="inlineStr">
        <is>
          <t xml:space="preserve">Stub Yr</t>
        </is>
      </c>
      <c r="G26" s="231" t="inlineStr">
        <is>
          <t xml:space="preserve">Init Stab Yr</t>
        </is>
      </c>
      <c r="H26" s="231" t="inlineStr">
        <is>
          <t xml:space="preserve">Stab Yr</t>
        </is>
      </c>
      <c r="I26" s="3239" t="n"/>
      <c r="J26" s="3239" t="n"/>
      <c r="K26" s="3239" t="n"/>
      <c r="L26" s="3239" t="n"/>
      <c r="M26" s="3239" t="n"/>
      <c r="N26" s="3239" t="n"/>
      <c r="O26" s="3240" t="n"/>
      <c r="P26" s="25" t="n"/>
      <c r="Q26" s="226" t="n"/>
      <c r="R26" s="226" t="n"/>
      <c r="S26" s="3231" t="n">
        <f t="array" ref="S26">S25+1</f>
        <v>10</v>
      </c>
      <c r="T26" s="211" t="n">
        <f t="array" ref="T26">T25+1</f>
        <v>2036</v>
      </c>
      <c r="U26" s="3232" t="n">
        <f t="array" ref="U26">DATE(T26,12,1)</f>
        <v>50010</v>
      </c>
      <c r="V26" s="226" t="n"/>
      <c r="W26" s="226" t="n"/>
      <c r="X26" s="226" t="n"/>
      <c r="Y26" s="226" t="n"/>
      <c r="Z26" s="226" t="n"/>
      <c r="AA26" s="226" t="n"/>
      <c r="AB26" s="226" t="n"/>
      <c r="AC26" s="226" t="n"/>
      <c r="AD26" s="226" t="n"/>
      <c r="AE26" s="227" t="n"/>
    </row>
    <row r="27" s="3154" customFormat="1" ht="13.5" hidden="1" customHeight="1">
      <c r="A27" s="234" t="n"/>
      <c r="B27" s="235" t="n"/>
      <c r="C27" s="203" t="n"/>
      <c r="D27" s="203" t="n"/>
      <c r="E27" s="203" t="n"/>
      <c r="F27" s="236" t="n"/>
      <c r="G27" s="237" t="e">
        <f t="array" ref="G27">'Hotel Operating'!C6</f>
      </c>
      <c r="H27" s="238" t="e">
        <f t="array" ref="H27">G28</f>
      </c>
      <c r="I27" s="238" t="e">
        <f t="array" ref="I27">H28</f>
      </c>
      <c r="J27" s="238" t="e">
        <f t="array" ref="J27">I28</f>
      </c>
      <c r="K27" s="238" t="e">
        <f t="array" ref="K27">J28</f>
      </c>
      <c r="L27" s="238" t="e">
        <f t="array" ref="L27">K28</f>
      </c>
      <c r="M27" s="238" t="e">
        <f t="array" ref="M27">L28</f>
      </c>
      <c r="N27" s="238" t="e">
        <f t="array" ref="N27">M28</f>
      </c>
      <c r="O27" s="236" t="e">
        <f t="array" ref="O27">N28</f>
      </c>
      <c r="P27" s="25" t="n"/>
      <c r="Q27" s="226" t="n"/>
      <c r="R27" s="226" t="n"/>
      <c r="S27" s="3231" t="n">
        <f t="array" ref="S27">S26+1</f>
        <v>11</v>
      </c>
      <c r="T27" s="211" t="n">
        <f t="array" ref="T27">T26+1</f>
        <v>2037</v>
      </c>
      <c r="U27" s="3232" t="n">
        <f t="array" ref="U27">DATE(T27,12,1)</f>
        <v>50375</v>
      </c>
      <c r="V27" s="226" t="n"/>
      <c r="W27" s="226" t="n"/>
      <c r="X27" s="226" t="n"/>
      <c r="Y27" s="226" t="n"/>
      <c r="Z27" s="226" t="n"/>
      <c r="AA27" s="226" t="n"/>
      <c r="AB27" s="226" t="n"/>
      <c r="AC27" s="226" t="n"/>
      <c r="AD27" s="226" t="n"/>
      <c r="AE27" s="227" t="n"/>
    </row>
    <row r="28" s="3154" customFormat="1" ht="13.5" customHeight="1">
      <c r="A28" s="239" t="n"/>
      <c r="B28" s="240" t="n"/>
      <c r="C28" s="241" t="n"/>
      <c r="D28" s="241" t="n"/>
      <c r="E28" s="241" t="n"/>
      <c r="F28" s="242" t="e">
        <f t="array" ref="F28">'Hotel Operating'!C6</f>
      </c>
      <c r="G28" s="243" t="e">
        <f t="array" ref="G28">G27+1</f>
      </c>
      <c r="H28" s="244" t="e">
        <f t="array" ref="H28">H27+1</f>
      </c>
      <c r="I28" s="244" t="e">
        <f t="array" ref="I28">I27+1</f>
      </c>
      <c r="J28" s="244" t="e">
        <f t="array" ref="J28">J27+1</f>
      </c>
      <c r="K28" s="244" t="e">
        <f t="array" ref="K28">K27+1</f>
      </c>
      <c r="L28" s="244" t="e">
        <f t="array" ref="L28">L27+1</f>
      </c>
      <c r="M28" s="244" t="e">
        <f t="array" ref="M28">M27+1</f>
      </c>
      <c r="N28" s="244" t="e">
        <f t="array" ref="N28">N27+1</f>
      </c>
      <c r="O28" s="242" t="e">
        <f t="array" ref="O28">O27+1</f>
      </c>
      <c r="P28" s="25" t="n"/>
      <c r="Q28" s="226" t="n"/>
      <c r="R28" s="226" t="n"/>
      <c r="S28" s="3231" t="n">
        <f t="array" ref="S28">S27+1</f>
        <v>12</v>
      </c>
      <c r="T28" s="226" t="n"/>
      <c r="U28" s="226" t="n"/>
      <c r="V28" s="226" t="n"/>
      <c r="W28" s="226" t="n"/>
      <c r="X28" s="226" t="n"/>
      <c r="Y28" s="226" t="n"/>
      <c r="Z28" s="226" t="n"/>
      <c r="AA28" s="226" t="n"/>
      <c r="AB28" s="226" t="n"/>
      <c r="AC28" s="226" t="n"/>
      <c r="AD28" s="226" t="n"/>
      <c r="AE28" s="227" t="n"/>
    </row>
    <row r="29" s="3154" customFormat="1" ht="13.5" customHeight="1">
      <c r="A29" s="245" t="inlineStr">
        <is>
          <t xml:space="preserve">REVENUE INPUTS</t>
        </is>
      </c>
      <c r="B29" s="246" t="n"/>
      <c r="C29" s="246" t="n"/>
      <c r="D29" s="247" t="inlineStr">
        <is>
          <t xml:space="preserve">METRIC</t>
        </is>
      </c>
      <c r="E29" s="248" t="n"/>
      <c r="F29" s="249" t="inlineStr">
        <is>
          <t xml:space="preserve">INPUT</t>
        </is>
      </c>
      <c r="G29" s="250" t="inlineStr">
        <is>
          <t xml:space="preserve">ASSUMPTIONS</t>
        </is>
      </c>
      <c r="H29" s="251" t="n"/>
      <c r="I29" s="251" t="n"/>
      <c r="J29" s="251" t="n"/>
      <c r="K29" s="251" t="n"/>
      <c r="L29" s="251" t="n"/>
      <c r="M29" s="251" t="n"/>
      <c r="N29" s="251" t="n"/>
      <c r="O29" s="252" t="n"/>
      <c r="P29" s="25" t="n"/>
      <c r="Q29" s="226" t="n"/>
      <c r="R29" s="226" t="n"/>
      <c r="S29" s="3231" t="n">
        <f t="array" ref="S29">S28+1</f>
        <v>13</v>
      </c>
      <c r="T29" s="253" t="n"/>
      <c r="U29" s="226" t="n"/>
      <c r="V29" s="226" t="n"/>
      <c r="W29" s="226" t="n"/>
      <c r="X29" s="226" t="n"/>
      <c r="Y29" s="226" t="n"/>
      <c r="Z29" s="226" t="n"/>
      <c r="AA29" s="226" t="n"/>
      <c r="AB29" s="226" t="n"/>
      <c r="AC29" s="226" t="n"/>
      <c r="AD29" s="226" t="n"/>
      <c r="AE29" s="227" t="n"/>
    </row>
    <row r="30" s="3154" customFormat="1" ht="13.5" customHeight="1">
      <c r="A30" s="254" t="inlineStr">
        <is>
          <t xml:space="preserve">Occupancy</t>
        </is>
      </c>
      <c r="B30" s="255" t="n"/>
      <c r="C30" s="26" t="n"/>
      <c r="D30" s="256" t="inlineStr">
        <is>
          <t xml:space="preserve">% Amount</t>
        </is>
      </c>
      <c r="E30" s="3241" t="n"/>
      <c r="F30" s="258" t="n">
        <v>0.55</v>
      </c>
      <c r="G30" s="3242" t="n">
        <v>0.65</v>
      </c>
      <c r="H30" s="3243" t="n">
        <v>0.72</v>
      </c>
      <c r="I30" s="3243" t="n">
        <v>0.72</v>
      </c>
      <c r="J30" s="3243" t="n">
        <v>0.72</v>
      </c>
      <c r="K30" s="3243" t="n">
        <v>0.72</v>
      </c>
      <c r="L30" s="3243" t="n">
        <v>0.72</v>
      </c>
      <c r="M30" s="3243" t="n">
        <v>0.72</v>
      </c>
      <c r="N30" s="3243" t="n">
        <v>0.72</v>
      </c>
      <c r="O30" s="3244" t="n">
        <v>0.72</v>
      </c>
      <c r="P30" s="25" t="n"/>
      <c r="Q30" s="226" t="n"/>
      <c r="R30" s="226" t="n"/>
      <c r="S30" s="3231" t="n">
        <f t="array" ref="S30">S29+1</f>
        <v>14</v>
      </c>
      <c r="T30" s="253" t="n"/>
      <c r="U30" s="226" t="n"/>
      <c r="V30" s="226" t="n"/>
      <c r="W30" s="226" t="n"/>
      <c r="X30" s="226" t="n"/>
      <c r="Y30" s="226" t="n"/>
      <c r="Z30" s="226" t="n"/>
      <c r="AA30" s="226" t="n"/>
      <c r="AB30" s="226" t="n"/>
      <c r="AC30" s="226" t="n"/>
      <c r="AD30" s="226" t="n"/>
      <c r="AE30" s="227" t="n"/>
    </row>
    <row r="31" s="3154" customFormat="1" ht="13.5" customHeight="1">
      <c r="A31" s="262" t="inlineStr">
        <is>
          <t xml:space="preserve">% Growth</t>
        </is>
      </c>
      <c r="B31" s="263" t="n"/>
      <c r="C31" s="171" t="n"/>
      <c r="D31" s="264" t="n"/>
      <c r="E31" s="3245" t="n"/>
      <c r="F31" s="266" t="n"/>
      <c r="G31" s="3246" t="n">
        <f t="array" ref="G31">(G30-F30)/F30</f>
        <v>0.18181818181818177</v>
      </c>
      <c r="H31" s="3247" t="n">
        <f t="array" ref="H31">(H30-G30)/G30</f>
        <v>0.10769230769230762</v>
      </c>
      <c r="I31" s="3247" t="n">
        <f t="array" ref="I31">(I30-H30)/H30</f>
        <v>0</v>
      </c>
      <c r="J31" s="3247" t="n">
        <f t="array" ref="J31">(J30-I30)/I30</f>
        <v>0</v>
      </c>
      <c r="K31" s="3247" t="n">
        <f t="array" ref="K31">(K30-J30)/J30</f>
        <v>0</v>
      </c>
      <c r="L31" s="3247" t="n">
        <f t="array" ref="L31">(L30-K30)/K30</f>
        <v>0</v>
      </c>
      <c r="M31" s="3247" t="n">
        <f t="array" ref="M31">(M30-L30)/L30</f>
        <v>0</v>
      </c>
      <c r="N31" s="3247" t="n">
        <f t="array" ref="N31">(N30-M30)/M30</f>
        <v>0</v>
      </c>
      <c r="O31" s="3248" t="n">
        <f t="array" ref="O31">(O30-N30)/N30</f>
        <v>0</v>
      </c>
      <c r="P31" s="25" t="n"/>
      <c r="Q31" s="226" t="n"/>
      <c r="R31" s="226" t="n"/>
      <c r="S31" s="226" t="n"/>
      <c r="T31" s="253" t="n"/>
      <c r="U31" s="226" t="n"/>
      <c r="V31" s="226" t="n"/>
      <c r="W31" s="226" t="n"/>
      <c r="X31" s="226" t="n"/>
      <c r="Y31" s="226" t="n"/>
      <c r="Z31" s="226" t="n"/>
      <c r="AA31" s="226" t="n"/>
      <c r="AB31" s="226" t="n"/>
      <c r="AC31" s="226" t="n"/>
      <c r="AD31" s="226" t="n"/>
      <c r="AE31" s="227" t="n"/>
    </row>
    <row r="32" s="3154" customFormat="1" ht="13.5" customHeight="1">
      <c r="A32" s="270" t="inlineStr">
        <is>
          <t xml:space="preserve">ADR</t>
        </is>
      </c>
      <c r="B32" s="271" t="n"/>
      <c r="C32" s="189" t="n"/>
      <c r="D32" s="272" t="inlineStr">
        <is>
          <t xml:space="preserve">$ Amount</t>
        </is>
      </c>
      <c r="E32" s="3249" t="n"/>
      <c r="F32" s="3250" t="n">
        <f>(C72*D72+C73*D73)/(C72+C73)</f>
        <v>74</v>
      </c>
      <c r="G32" s="3251" t="n">
        <f>F32*1.02</f>
        <v>75.48</v>
      </c>
      <c r="H32" s="3252" t="n">
        <f>G32*1.02</f>
        <v>76.9896</v>
      </c>
      <c r="I32" s="3252" t="n">
        <f>H32*1.02</f>
        <v>78.529392</v>
      </c>
      <c r="J32" s="3252" t="n">
        <f>I32*1.02</f>
        <v>80.09997984</v>
      </c>
      <c r="K32" s="3252" t="n">
        <f>J32*1.02</f>
        <v>81.7019794368</v>
      </c>
      <c r="L32" s="3252" t="n">
        <f>K32*1.02</f>
        <v>83.3360190255</v>
      </c>
      <c r="M32" s="3252" t="n">
        <f>L32*1.02</f>
        <v>85.002739406</v>
      </c>
      <c r="N32" s="3252" t="n">
        <f>M32*1.02</f>
        <v>86.7027941942</v>
      </c>
      <c r="O32" s="3253" t="n">
        <f>N32*1.02</f>
        <v>88.4368500781</v>
      </c>
      <c r="P32" s="278" t="n"/>
      <c r="Q32" s="226" t="n"/>
      <c r="R32" s="226" t="n"/>
      <c r="S32" s="226" t="n"/>
      <c r="T32" s="253" t="n"/>
      <c r="U32" s="226" t="n"/>
      <c r="V32" s="226" t="n"/>
      <c r="W32" s="226" t="n"/>
      <c r="X32" s="226" t="n"/>
      <c r="Y32" s="226" t="n"/>
      <c r="Z32" s="226" t="n"/>
      <c r="AA32" s="226" t="n"/>
      <c r="AB32" s="226" t="n"/>
      <c r="AC32" s="226" t="n"/>
      <c r="AD32" s="226" t="n"/>
      <c r="AE32" s="227" t="n"/>
    </row>
    <row r="33" s="3154" customFormat="1" ht="13.5" customHeight="1">
      <c r="A33" s="262" t="inlineStr">
        <is>
          <t xml:space="preserve">% Growth</t>
        </is>
      </c>
      <c r="B33" s="263" t="n"/>
      <c r="C33" s="171" t="n"/>
      <c r="D33" s="264" t="n"/>
      <c r="E33" s="3245" t="n"/>
      <c r="F33" s="266" t="n"/>
      <c r="G33" s="3246" t="n">
        <f t="array" ref="G33">(G32-F32)/F32</f>
        <v>0.02</v>
      </c>
      <c r="H33" s="3247" t="n">
        <f t="array" ref="H33">(H32-G32)/G32</f>
        <v>0.02</v>
      </c>
      <c r="I33" s="3247" t="n">
        <f t="array" ref="I33">(I32-H32)/H32</f>
        <v>0.02</v>
      </c>
      <c r="J33" s="3247" t="n">
        <f t="array" ref="J33">(J32-I32)/I32</f>
        <v>0.02</v>
      </c>
      <c r="K33" s="3247" t="n">
        <f t="array" ref="K33">(K32-J32)/J32</f>
        <v>0.02</v>
      </c>
      <c r="L33" s="3247" t="n">
        <f t="array" ref="L33">(L32-K32)/K32</f>
        <v>0.02</v>
      </c>
      <c r="M33" s="3247" t="n">
        <f t="array" ref="M33">(M32-L32)/L32</f>
        <v>0.02</v>
      </c>
      <c r="N33" s="3247" t="n">
        <f t="array" ref="N33">(N32-M32)/M32</f>
        <v>0.02</v>
      </c>
      <c r="O33" s="3248" t="n">
        <f t="array" ref="O33">(O32-N32)/N32</f>
        <v>0.02</v>
      </c>
      <c r="P33" s="25" t="n"/>
      <c r="Q33" s="226" t="n"/>
      <c r="R33" s="226" t="n"/>
      <c r="S33" s="226" t="n"/>
      <c r="T33" s="253" t="n"/>
      <c r="U33" s="226" t="n"/>
      <c r="V33" s="226" t="n"/>
      <c r="W33" s="226" t="n"/>
      <c r="X33" s="226" t="n"/>
      <c r="Y33" s="226" t="n"/>
      <c r="Z33" s="226" t="n"/>
      <c r="AA33" s="226" t="n"/>
      <c r="AB33" s="226" t="n"/>
      <c r="AC33" s="226" t="n"/>
      <c r="AD33" s="226" t="n"/>
      <c r="AE33" s="227" t="n"/>
    </row>
    <row r="34" s="3154" customFormat="1" ht="13.5" customHeight="1">
      <c r="A34" s="270" t="inlineStr">
        <is>
          <t xml:space="preserve">RevPAR</t>
        </is>
      </c>
      <c r="B34" s="271" t="n"/>
      <c r="C34" s="189" t="n"/>
      <c r="D34" s="190" t="n"/>
      <c r="E34" s="3249" t="n"/>
      <c r="F34" s="3254" t="n">
        <f t="array" ref="F34">F32*F30</f>
        <v>40.7</v>
      </c>
      <c r="G34" s="3255" t="n">
        <f t="array" ref="G34">G32*G30</f>
        <v>49.062</v>
      </c>
      <c r="H34" s="3256" t="n">
        <f t="array" ref="H34">H32*H30</f>
        <v>55.432512</v>
      </c>
      <c r="I34" s="3256" t="n">
        <f t="array" ref="I34">I32*I30</f>
        <v>56.54116224</v>
      </c>
      <c r="J34" s="3256" t="n">
        <f t="array" ref="J34">J32*J30</f>
        <v>57.6719854848</v>
      </c>
      <c r="K34" s="3256" t="n">
        <f t="array" ref="K34">K32*K30</f>
        <v>58.8254251945</v>
      </c>
      <c r="L34" s="3256" t="n">
        <f t="array" ref="L34">L32*L30</f>
        <v>60.0019336984</v>
      </c>
      <c r="M34" s="3256" t="n">
        <f t="array" ref="M34">M32*M30</f>
        <v>61.2019723724</v>
      </c>
      <c r="N34" s="3256" t="n">
        <f t="array" ref="N34">N32*N30</f>
        <v>62.4260118198</v>
      </c>
      <c r="O34" s="3257" t="n">
        <f t="array" ref="O34">O32*O30</f>
        <v>63.6745320562</v>
      </c>
      <c r="P34" s="25" t="n"/>
      <c r="Q34" s="226" t="n"/>
      <c r="R34" s="226" t="n"/>
      <c r="S34" s="226" t="n"/>
      <c r="T34" s="253" t="n"/>
      <c r="U34" s="226" t="n"/>
      <c r="V34" s="226" t="n"/>
      <c r="W34" s="226" t="n"/>
      <c r="X34" s="226" t="n"/>
      <c r="Y34" s="226" t="n"/>
      <c r="Z34" s="226" t="n"/>
      <c r="AA34" s="226" t="n"/>
      <c r="AB34" s="226" t="n"/>
      <c r="AC34" s="226" t="n"/>
      <c r="AD34" s="226" t="n"/>
      <c r="AE34" s="227" t="n"/>
    </row>
    <row r="35" s="3154" customFormat="1" ht="13.5" customHeight="1">
      <c r="A35" s="283" t="inlineStr">
        <is>
          <t xml:space="preserve">% Growth</t>
        </is>
      </c>
      <c r="B35" s="255" t="n"/>
      <c r="C35" s="26" t="n"/>
      <c r="D35" s="193" t="n"/>
      <c r="E35" s="3241" t="n"/>
      <c r="F35" s="3258" t="n"/>
      <c r="G35" s="3259" t="n">
        <f t="array" ref="G35">(G34-F34)/F34</f>
        <v>0.205454545455</v>
      </c>
      <c r="H35" s="3260" t="n">
        <f t="array" ref="H35">(H34-G34)/G34</f>
        <v>0.129846153846</v>
      </c>
      <c r="I35" s="3260" t="n">
        <f t="array" ref="I35">(I34-H34)/H34</f>
        <v>0.02</v>
      </c>
      <c r="J35" s="3260" t="n">
        <f t="array" ref="J35">(J34-I34)/I34</f>
        <v>0.02</v>
      </c>
      <c r="K35" s="3260" t="n">
        <f t="array" ref="K35">(K34-J34)/J34</f>
        <v>0.02</v>
      </c>
      <c r="L35" s="3260" t="n">
        <f t="array" ref="L35">(L34-K34)/K34</f>
        <v>0.02</v>
      </c>
      <c r="M35" s="3260" t="n">
        <f t="array" ref="M35">(M34-L34)/L34</f>
        <v>0.02</v>
      </c>
      <c r="N35" s="3260" t="n">
        <f t="array" ref="N35">(N34-M34)/M34</f>
        <v>0.02</v>
      </c>
      <c r="O35" s="3261" t="n">
        <f t="array" ref="O35">(O34-N34)/N34</f>
        <v>0.02</v>
      </c>
      <c r="P35" s="25" t="n"/>
      <c r="Q35" s="226" t="n"/>
      <c r="R35" s="226" t="n"/>
      <c r="S35" s="226" t="n"/>
      <c r="T35" s="253" t="n"/>
      <c r="U35" s="226" t="n"/>
      <c r="V35" s="226" t="n"/>
      <c r="W35" s="226" t="n"/>
      <c r="X35" s="226" t="n"/>
      <c r="Y35" s="226" t="n"/>
      <c r="Z35" s="226" t="n"/>
      <c r="AA35" s="226" t="n"/>
      <c r="AB35" s="226" t="n"/>
      <c r="AC35" s="226" t="n"/>
      <c r="AD35" s="226" t="n"/>
      <c r="AE35" s="227" t="n"/>
    </row>
    <row r="36" s="3154" customFormat="1" ht="13.5" customHeight="1">
      <c r="A36" s="288" t="n"/>
      <c r="B36" s="26" t="n"/>
      <c r="C36" s="26" t="n"/>
      <c r="D36" s="193" t="n"/>
      <c r="E36" s="3241" t="n"/>
      <c r="F36" s="3262" t="n"/>
      <c r="G36" s="290" t="n"/>
      <c r="H36" s="291" t="n"/>
      <c r="I36" s="292" t="n"/>
      <c r="J36" s="292" t="n"/>
      <c r="K36" s="292" t="n"/>
      <c r="L36" s="292" t="n"/>
      <c r="M36" s="292" t="n"/>
      <c r="N36" s="292" t="n"/>
      <c r="O36" s="293" t="n"/>
      <c r="P36" s="25" t="n"/>
      <c r="Q36" s="226" t="n"/>
      <c r="R36" s="226" t="n"/>
      <c r="S36" s="226" t="n"/>
      <c r="T36" s="253" t="n"/>
      <c r="U36" s="226" t="n"/>
      <c r="V36" s="226" t="n"/>
      <c r="W36" s="226" t="n"/>
      <c r="X36" s="226" t="n"/>
      <c r="Y36" s="226" t="n"/>
      <c r="Z36" s="226" t="n"/>
      <c r="AA36" s="226" t="n"/>
      <c r="AB36" s="226" t="n"/>
      <c r="AC36" s="226" t="n"/>
      <c r="AD36" s="226" t="n"/>
      <c r="AE36" s="227" t="n"/>
    </row>
    <row r="37" s="3154" customFormat="1" ht="13.5" customHeight="1">
      <c r="A37" s="202" t="inlineStr">
        <is>
          <t xml:space="preserve">DEPARTMENTAL REVENUE</t>
        </is>
      </c>
      <c r="B37" s="203" t="n"/>
      <c r="C37" s="203" t="n"/>
      <c r="D37" s="294" t="str">
        <f t="array" ref="D37">IF(COUNT(A38:A40)&lt;&gt;COUNT(A44:A46),"ERROR","")</f>
      </c>
      <c r="E37" s="295" t="inlineStr">
        <is>
          <t xml:space="preserve">NOTE</t>
        </is>
      </c>
      <c r="F37" s="296" t="inlineStr">
        <is>
          <t xml:space="preserve">INPUT</t>
        </is>
      </c>
      <c r="G37" s="297" t="inlineStr">
        <is>
          <t xml:space="preserve">REVENUE GROWTH</t>
        </is>
      </c>
      <c r="H37" s="298" t="n"/>
      <c r="I37" s="298" t="n"/>
      <c r="J37" s="298" t="n"/>
      <c r="K37" s="298" t="n"/>
      <c r="L37" s="298" t="n"/>
      <c r="M37" s="298" t="n"/>
      <c r="N37" s="298" t="n"/>
      <c r="O37" s="299" t="n"/>
      <c r="P37" s="25" t="n"/>
      <c r="Q37" s="226" t="n"/>
      <c r="R37" s="226" t="n"/>
      <c r="S37" s="226" t="n"/>
      <c r="T37" s="253" t="n"/>
      <c r="U37" s="226" t="n"/>
      <c r="V37" s="226" t="n"/>
      <c r="W37" s="226" t="n"/>
      <c r="X37" s="226" t="n"/>
      <c r="Y37" s="226" t="n"/>
      <c r="Z37" s="226" t="n"/>
      <c r="AA37" s="226" t="n"/>
      <c r="AB37" s="226" t="n"/>
      <c r="AC37" s="226" t="n"/>
      <c r="AD37" s="226" t="n"/>
      <c r="AE37" s="227" t="n"/>
    </row>
    <row r="38" s="3154" customFormat="1" ht="13.5" customHeight="1">
      <c r="A38" s="300" t="inlineStr">
        <is>
          <t xml:space="preserve">Rooms</t>
        </is>
      </c>
      <c r="B38" s="301" t="n"/>
      <c r="C38" s="301" t="n"/>
      <c r="D38" s="302" t="inlineStr">
        <is>
          <t xml:space="preserve">Calculated</t>
        </is>
      </c>
      <c r="E38" s="303" t="n"/>
      <c r="F38" s="3263" t="n"/>
      <c r="G38" s="305" t="n"/>
      <c r="H38" s="306" t="n"/>
      <c r="I38" s="307" t="n"/>
      <c r="J38" s="307" t="n"/>
      <c r="K38" s="307" t="n"/>
      <c r="L38" s="307" t="n"/>
      <c r="M38" s="307" t="n"/>
      <c r="N38" s="307" t="n"/>
      <c r="O38" s="308" t="n"/>
      <c r="P38" s="25" t="n"/>
      <c r="Q38" s="226" t="n"/>
      <c r="R38" s="3264" t="n"/>
      <c r="S38" s="211" t="n">
        <f t="array" ref="S38">ROW(A38)</f>
        <v>38</v>
      </c>
      <c r="T38" s="253" t="n"/>
      <c r="U38" s="226" t="n"/>
      <c r="V38" s="310" t="inlineStr">
        <is>
          <t xml:space="preserve">Calculated</t>
        </is>
      </c>
      <c r="W38" s="226" t="n"/>
      <c r="X38" s="226" t="n"/>
      <c r="Y38" s="226" t="n"/>
      <c r="Z38" s="226" t="n"/>
      <c r="AA38" s="226" t="n"/>
      <c r="AB38" s="226" t="n"/>
      <c r="AC38" s="226" t="n"/>
      <c r="AD38" s="226" t="n"/>
      <c r="AE38" s="227" t="n"/>
    </row>
    <row r="39" s="3154" customFormat="1" ht="13.5" customHeight="1">
      <c r="A39" s="311" t="inlineStr">
        <is>
          <t xml:space="preserve">Food &amp; Beverage</t>
        </is>
      </c>
      <c r="B39" s="312" t="n"/>
      <c r="C39" s="312" t="n"/>
      <c r="D39" s="313" t="inlineStr">
        <is>
          <t xml:space="preserve">Per Occ Rm</t>
        </is>
      </c>
      <c r="E39" s="314" t="n">
        <v>1</v>
      </c>
      <c r="F39" s="3265" t="n">
        <v>0</v>
      </c>
      <c r="G39" s="3266" t="n">
        <v>0</v>
      </c>
      <c r="H39" s="3267" t="n">
        <v>0</v>
      </c>
      <c r="I39" s="3268" t="n">
        <v>0</v>
      </c>
      <c r="J39" s="3268" t="n">
        <v>0</v>
      </c>
      <c r="K39" s="3268" t="n">
        <v>0</v>
      </c>
      <c r="L39" s="3268" t="n">
        <v>0</v>
      </c>
      <c r="M39" s="3268" t="n">
        <v>0</v>
      </c>
      <c r="N39" s="3268" t="n">
        <v>0</v>
      </c>
      <c r="O39" s="3269" t="n">
        <v>0</v>
      </c>
      <c r="P39" s="25" t="n"/>
      <c r="Q39" s="226" t="n"/>
      <c r="R39" s="226" t="n"/>
      <c r="S39" s="211" t="n">
        <f t="array" ref="S39">ROW(A39)</f>
        <v>39</v>
      </c>
      <c r="T39" s="253" t="n"/>
      <c r="U39" s="226" t="n"/>
      <c r="V39" s="310" t="inlineStr">
        <is>
          <t xml:space="preserve">Per Occ Rm</t>
        </is>
      </c>
      <c r="W39" s="226" t="n"/>
      <c r="X39" s="226" t="n"/>
      <c r="Y39" s="226" t="n"/>
      <c r="Z39" s="226" t="n"/>
      <c r="AA39" s="226" t="n"/>
      <c r="AB39" s="226" t="n"/>
      <c r="AC39" s="226" t="n"/>
      <c r="AD39" s="226" t="n"/>
      <c r="AE39" s="227" t="n"/>
    </row>
    <row r="40" s="3154" customFormat="1" ht="13.5" customHeight="1">
      <c r="A40" s="311" t="inlineStr">
        <is>
          <t xml:space="preserve">Meeting &amp; Banquet</t>
        </is>
      </c>
      <c r="B40" s="312" t="n"/>
      <c r="C40" s="312" t="n"/>
      <c r="D40" s="313" t="inlineStr">
        <is>
          <t xml:space="preserve">Annual Amt</t>
        </is>
      </c>
      <c r="E40" s="314" t="n">
        <v>2</v>
      </c>
      <c r="F40" s="3270" t="n">
        <v>0</v>
      </c>
      <c r="G40" s="3266" t="n">
        <v>0</v>
      </c>
      <c r="H40" s="3267" t="n">
        <v>0</v>
      </c>
      <c r="I40" s="3268" t="n">
        <v>0</v>
      </c>
      <c r="J40" s="3268" t="n">
        <v>0</v>
      </c>
      <c r="K40" s="3268" t="n">
        <v>0</v>
      </c>
      <c r="L40" s="3268" t="n">
        <v>0</v>
      </c>
      <c r="M40" s="3268" t="n">
        <v>0</v>
      </c>
      <c r="N40" s="3268" t="n">
        <v>0</v>
      </c>
      <c r="O40" s="3269" t="n">
        <v>0</v>
      </c>
      <c r="P40" s="25" t="n"/>
      <c r="Q40" s="226" t="n"/>
      <c r="R40" s="226" t="n"/>
      <c r="S40" s="211" t="n">
        <f t="array" ref="S40">ROW(A40)</f>
        <v>40</v>
      </c>
      <c r="T40" s="253" t="n"/>
      <c r="U40" s="226" t="n"/>
      <c r="V40" s="310" t="inlineStr">
        <is>
          <t xml:space="preserve">Annual Amt</t>
        </is>
      </c>
      <c r="W40" s="226" t="n"/>
      <c r="X40" s="226" t="n"/>
      <c r="Y40" s="226" t="n"/>
      <c r="Z40" s="226" t="n"/>
      <c r="AA40" s="226" t="n"/>
      <c r="AB40" s="226" t="n"/>
      <c r="AC40" s="226" t="n"/>
      <c r="AD40" s="226" t="n"/>
      <c r="AE40" s="227" t="n"/>
    </row>
    <row r="41" s="3154" customFormat="1" ht="13.5" customHeight="1">
      <c r="A41" s="311" t="inlineStr">
        <is>
          <t xml:space="preserve">Misc Revenue/Vending</t>
        </is>
      </c>
      <c r="B41" s="312" t="n"/>
      <c r="C41" s="312" t="n"/>
      <c r="D41" s="313" t="inlineStr">
        <is>
          <t xml:space="preserve">Per Occ Rm</t>
        </is>
      </c>
      <c r="E41" s="314" t="n"/>
      <c r="F41" s="3265" t="n">
        <v>3</v>
      </c>
      <c r="G41" s="3266" t="n">
        <v>0.02</v>
      </c>
      <c r="H41" s="3267" t="n">
        <v>0.02</v>
      </c>
      <c r="I41" s="3268" t="n">
        <v>0.02</v>
      </c>
      <c r="J41" s="3268" t="n">
        <v>0.02</v>
      </c>
      <c r="K41" s="3268" t="n">
        <v>0.02</v>
      </c>
      <c r="L41" s="3268" t="n">
        <v>0.02</v>
      </c>
      <c r="M41" s="3268" t="n">
        <v>0.02</v>
      </c>
      <c r="N41" s="3268" t="n">
        <v>0.02</v>
      </c>
      <c r="O41" s="3269" t="n">
        <v>0.02</v>
      </c>
      <c r="P41" s="25" t="n"/>
      <c r="Q41" s="226" t="n"/>
      <c r="R41" s="226" t="n"/>
      <c r="S41" s="211" t="n">
        <f t="array" ref="S41">ROW(A41)</f>
        <v>41</v>
      </c>
      <c r="T41" s="253" t="n"/>
      <c r="U41" s="226" t="n"/>
      <c r="V41" s="310" t="inlineStr">
        <is>
          <t xml:space="preserve">Per Sq Ft</t>
        </is>
      </c>
      <c r="W41" s="226" t="n"/>
      <c r="X41" s="226" t="n"/>
      <c r="Y41" s="226" t="n"/>
      <c r="Z41" s="226" t="n"/>
      <c r="AA41" s="226" t="n"/>
      <c r="AB41" s="226" t="n"/>
      <c r="AC41" s="226" t="n"/>
      <c r="AD41" s="226" t="n"/>
      <c r="AE41" s="227" t="n"/>
    </row>
    <row r="42" s="3154" customFormat="1" ht="13.5" customHeight="1">
      <c r="A42" s="188" t="n"/>
      <c r="B42" s="189" t="n"/>
      <c r="C42" s="189" t="n"/>
      <c r="D42" s="189" t="n"/>
      <c r="E42" s="321" t="n"/>
      <c r="F42" s="322" t="n"/>
      <c r="G42" s="188" t="n"/>
      <c r="H42" s="323" t="n"/>
      <c r="I42" s="323" t="n"/>
      <c r="J42" s="323" t="n"/>
      <c r="K42" s="323" t="n"/>
      <c r="L42" s="323" t="n"/>
      <c r="M42" s="323" t="n"/>
      <c r="N42" s="323" t="n"/>
      <c r="O42" s="324" t="n"/>
      <c r="P42" s="25" t="n"/>
      <c r="Q42" s="226" t="n"/>
      <c r="R42" s="226" t="n"/>
      <c r="S42" s="211" t="n">
        <f t="array" ref="S42">ROW(A42)</f>
        <v>42</v>
      </c>
      <c r="T42" s="253" t="n"/>
      <c r="U42" s="226" t="n"/>
      <c r="V42" s="226" t="n"/>
      <c r="W42" s="226" t="n"/>
      <c r="X42" s="226" t="n"/>
      <c r="Y42" s="226" t="n"/>
      <c r="Z42" s="226" t="n"/>
      <c r="AA42" s="226" t="n"/>
      <c r="AB42" s="226" t="n"/>
      <c r="AC42" s="226" t="n"/>
      <c r="AD42" s="226" t="n"/>
      <c r="AE42" s="227" t="n"/>
    </row>
    <row r="43" s="3154" customFormat="1" ht="13.5" customHeight="1">
      <c r="A43" s="202" t="inlineStr">
        <is>
          <t xml:space="preserve">DEPARTMENTAL EXPENSES</t>
        </is>
      </c>
      <c r="B43" s="203" t="n"/>
      <c r="C43" s="203" t="n"/>
      <c r="D43" s="325" t="n"/>
      <c r="E43" s="326" t="n"/>
      <c r="F43" s="296" t="inlineStr">
        <is>
          <t xml:space="preserve">INPUT</t>
        </is>
      </c>
      <c r="G43" s="297" t="inlineStr">
        <is>
          <t xml:space="preserve">EXPENSE RATIOS</t>
        </is>
      </c>
      <c r="H43" s="298" t="n"/>
      <c r="I43" s="298" t="n"/>
      <c r="J43" s="298" t="n"/>
      <c r="K43" s="298" t="n"/>
      <c r="L43" s="298" t="n"/>
      <c r="M43" s="298" t="n"/>
      <c r="N43" s="298" t="n"/>
      <c r="O43" s="299" t="n"/>
      <c r="P43" s="25" t="n"/>
      <c r="Q43" s="226" t="n"/>
      <c r="R43" s="226" t="n"/>
      <c r="S43" s="211" t="n">
        <f t="array" ref="S43">ROW(A43)</f>
        <v>43</v>
      </c>
      <c r="T43" s="253" t="str"/>
      <c r="U43" s="226" t="n"/>
      <c r="V43" s="226" t="n"/>
      <c r="W43" s="226" t="n"/>
      <c r="X43" s="226" t="n"/>
      <c r="Y43" s="226" t="n"/>
      <c r="Z43" s="226" t="n"/>
      <c r="AA43" s="226" t="n"/>
      <c r="AB43" s="226" t="n"/>
      <c r="AC43" s="226" t="n"/>
      <c r="AD43" s="226" t="n"/>
      <c r="AE43" s="227" t="n"/>
    </row>
    <row r="44" s="3154" customFormat="1" ht="13.5" customHeight="1">
      <c r="A44" s="327" t="str">
        <f t="array" ref="A44">A38</f>
        <v>Rooms</v>
      </c>
      <c r="B44" s="171" t="n"/>
      <c r="C44" s="171" t="n"/>
      <c r="D44" s="302" t="inlineStr">
        <is>
          <t xml:space="preserve">% Dept Rev</t>
        </is>
      </c>
      <c r="E44" s="303" t="n">
        <v>3</v>
      </c>
      <c r="F44" s="4510" t="n">
        <v>0.2</v>
      </c>
      <c r="G44" s="4511" t="n">
        <v>0.185</v>
      </c>
      <c r="H44" s="4512" t="n">
        <v>0.175</v>
      </c>
      <c r="I44" s="4512" t="n">
        <v>0.175</v>
      </c>
      <c r="J44" s="4512" t="n">
        <v>0.175</v>
      </c>
      <c r="K44" s="4512" t="n">
        <v>0.175</v>
      </c>
      <c r="L44" s="4512" t="n">
        <v>0.175</v>
      </c>
      <c r="M44" s="4512" t="n">
        <v>0.175</v>
      </c>
      <c r="N44" s="4512" t="n">
        <v>0.175</v>
      </c>
      <c r="O44" s="4513" t="n">
        <v>0.175</v>
      </c>
      <c r="P44" s="25" t="n"/>
      <c r="Q44" s="226" t="n"/>
      <c r="R44" s="226" t="n"/>
      <c r="S44" s="211" t="n">
        <f t="array" ref="S44">ROW(A44)</f>
        <v>44</v>
      </c>
      <c r="T44" s="253" t="str"/>
      <c r="U44" s="226" t="n"/>
      <c r="V44" s="226" t="n"/>
      <c r="W44" s="226" t="n"/>
      <c r="X44" s="226" t="n"/>
      <c r="Y44" s="226" t="n"/>
      <c r="Z44" s="226" t="n"/>
      <c r="AA44" s="226" t="n"/>
      <c r="AB44" s="226" t="n"/>
      <c r="AC44" s="226" t="n"/>
      <c r="AD44" s="226" t="n"/>
      <c r="AE44" s="227" t="n"/>
    </row>
    <row r="45" s="3154" customFormat="1" ht="13.5" customHeight="1">
      <c r="A45" s="332" t="str">
        <f t="array" ref="A45">A39</f>
        <v>Food &amp; Beverage</v>
      </c>
      <c r="B45" s="179" t="n"/>
      <c r="C45" s="179" t="n"/>
      <c r="D45" s="313" t="inlineStr">
        <is>
          <t xml:space="preserve">% Dept Rev</t>
        </is>
      </c>
      <c r="E45" s="314" t="n"/>
      <c r="F45" s="333" t="n">
        <v>0.65</v>
      </c>
      <c r="G45" s="334" t="n">
        <v>0.65</v>
      </c>
      <c r="H45" s="335" t="n">
        <v>0.65</v>
      </c>
      <c r="I45" s="335" t="n">
        <v>0.65</v>
      </c>
      <c r="J45" s="335" t="n">
        <v>0.65</v>
      </c>
      <c r="K45" s="335" t="n">
        <v>0.65</v>
      </c>
      <c r="L45" s="335" t="n">
        <v>0.65</v>
      </c>
      <c r="M45" s="335" t="n">
        <v>0.65</v>
      </c>
      <c r="N45" s="335" t="n">
        <v>0.65</v>
      </c>
      <c r="O45" s="336" t="n">
        <v>0.65</v>
      </c>
      <c r="P45" s="25" t="n"/>
      <c r="Q45" s="226" t="n"/>
      <c r="R45" s="226" t="n"/>
      <c r="S45" s="211" t="n">
        <f t="array" ref="S45">ROW(A45)</f>
        <v>45</v>
      </c>
      <c r="T45" s="253" t="str"/>
      <c r="U45" s="226" t="n"/>
      <c r="V45" s="226" t="n"/>
      <c r="W45" s="226" t="n"/>
      <c r="X45" s="226" t="n"/>
      <c r="Y45" s="226" t="n"/>
      <c r="Z45" s="226" t="n"/>
      <c r="AA45" s="226" t="n"/>
      <c r="AB45" s="226" t="n"/>
      <c r="AC45" s="226" t="n"/>
      <c r="AD45" s="226" t="n"/>
      <c r="AE45" s="227" t="n"/>
    </row>
    <row r="46" s="3154" customFormat="1" ht="13.5" customHeight="1">
      <c r="A46" s="332" t="str">
        <f t="array" ref="A46">A40</f>
        <v>Meeting &amp; Banquet</v>
      </c>
      <c r="B46" s="179" t="n"/>
      <c r="C46" s="179" t="n"/>
      <c r="D46" s="313" t="inlineStr">
        <is>
          <t xml:space="preserve">% Dept Rev</t>
        </is>
      </c>
      <c r="E46" s="314" t="n"/>
      <c r="F46" s="333" t="n">
        <v>0.45</v>
      </c>
      <c r="G46" s="334" t="n">
        <v>0.45</v>
      </c>
      <c r="H46" s="335" t="n">
        <v>0.45</v>
      </c>
      <c r="I46" s="335" t="n">
        <v>0.45</v>
      </c>
      <c r="J46" s="335" t="n">
        <v>0.45</v>
      </c>
      <c r="K46" s="335" t="n">
        <v>0.45</v>
      </c>
      <c r="L46" s="335" t="n">
        <v>0.45</v>
      </c>
      <c r="M46" s="335" t="n">
        <v>0.45</v>
      </c>
      <c r="N46" s="335" t="n">
        <v>0.45</v>
      </c>
      <c r="O46" s="336" t="n">
        <v>0.45</v>
      </c>
      <c r="P46" s="25" t="n"/>
      <c r="Q46" s="226" t="n"/>
      <c r="R46" s="226" t="n"/>
      <c r="S46" s="211" t="n">
        <f t="array" ref="S46">ROW(A46)</f>
        <v>46</v>
      </c>
      <c r="T46" s="253" t="str"/>
      <c r="U46" s="226" t="n"/>
      <c r="V46" s="226" t="n"/>
      <c r="W46" s="226" t="n"/>
      <c r="X46" s="226" t="n"/>
      <c r="Y46" s="226" t="n"/>
      <c r="Z46" s="226" t="n"/>
      <c r="AA46" s="226" t="n"/>
      <c r="AB46" s="226" t="n"/>
      <c r="AC46" s="226" t="n"/>
      <c r="AD46" s="226" t="n"/>
      <c r="AE46" s="227" t="n"/>
    </row>
    <row r="47" s="3154" customFormat="1" ht="13.5" customHeight="1">
      <c r="A47" s="332" t="str">
        <f t="array" ref="A47">A41</f>
        <v>Misc Revenue/Vending</v>
      </c>
      <c r="B47" s="179" t="n"/>
      <c r="C47" s="179" t="n"/>
      <c r="D47" s="337" t="n"/>
      <c r="E47" s="314" t="n"/>
      <c r="F47" s="333" t="n">
        <v>0.65</v>
      </c>
      <c r="G47" s="334" t="n">
        <v>0.65</v>
      </c>
      <c r="H47" s="335" t="n">
        <v>0.65</v>
      </c>
      <c r="I47" s="335" t="n">
        <v>0.65</v>
      </c>
      <c r="J47" s="335" t="n">
        <v>0.65</v>
      </c>
      <c r="K47" s="335" t="n">
        <v>0.65</v>
      </c>
      <c r="L47" s="335" t="n">
        <v>0.65</v>
      </c>
      <c r="M47" s="335" t="n">
        <v>0.65</v>
      </c>
      <c r="N47" s="335" t="n">
        <v>0.65</v>
      </c>
      <c r="O47" s="336" t="n">
        <v>0.65</v>
      </c>
      <c r="P47" s="25" t="n"/>
      <c r="Q47" s="226" t="n"/>
      <c r="R47" s="226" t="n"/>
      <c r="S47" s="211" t="n"/>
      <c r="T47" s="253" t="n"/>
      <c r="U47" s="226" t="n"/>
      <c r="V47" s="226" t="n"/>
      <c r="W47" s="226" t="n"/>
      <c r="X47" s="226" t="n"/>
      <c r="Y47" s="226" t="n"/>
      <c r="Z47" s="226" t="n"/>
      <c r="AA47" s="226" t="n"/>
      <c r="AB47" s="226" t="n"/>
      <c r="AC47" s="226" t="n"/>
      <c r="AD47" s="226" t="n"/>
      <c r="AE47" s="227" t="n"/>
    </row>
    <row r="48" s="3154" customFormat="1" ht="13.5" customHeight="1">
      <c r="A48" s="188" t="n"/>
      <c r="B48" s="189" t="n"/>
      <c r="C48" s="189" t="n"/>
      <c r="D48" s="190" t="n"/>
      <c r="E48" s="321" t="n"/>
      <c r="F48" s="338" t="n"/>
      <c r="G48" s="339" t="n"/>
      <c r="H48" s="340" t="n"/>
      <c r="I48" s="340" t="n"/>
      <c r="J48" s="340" t="n"/>
      <c r="K48" s="340" t="n"/>
      <c r="L48" s="340" t="n"/>
      <c r="M48" s="340" t="n"/>
      <c r="N48" s="340" t="n"/>
      <c r="O48" s="341" t="n"/>
      <c r="P48" s="25" t="n"/>
      <c r="Q48" s="226" t="n"/>
      <c r="R48" s="226" t="n"/>
      <c r="S48" s="211" t="n">
        <f t="array" ref="S48">ROW(A48)</f>
        <v>48</v>
      </c>
      <c r="T48" s="253" t="n"/>
      <c r="U48" s="226" t="n"/>
      <c r="V48" s="226" t="n"/>
      <c r="W48" s="226" t="n"/>
      <c r="X48" s="226" t="n"/>
      <c r="Y48" s="226" t="n"/>
      <c r="Z48" s="226" t="n"/>
      <c r="AA48" s="226" t="n"/>
      <c r="AB48" s="226" t="n"/>
      <c r="AC48" s="226" t="n"/>
      <c r="AD48" s="226" t="n"/>
      <c r="AE48" s="227" t="n"/>
    </row>
    <row r="49" s="3154" customFormat="1" ht="13.5" customHeight="1">
      <c r="A49" s="202" t="inlineStr">
        <is>
          <t xml:space="preserve">NON DEPARTMENTAL EXPENSES</t>
        </is>
      </c>
      <c r="B49" s="203" t="n"/>
      <c r="C49" s="203" t="n"/>
      <c r="D49" s="325" t="n"/>
      <c r="E49" s="326" t="n"/>
      <c r="F49" s="296" t="inlineStr">
        <is>
          <t xml:space="preserve">INPUT</t>
        </is>
      </c>
      <c r="G49" s="297" t="inlineStr">
        <is>
          <t xml:space="preserve">EXPENSE RATIOS</t>
        </is>
      </c>
      <c r="H49" s="298" t="n"/>
      <c r="I49" s="298" t="n"/>
      <c r="J49" s="298" t="n"/>
      <c r="K49" s="298" t="n"/>
      <c r="L49" s="298" t="n"/>
      <c r="M49" s="298" t="n"/>
      <c r="N49" s="298" t="n"/>
      <c r="O49" s="299" t="n"/>
      <c r="P49" s="25" t="n"/>
      <c r="Q49" s="226" t="n"/>
      <c r="R49" s="226" t="n"/>
      <c r="S49" s="211" t="n">
        <f t="array" ref="S49">ROW(A49)</f>
        <v>49</v>
      </c>
      <c r="T49" s="253" t="n"/>
      <c r="U49" s="226" t="n"/>
      <c r="V49" s="226" t="n"/>
      <c r="W49" s="226" t="n"/>
      <c r="X49" s="226" t="n"/>
      <c r="Y49" s="226" t="n"/>
      <c r="Z49" s="226" t="n"/>
      <c r="AA49" s="226" t="n"/>
      <c r="AB49" s="226" t="n"/>
      <c r="AC49" s="226" t="n"/>
      <c r="AD49" s="226" t="n"/>
      <c r="AE49" s="227" t="n"/>
    </row>
    <row r="50" s="3154" customFormat="1" ht="13.5" customHeight="1">
      <c r="A50" s="342" t="inlineStr">
        <is>
          <t xml:space="preserve">Admin &amp; General</t>
        </is>
      </c>
      <c r="B50" s="343" t="n"/>
      <c r="C50" s="343" t="n"/>
      <c r="D50" s="344" t="inlineStr">
        <is>
          <t xml:space="preserve">% Total Rev</t>
        </is>
      </c>
      <c r="E50" s="303" t="n"/>
      <c r="F50" s="3271" t="n">
        <f t="array" ref="F50">'JYI-Budget Annual'!$M$173</f>
        <v>0.0757513345225674</v>
      </c>
      <c r="G50" s="3272" t="n">
        <f t="array" ref="G50">'JYI-Budget Annual'!$M$173</f>
        <v>0.0757513345225674</v>
      </c>
      <c r="H50" s="3273" t="n">
        <f t="array" ref="H50">'JYI-Budget Annual'!$M$173</f>
        <v>0.0757513345225674</v>
      </c>
      <c r="I50" s="3273" t="n">
        <f t="array" ref="I50">'JYI-Budget Annual'!$M$173</f>
        <v>0.0757513345225674</v>
      </c>
      <c r="J50" s="3273" t="n">
        <f t="array" ref="J50">'JYI-Budget Annual'!$M$173</f>
        <v>0.0757513345225674</v>
      </c>
      <c r="K50" s="3273" t="n">
        <f t="array" ref="K50">'JYI-Budget Annual'!$M$173</f>
        <v>0.0757513345225674</v>
      </c>
      <c r="L50" s="3273" t="n">
        <f t="array" ref="L50">'JYI-Budget Annual'!$M$173</f>
        <v>0.0757513345225674</v>
      </c>
      <c r="M50" s="3273" t="n">
        <f t="array" ref="M50">'JYI-Budget Annual'!$M$173</f>
        <v>0.0757513345225674</v>
      </c>
      <c r="N50" s="3273" t="n">
        <f t="array" ref="N50">'JYI-Budget Annual'!$M$173</f>
        <v>0.0757513345225674</v>
      </c>
      <c r="O50" s="3273" t="n">
        <f t="array" ref="O50">'JYI-Budget Annual'!$M$173</f>
        <v>0.0757513345225674</v>
      </c>
      <c r="P50" s="26" t="n"/>
      <c r="Q50" s="226" t="n"/>
      <c r="R50" s="226" t="n"/>
      <c r="S50" s="211" t="n">
        <f t="array" ref="S50">ROW(A50)</f>
        <v>50</v>
      </c>
      <c r="T50" s="253" t="n"/>
      <c r="U50" s="226" t="n"/>
      <c r="V50" s="226" t="n"/>
      <c r="W50" s="226" t="n"/>
      <c r="X50" s="226" t="n"/>
      <c r="Y50" s="226" t="n"/>
      <c r="Z50" s="226" t="n"/>
      <c r="AA50" s="226" t="n"/>
      <c r="AB50" s="226" t="n"/>
      <c r="AC50" s="226" t="n"/>
      <c r="AD50" s="226" t="n"/>
      <c r="AE50" s="227" t="n"/>
    </row>
    <row r="51" s="3154" customFormat="1" ht="13.5" customHeight="1">
      <c r="A51" s="348" t="inlineStr">
        <is>
          <t xml:space="preserve">Advertising &amp; Sales</t>
        </is>
      </c>
      <c r="B51" s="349" t="n"/>
      <c r="C51" s="349" t="n"/>
      <c r="D51" s="350" t="inlineStr">
        <is>
          <t xml:space="preserve">% Total Rev</t>
        </is>
      </c>
      <c r="E51" s="314" t="n"/>
      <c r="F51" s="3274" t="n">
        <f t="array" ref="F51">'JYI-Budget Annual'!$M$185</f>
        <v>0.0013463027161657298</v>
      </c>
      <c r="G51" s="3275" t="n">
        <f t="array" ref="G51">'JYI-Budget Annual'!$M$185</f>
        <v>0.0013463027161657298</v>
      </c>
      <c r="H51" s="3276" t="n">
        <f t="array" ref="H51">'JYI-Budget Annual'!$M$185</f>
        <v>0.0013463027161657298</v>
      </c>
      <c r="I51" s="3276" t="n">
        <f t="array" ref="I51">'JYI-Budget Annual'!$M$185</f>
        <v>0.0013463027161657298</v>
      </c>
      <c r="J51" s="3276" t="n">
        <f t="array" ref="J51">'JYI-Budget Annual'!$M$185</f>
        <v>0.0013463027161657298</v>
      </c>
      <c r="K51" s="3276" t="n">
        <f t="array" ref="K51">'JYI-Budget Annual'!$M$185</f>
        <v>0.0013463027161657298</v>
      </c>
      <c r="L51" s="3276" t="n">
        <f t="array" ref="L51">'JYI-Budget Annual'!$M$185</f>
        <v>0.0013463027161657298</v>
      </c>
      <c r="M51" s="3276" t="n">
        <f t="array" ref="M51">'JYI-Budget Annual'!$M$185</f>
        <v>0.0013463027161657298</v>
      </c>
      <c r="N51" s="3276" t="n">
        <f t="array" ref="N51">'JYI-Budget Annual'!$M$185</f>
        <v>0.0013463027161657298</v>
      </c>
      <c r="O51" s="3277" t="n">
        <f t="array" ref="O51">'JYI-Budget Annual'!$M$185</f>
        <v>0.0013463027161657298</v>
      </c>
      <c r="P51" s="25" t="n"/>
      <c r="Q51" s="226" t="n"/>
      <c r="R51" s="226" t="n"/>
      <c r="S51" s="211" t="n">
        <f t="array" ref="S51">ROW(A51)</f>
        <v>51</v>
      </c>
      <c r="T51" s="253" t="n"/>
      <c r="U51" s="226" t="n"/>
      <c r="V51" s="226" t="n"/>
      <c r="W51" s="226" t="n"/>
      <c r="X51" s="226" t="n"/>
      <c r="Y51" s="226" t="n"/>
      <c r="Z51" s="226" t="n"/>
      <c r="AA51" s="226" t="n"/>
      <c r="AB51" s="226" t="n"/>
      <c r="AC51" s="226" t="n"/>
      <c r="AD51" s="226" t="n"/>
      <c r="AE51" s="227" t="n"/>
    </row>
    <row r="52" s="3154" customFormat="1" ht="13.5" customHeight="1">
      <c r="A52" s="348" t="inlineStr">
        <is>
          <t xml:space="preserve">Property Ops &amp; Maint</t>
        </is>
      </c>
      <c r="B52" s="349" t="n"/>
      <c r="C52" s="349" t="n"/>
      <c r="D52" s="350" t="inlineStr">
        <is>
          <t xml:space="preserve">% Total Rev</t>
        </is>
      </c>
      <c r="E52" s="314" t="n"/>
      <c r="F52" s="3274" t="n">
        <f t="array" ref="F52">'JYI-Budget Annual'!$M$222</f>
        <v>0.029946689778196634</v>
      </c>
      <c r="G52" s="3275" t="n">
        <f t="array" ref="G52">'JYI-Budget Annual'!$M$222</f>
        <v>0.029946689778196634</v>
      </c>
      <c r="H52" s="3276" t="n">
        <f t="array" ref="H52">'JYI-Budget Annual'!$M$222</f>
        <v>0.029946689778196634</v>
      </c>
      <c r="I52" s="3276" t="n">
        <f t="array" ref="I52">'JYI-Budget Annual'!$M$222</f>
        <v>0.029946689778196634</v>
      </c>
      <c r="J52" s="3276" t="n">
        <f t="array" ref="J52">'JYI-Budget Annual'!$M$222</f>
        <v>0.029946689778196634</v>
      </c>
      <c r="K52" s="3276" t="n">
        <f t="array" ref="K52">'JYI-Budget Annual'!$M$222</f>
        <v>0.029946689778196634</v>
      </c>
      <c r="L52" s="3276" t="n">
        <f t="array" ref="L52">'JYI-Budget Annual'!$M$222</f>
        <v>0.029946689778196634</v>
      </c>
      <c r="M52" s="3276" t="n">
        <f t="array" ref="M52">'JYI-Budget Annual'!$M$222</f>
        <v>0.029946689778196634</v>
      </c>
      <c r="N52" s="3276" t="n">
        <f t="array" ref="N52">'JYI-Budget Annual'!$M$222</f>
        <v>0.029946689778196634</v>
      </c>
      <c r="O52" s="3277" t="n">
        <f t="array" ref="O52">'JYI-Budget Annual'!$M$222</f>
        <v>0.029946689778196634</v>
      </c>
      <c r="P52" s="25" t="n"/>
      <c r="Q52" s="226" t="n"/>
      <c r="R52" s="226" t="n"/>
      <c r="S52" s="211" t="n">
        <f t="array" ref="S52">ROW(A52)</f>
        <v>52</v>
      </c>
      <c r="T52" s="253" t="n"/>
      <c r="U52" s="226" t="n"/>
      <c r="V52" s="226" t="n"/>
      <c r="W52" s="226" t="n"/>
      <c r="X52" s="226" t="n"/>
      <c r="Y52" s="226" t="n"/>
      <c r="Z52" s="226" t="n"/>
      <c r="AA52" s="226" t="n"/>
      <c r="AB52" s="226" t="n"/>
      <c r="AC52" s="226" t="n"/>
      <c r="AD52" s="226" t="n"/>
      <c r="AE52" s="227" t="n"/>
    </row>
    <row r="53" s="3154" customFormat="1" ht="13.5" customHeight="1">
      <c r="A53" s="348" t="inlineStr">
        <is>
          <t xml:space="preserve">Info &amp; Telecom Systems</t>
        </is>
      </c>
      <c r="B53" s="349" t="n"/>
      <c r="C53" s="349" t="n"/>
      <c r="D53" s="350" t="inlineStr">
        <is>
          <t xml:space="preserve">% Total Rev</t>
        </is>
      </c>
      <c r="E53" s="314" t="n"/>
      <c r="F53" s="3274" t="n">
        <f t="array" ref="F53">'JYI-Budget Annual'!$M$82</f>
        <v>0.013328396890040726</v>
      </c>
      <c r="G53" s="3275" t="n">
        <f t="array" ref="G53">'JYI-Budget Annual'!$M$82</f>
        <v>0.013328396890040726</v>
      </c>
      <c r="H53" s="3276" t="n">
        <f t="array" ref="H53">'JYI-Budget Annual'!$M$82</f>
        <v>0.013328396890040726</v>
      </c>
      <c r="I53" s="3276" t="n">
        <f t="array" ref="I53">'JYI-Budget Annual'!$M$82</f>
        <v>0.013328396890040726</v>
      </c>
      <c r="J53" s="3276" t="n">
        <f t="array" ref="J53">'JYI-Budget Annual'!$M$82</f>
        <v>0.013328396890040726</v>
      </c>
      <c r="K53" s="3276" t="n">
        <f t="array" ref="K53">'JYI-Budget Annual'!$M$82</f>
        <v>0.013328396890040726</v>
      </c>
      <c r="L53" s="3276" t="n">
        <f t="array" ref="L53">'JYI-Budget Annual'!$M$82</f>
        <v>0.013328396890040726</v>
      </c>
      <c r="M53" s="3276" t="n">
        <f t="array" ref="M53">'JYI-Budget Annual'!$M$82</f>
        <v>0.013328396890040726</v>
      </c>
      <c r="N53" s="3276" t="n">
        <f t="array" ref="N53">'JYI-Budget Annual'!$M$82</f>
        <v>0.013328396890040726</v>
      </c>
      <c r="O53" s="3277" t="n">
        <f t="array" ref="O53">'JYI-Budget Annual'!$M$82</f>
        <v>0.013328396890040726</v>
      </c>
      <c r="P53" s="25" t="n"/>
      <c r="Q53" s="226" t="n"/>
      <c r="R53" s="226" t="n"/>
      <c r="S53" s="211" t="n">
        <f t="array" ref="S53">ROW(A53)</f>
        <v>53</v>
      </c>
      <c r="T53" s="253" t="n"/>
      <c r="U53" s="226" t="n"/>
      <c r="V53" s="226" t="n"/>
      <c r="W53" s="226" t="n"/>
      <c r="X53" s="226" t="n"/>
      <c r="Y53" s="226" t="n"/>
      <c r="Z53" s="226" t="n"/>
      <c r="AA53" s="226" t="n"/>
      <c r="AB53" s="226" t="n"/>
      <c r="AC53" s="226" t="n"/>
      <c r="AD53" s="226" t="n"/>
      <c r="AE53" s="227" t="n"/>
    </row>
    <row r="54" s="3154" customFormat="1" ht="13.5" customHeight="1">
      <c r="A54" s="348" t="inlineStr">
        <is>
          <t xml:space="preserve">Utility Cost</t>
        </is>
      </c>
      <c r="B54" s="349" t="n"/>
      <c r="C54" s="349" t="n"/>
      <c r="D54" s="350" t="inlineStr">
        <is>
          <t xml:space="preserve">% Total Rev</t>
        </is>
      </c>
      <c r="E54" s="314" t="n"/>
      <c r="F54" s="3274" t="n">
        <f t="array" ref="F54">'JYI-Budget Annual'!$M$234</f>
        <v>0.04542334488909831</v>
      </c>
      <c r="G54" s="3275" t="n">
        <f t="array" ref="G54">'JYI-Budget Annual'!$M$234</f>
        <v>0.04542334488909831</v>
      </c>
      <c r="H54" s="3276" t="n">
        <f t="array" ref="H54">'JYI-Budget Annual'!$M$234</f>
        <v>0.04542334488909831</v>
      </c>
      <c r="I54" s="3276" t="n">
        <f t="array" ref="I54">'JYI-Budget Annual'!$M$234</f>
        <v>0.04542334488909831</v>
      </c>
      <c r="J54" s="3276" t="n">
        <f t="array" ref="J54">'JYI-Budget Annual'!$M$234</f>
        <v>0.04542334488909831</v>
      </c>
      <c r="K54" s="3276" t="n">
        <f t="array" ref="K54">'JYI-Budget Annual'!$M$234</f>
        <v>0.04542334488909831</v>
      </c>
      <c r="L54" s="3276" t="n">
        <f t="array" ref="L54">'JYI-Budget Annual'!$M$234</f>
        <v>0.04542334488909831</v>
      </c>
      <c r="M54" s="3276" t="n">
        <f t="array" ref="M54">'JYI-Budget Annual'!$M$234</f>
        <v>0.04542334488909831</v>
      </c>
      <c r="N54" s="3276" t="n">
        <f t="array" ref="N54">'JYI-Budget Annual'!$M$234</f>
        <v>0.04542334488909831</v>
      </c>
      <c r="O54" s="3278" t="n">
        <f t="array" ref="O54">'JYI-Budget Annual'!$M$234</f>
        <v>0.04542334488909831</v>
      </c>
      <c r="P54" s="356" t="n"/>
      <c r="Q54" s="226" t="n"/>
      <c r="R54" s="226" t="n"/>
      <c r="S54" s="211" t="n">
        <f t="array" ref="S54">ROW(A54)</f>
        <v>54</v>
      </c>
      <c r="T54" s="253" t="n"/>
      <c r="U54" s="226" t="n"/>
      <c r="V54" s="226" t="n"/>
      <c r="W54" s="226" t="n"/>
      <c r="X54" s="226" t="n"/>
      <c r="Y54" s="226" t="n"/>
      <c r="Z54" s="226" t="n"/>
      <c r="AA54" s="226" t="n"/>
      <c r="AB54" s="226" t="n"/>
      <c r="AC54" s="226" t="n"/>
      <c r="AD54" s="226" t="n"/>
      <c r="AE54" s="227" t="n"/>
    </row>
    <row r="55" s="3154" customFormat="1" ht="13.5" customHeight="1">
      <c r="A55" s="357" t="inlineStr">
        <is>
          <t xml:space="preserve">Royalty/Franchise Fee</t>
        </is>
      </c>
      <c r="B55" s="358" t="n"/>
      <c r="C55" s="358" t="n"/>
      <c r="D55" s="359" t="inlineStr">
        <is>
          <t xml:space="preserve">% Room Rev</t>
        </is>
      </c>
      <c r="E55" s="360" t="n">
        <v>4</v>
      </c>
      <c r="F55" s="3279" t="n">
        <f t="array" ref="F55">'JYI-Budget Annual'!$M$198</f>
        <v>0.08095447140789606</v>
      </c>
      <c r="G55" s="3280" t="n">
        <f t="array" ref="G55">'JYI-Budget Annual'!$M$198</f>
        <v>0.08095447140789606</v>
      </c>
      <c r="H55" s="3281" t="n">
        <f t="array" ref="H55">'JYI-Budget Annual'!$M$198</f>
        <v>0.08095447140789606</v>
      </c>
      <c r="I55" s="3281" t="n">
        <f t="array" ref="I55">'JYI-Budget Annual'!$M$198</f>
        <v>0.08095447140789606</v>
      </c>
      <c r="J55" s="3281" t="n">
        <f t="array" ref="J55">'JYI-Budget Annual'!$M$198</f>
        <v>0.08095447140789606</v>
      </c>
      <c r="K55" s="3281" t="n">
        <f t="array" ref="K55">'JYI-Budget Annual'!$M$198</f>
        <v>0.08095447140789606</v>
      </c>
      <c r="L55" s="3281" t="n">
        <f t="array" ref="L55">'JYI-Budget Annual'!$M$198</f>
        <v>0.08095447140789606</v>
      </c>
      <c r="M55" s="3281" t="n">
        <f t="array" ref="M55">'JYI-Budget Annual'!$M$198</f>
        <v>0.08095447140789606</v>
      </c>
      <c r="N55" s="3281" t="n">
        <f t="array" ref="N55">'JYI-Budget Annual'!$M$198</f>
        <v>0.08095447140789606</v>
      </c>
      <c r="O55" s="3282" t="n">
        <f t="array" ref="O55">'JYI-Budget Annual'!$M$198</f>
        <v>0.08095447140789606</v>
      </c>
      <c r="P55" s="25" t="n"/>
      <c r="Q55" s="226" t="n"/>
      <c r="R55" s="226" t="n"/>
      <c r="S55" s="211" t="n">
        <f t="array" ref="S55">ROW(A55)</f>
        <v>55</v>
      </c>
      <c r="T55" s="253" t="n"/>
      <c r="U55" s="226" t="n"/>
      <c r="V55" s="226" t="n"/>
      <c r="W55" s="226" t="n"/>
      <c r="X55" s="226" t="n"/>
      <c r="Y55" s="226" t="n"/>
      <c r="Z55" s="226" t="n"/>
      <c r="AA55" s="226" t="n"/>
      <c r="AB55" s="226" t="n"/>
      <c r="AC55" s="226" t="n"/>
      <c r="AD55" s="226" t="n"/>
      <c r="AE55" s="227" t="n"/>
    </row>
    <row r="56" s="3154" customFormat="1" ht="13.5" customHeight="1">
      <c r="A56" s="365" t="n"/>
      <c r="B56" s="158" t="n"/>
      <c r="C56" s="158" t="n"/>
      <c r="D56" s="366" t="n"/>
      <c r="E56" s="367" t="n"/>
      <c r="F56" s="3283" t="n"/>
      <c r="G56" s="3284" t="n"/>
      <c r="H56" s="3285" t="n"/>
      <c r="I56" s="3285" t="n"/>
      <c r="J56" s="3285" t="n"/>
      <c r="K56" s="3285" t="n"/>
      <c r="L56" s="3285" t="n"/>
      <c r="M56" s="3285" t="n"/>
      <c r="N56" s="3285" t="n"/>
      <c r="O56" s="3286" t="n"/>
      <c r="P56" s="25" t="n"/>
      <c r="Q56" s="226" t="n"/>
      <c r="R56" s="226" t="n"/>
      <c r="S56" s="211" t="n">
        <f t="array" ref="S56">ROW(A56)</f>
        <v>56</v>
      </c>
      <c r="T56" s="253" t="n"/>
      <c r="U56" s="226" t="n"/>
      <c r="V56" s="226" t="n"/>
      <c r="W56" s="226" t="n"/>
      <c r="X56" s="226" t="n"/>
      <c r="Y56" s="226" t="n"/>
      <c r="Z56" s="226" t="n"/>
      <c r="AA56" s="226" t="n"/>
      <c r="AB56" s="226" t="n"/>
      <c r="AC56" s="226" t="n"/>
      <c r="AD56" s="226" t="n"/>
      <c r="AE56" s="227" t="n"/>
    </row>
    <row r="57" s="3154" customFormat="1" ht="13.5" customHeight="1">
      <c r="A57" s="202" t="inlineStr">
        <is>
          <t xml:space="preserve">MANAGEMENT FEES</t>
        </is>
      </c>
      <c r="B57" s="203" t="n"/>
      <c r="C57" s="203" t="n"/>
      <c r="D57" s="325" t="n"/>
      <c r="E57" s="326" t="n"/>
      <c r="F57" s="296" t="inlineStr">
        <is>
          <t xml:space="preserve">INPUT</t>
        </is>
      </c>
      <c r="G57" s="297" t="inlineStr">
        <is>
          <t xml:space="preserve">EXPENSE RATIOS</t>
        </is>
      </c>
      <c r="H57" s="298" t="n"/>
      <c r="I57" s="298" t="n"/>
      <c r="J57" s="298" t="n"/>
      <c r="K57" s="298" t="n"/>
      <c r="L57" s="298" t="n"/>
      <c r="M57" s="298" t="n"/>
      <c r="N57" s="298" t="n"/>
      <c r="O57" s="299" t="n"/>
      <c r="P57" s="25" t="n"/>
      <c r="Q57" s="226" t="n"/>
      <c r="R57" s="226" t="n"/>
      <c r="S57" s="211" t="n">
        <f t="array" ref="S57">ROW(A57)</f>
        <v>57</v>
      </c>
      <c r="T57" s="253" t="n"/>
      <c r="U57" s="226" t="n"/>
      <c r="V57" s="226" t="n"/>
      <c r="W57" s="226" t="n"/>
      <c r="X57" s="226" t="n"/>
      <c r="Y57" s="226" t="n"/>
      <c r="Z57" s="226" t="n"/>
      <c r="AA57" s="226" t="n"/>
      <c r="AB57" s="226" t="n"/>
      <c r="AC57" s="226" t="n"/>
      <c r="AD57" s="226" t="n"/>
      <c r="AE57" s="227" t="n"/>
    </row>
    <row r="58" s="3154" customFormat="1" ht="13.5" customHeight="1">
      <c r="A58" s="342" t="inlineStr">
        <is>
          <t xml:space="preserve">Management Fee</t>
        </is>
      </c>
      <c r="B58" s="343" t="n"/>
      <c r="C58" s="343" t="n"/>
      <c r="D58" s="344" t="inlineStr">
        <is>
          <t xml:space="preserve">% Total Rev</t>
        </is>
      </c>
      <c r="E58" s="303" t="n"/>
      <c r="F58" s="3271" t="n">
        <v>0.03</v>
      </c>
      <c r="G58" s="3272" t="n">
        <v>0.03</v>
      </c>
      <c r="H58" s="3273" t="n">
        <v>0.03</v>
      </c>
      <c r="I58" s="3273" t="n">
        <v>0.03</v>
      </c>
      <c r="J58" s="3273" t="n">
        <v>0.03</v>
      </c>
      <c r="K58" s="3273" t="n">
        <v>0.03</v>
      </c>
      <c r="L58" s="3273" t="n">
        <v>0.03</v>
      </c>
      <c r="M58" s="3273" t="n">
        <v>0.03</v>
      </c>
      <c r="N58" s="3273" t="n">
        <v>0.03</v>
      </c>
      <c r="O58" s="3287" t="n">
        <v>0.03</v>
      </c>
      <c r="P58" s="25" t="n"/>
      <c r="Q58" s="226" t="n"/>
      <c r="R58" s="226" t="n"/>
      <c r="S58" s="211" t="n">
        <f t="array" ref="S58">ROW(A58)</f>
        <v>58</v>
      </c>
      <c r="T58" s="253" t="n"/>
      <c r="U58" s="226" t="n"/>
      <c r="V58" s="226" t="n"/>
      <c r="W58" s="226" t="n"/>
      <c r="X58" s="226" t="n"/>
      <c r="Y58" s="226" t="n"/>
      <c r="Z58" s="226" t="n"/>
      <c r="AA58" s="226" t="n"/>
      <c r="AB58" s="226" t="n"/>
      <c r="AC58" s="226" t="n"/>
      <c r="AD58" s="226" t="n"/>
      <c r="AE58" s="227" t="n"/>
    </row>
    <row r="59" s="3154" customFormat="1" ht="13.5" customHeight="1">
      <c r="A59" s="348" t="inlineStr">
        <is>
          <t xml:space="preserve">Accounting Fees</t>
        </is>
      </c>
      <c r="B59" s="349" t="n"/>
      <c r="C59" s="349" t="n"/>
      <c r="D59" s="350" t="inlineStr">
        <is>
          <t xml:space="preserve">% Total Rev</t>
        </is>
      </c>
      <c r="E59" s="314" t="n"/>
      <c r="F59" s="373" t="n">
        <v>0.0075</v>
      </c>
      <c r="G59" s="374" t="n">
        <v>0.0075</v>
      </c>
      <c r="H59" s="375" t="n">
        <v>0.0075</v>
      </c>
      <c r="I59" s="375" t="n">
        <v>0.0075</v>
      </c>
      <c r="J59" s="375" t="n">
        <v>0.0075</v>
      </c>
      <c r="K59" s="375" t="n">
        <v>0.0075</v>
      </c>
      <c r="L59" s="375" t="n">
        <v>0.0075</v>
      </c>
      <c r="M59" s="375" t="n">
        <v>0.0075</v>
      </c>
      <c r="N59" s="375" t="n">
        <v>0.0075</v>
      </c>
      <c r="O59" s="376" t="n">
        <v>0.0075</v>
      </c>
      <c r="P59" s="25" t="n"/>
      <c r="Q59" s="226" t="n"/>
      <c r="R59" s="226" t="n"/>
      <c r="S59" s="211" t="n">
        <f t="array" ref="S59">ROW(A59)</f>
        <v>59</v>
      </c>
      <c r="T59" s="253" t="n"/>
      <c r="U59" s="226" t="n"/>
      <c r="V59" s="226" t="n"/>
      <c r="W59" s="226" t="n"/>
      <c r="X59" s="226" t="n"/>
      <c r="Y59" s="226" t="n"/>
      <c r="Z59" s="226" t="n"/>
      <c r="AA59" s="226" t="n"/>
      <c r="AB59" s="226" t="n"/>
      <c r="AC59" s="226" t="n"/>
      <c r="AD59" s="226" t="n"/>
      <c r="AE59" s="227" t="n"/>
    </row>
    <row r="60" s="3154" customFormat="1" ht="13.5" customHeight="1">
      <c r="A60" s="377" t="n"/>
      <c r="B60" s="378" t="n"/>
      <c r="C60" s="378" t="n"/>
      <c r="D60" s="379" t="n"/>
      <c r="E60" s="321" t="n"/>
      <c r="F60" s="3288" t="n"/>
      <c r="G60" s="3289" t="n"/>
      <c r="H60" s="3290" t="n"/>
      <c r="I60" s="3290" t="n"/>
      <c r="J60" s="3290" t="n"/>
      <c r="K60" s="3290" t="n"/>
      <c r="L60" s="3290" t="n"/>
      <c r="M60" s="3290" t="n"/>
      <c r="N60" s="3290" t="n"/>
      <c r="O60" s="3291" t="n"/>
      <c r="P60" s="25" t="n"/>
      <c r="Q60" s="226" t="n"/>
      <c r="R60" s="226" t="n"/>
      <c r="S60" s="211" t="n"/>
      <c r="T60" s="253" t="n"/>
      <c r="U60" s="226" t="n"/>
      <c r="V60" s="226" t="n"/>
      <c r="W60" s="226" t="n"/>
      <c r="X60" s="226" t="n"/>
      <c r="Y60" s="226" t="n"/>
      <c r="Z60" s="226" t="n"/>
      <c r="AA60" s="226" t="n"/>
      <c r="AB60" s="226" t="n"/>
      <c r="AC60" s="226" t="n"/>
      <c r="AD60" s="226" t="n"/>
      <c r="AE60" s="227" t="n"/>
    </row>
    <row r="61" s="3154" customFormat="1" ht="13.5" customHeight="1">
      <c r="A61" s="202" t="inlineStr">
        <is>
          <t xml:space="preserve">FIXED EXPENSES</t>
        </is>
      </c>
      <c r="B61" s="203" t="n"/>
      <c r="C61" s="203" t="n"/>
      <c r="D61" s="384" t="n"/>
      <c r="E61" s="326" t="n"/>
      <c r="F61" s="296" t="inlineStr">
        <is>
          <t xml:space="preserve">INPUT</t>
        </is>
      </c>
      <c r="G61" s="297" t="inlineStr">
        <is>
          <t xml:space="preserve">EXPENSE RATIOS</t>
        </is>
      </c>
      <c r="H61" s="385" t="n"/>
      <c r="I61" s="385" t="n"/>
      <c r="J61" s="385" t="n"/>
      <c r="K61" s="385" t="n"/>
      <c r="L61" s="385" t="n"/>
      <c r="M61" s="385" t="n"/>
      <c r="N61" s="385" t="n"/>
      <c r="O61" s="386" t="n"/>
      <c r="P61" s="25" t="n"/>
      <c r="Q61" s="226" t="n"/>
      <c r="R61" s="226" t="n"/>
      <c r="S61" s="211" t="n">
        <f t="array" ref="S61">ROW(A61)</f>
        <v>61</v>
      </c>
      <c r="T61" s="253" t="n"/>
      <c r="U61" s="226" t="n"/>
      <c r="V61" s="226" t="n"/>
      <c r="W61" s="226" t="n"/>
      <c r="X61" s="226" t="n"/>
      <c r="Y61" s="226" t="n"/>
      <c r="Z61" s="226" t="n"/>
      <c r="AA61" s="226" t="n"/>
      <c r="AB61" s="226" t="n"/>
      <c r="AC61" s="226" t="n"/>
      <c r="AD61" s="226" t="n"/>
      <c r="AE61" s="227" t="n"/>
    </row>
    <row r="62" s="3154" customFormat="1" ht="13.5" customHeight="1">
      <c r="A62" s="387" t="inlineStr">
        <is>
          <t xml:space="preserve">RE Taxes</t>
        </is>
      </c>
      <c r="B62" s="388" t="str"/>
      <c r="C62" s="388" t="n"/>
      <c r="D62" s="389" t="str">
        <f t="array" ref="D62">H84</f>
        <v>Estimated Ann Taxes</v>
      </c>
      <c r="E62" s="303" t="n">
        <v>5</v>
      </c>
      <c r="F62" s="3292" t="n">
        <v>74898</v>
      </c>
      <c r="G62" s="3272" t="n">
        <v>0.1</v>
      </c>
      <c r="H62" s="3273" t="n">
        <v>0.03</v>
      </c>
      <c r="I62" s="3273" t="n">
        <v>0.02</v>
      </c>
      <c r="J62" s="3273" t="n">
        <v>0.02</v>
      </c>
      <c r="K62" s="3273" t="n">
        <v>0.02</v>
      </c>
      <c r="L62" s="3273" t="n">
        <v>0.02</v>
      </c>
      <c r="M62" s="3273" t="n">
        <v>0.02</v>
      </c>
      <c r="N62" s="3273" t="n">
        <v>0.02</v>
      </c>
      <c r="O62" s="3287" t="n">
        <v>0.02</v>
      </c>
      <c r="P62" s="25" t="n"/>
      <c r="Q62" s="226" t="n"/>
      <c r="R62" s="226" t="n"/>
      <c r="S62" s="211" t="n">
        <f t="array" ref="S62">ROW(A62)</f>
        <v>62</v>
      </c>
      <c r="T62" s="253" t="n"/>
      <c r="U62" s="226" t="n"/>
      <c r="V62" s="226" t="n"/>
      <c r="W62" s="226" t="n"/>
      <c r="X62" s="226" t="n"/>
      <c r="Y62" s="226" t="n"/>
      <c r="Z62" s="226" t="n"/>
      <c r="AA62" s="226" t="n"/>
      <c r="AB62" s="226" t="n"/>
      <c r="AC62" s="226" t="n"/>
      <c r="AD62" s="226" t="n"/>
      <c r="AE62" s="227" t="n"/>
    </row>
    <row r="63" s="3154" customFormat="1" ht="13.5" customHeight="1">
      <c r="A63" s="391" t="inlineStr">
        <is>
          <t xml:space="preserve">Leases/HOA Fees</t>
        </is>
      </c>
      <c r="B63" s="392" t="n"/>
      <c r="C63" s="392" t="n"/>
      <c r="D63" s="393" t="inlineStr">
        <is>
          <t xml:space="preserve">Annual Amt</t>
        </is>
      </c>
      <c r="E63" s="314" t="n">
        <v>6</v>
      </c>
      <c r="F63" s="3293" t="n">
        <v>0</v>
      </c>
      <c r="G63" s="3275" t="n">
        <v>0</v>
      </c>
      <c r="H63" s="3276" t="n">
        <v>0</v>
      </c>
      <c r="I63" s="3276" t="n">
        <v>0</v>
      </c>
      <c r="J63" s="3294" t="n">
        <v>0.03</v>
      </c>
      <c r="K63" s="3276" t="n">
        <v>0</v>
      </c>
      <c r="L63" s="3276" t="n">
        <v>0</v>
      </c>
      <c r="M63" s="3276" t="n">
        <v>0</v>
      </c>
      <c r="N63" s="3276" t="n">
        <v>0</v>
      </c>
      <c r="O63" s="3295" t="n">
        <v>0.03</v>
      </c>
      <c r="P63" s="25" t="n"/>
      <c r="Q63" s="226" t="n"/>
      <c r="R63" s="226" t="n"/>
      <c r="S63" s="211" t="n">
        <f t="array" ref="S63">ROW(A63)</f>
        <v>63</v>
      </c>
      <c r="T63" s="253" t="n"/>
      <c r="U63" s="226" t="n"/>
      <c r="V63" s="226" t="n"/>
      <c r="W63" s="226" t="n"/>
      <c r="X63" s="226" t="n"/>
      <c r="Y63" s="226" t="n"/>
      <c r="Z63" s="226" t="n"/>
      <c r="AA63" s="226" t="n"/>
      <c r="AB63" s="226" t="n"/>
      <c r="AC63" s="226" t="n"/>
      <c r="AD63" s="226" t="n"/>
      <c r="AE63" s="227" t="n"/>
    </row>
    <row r="64" s="3154" customFormat="1" ht="13.5" customHeight="1">
      <c r="A64" s="391" t="inlineStr">
        <is>
          <t xml:space="preserve">Insurance</t>
        </is>
      </c>
      <c r="B64" s="392" t="n"/>
      <c r="C64" s="392" t="n"/>
      <c r="D64" s="393" t="inlineStr">
        <is>
          <t xml:space="preserve">Annual Amt</t>
        </is>
      </c>
      <c r="E64" s="314" t="n"/>
      <c r="F64" s="3296" t="n">
        <v>51100</v>
      </c>
      <c r="G64" s="3275" t="n">
        <v>0.02</v>
      </c>
      <c r="H64" s="3276" t="n">
        <v>0.02</v>
      </c>
      <c r="I64" s="3276" t="n">
        <v>0.02</v>
      </c>
      <c r="J64" s="3276" t="n">
        <v>0.02</v>
      </c>
      <c r="K64" s="3276" t="n">
        <v>0.02</v>
      </c>
      <c r="L64" s="3276" t="n">
        <v>0.02</v>
      </c>
      <c r="M64" s="3276" t="n">
        <v>0.02</v>
      </c>
      <c r="N64" s="3276" t="n">
        <v>0.02</v>
      </c>
      <c r="O64" s="3277" t="n">
        <v>0.02</v>
      </c>
      <c r="P64" s="25" t="n"/>
      <c r="Q64" s="226" t="n"/>
      <c r="R64" s="226" t="n"/>
      <c r="S64" s="211" t="n">
        <f t="array" ref="S64">ROW(A64)</f>
        <v>64</v>
      </c>
      <c r="T64" s="253" t="n"/>
      <c r="U64" s="226" t="n"/>
      <c r="V64" s="226" t="n"/>
      <c r="W64" s="226" t="n"/>
      <c r="X64" s="226" t="n"/>
      <c r="Y64" s="226" t="n"/>
      <c r="Z64" s="226" t="n"/>
      <c r="AA64" s="226" t="n"/>
      <c r="AB64" s="226" t="n"/>
      <c r="AC64" s="226" t="n"/>
      <c r="AD64" s="226" t="n"/>
      <c r="AE64" s="227" t="n"/>
    </row>
    <row r="65" s="3154" customFormat="1" ht="13.5" customHeight="1">
      <c r="A65" s="398" t="inlineStr">
        <is>
          <t xml:space="preserve">Reserves for Replacement</t>
        </is>
      </c>
      <c r="B65" s="399" t="n"/>
      <c r="C65" s="399" t="n"/>
      <c r="D65" s="400" t="inlineStr">
        <is>
          <t xml:space="preserve">% Total Rev</t>
        </is>
      </c>
      <c r="E65" s="360" t="n"/>
      <c r="F65" s="3297" t="n">
        <v>0.02</v>
      </c>
      <c r="G65" s="3280" t="n">
        <v>0.03</v>
      </c>
      <c r="H65" s="3281" t="n">
        <v>0.04</v>
      </c>
      <c r="I65" s="3281" t="n">
        <v>0.04</v>
      </c>
      <c r="J65" s="3281" t="n">
        <v>0.04</v>
      </c>
      <c r="K65" s="3281" t="n">
        <v>0.04</v>
      </c>
      <c r="L65" s="3281" t="n">
        <v>0.04</v>
      </c>
      <c r="M65" s="3281" t="n">
        <v>0.04</v>
      </c>
      <c r="N65" s="3281" t="n">
        <v>0.04</v>
      </c>
      <c r="O65" s="3282" t="n">
        <v>0.04</v>
      </c>
      <c r="P65" s="25" t="n"/>
      <c r="Q65" s="226" t="n"/>
      <c r="R65" s="226" t="n"/>
      <c r="S65" s="211" t="n">
        <f t="array" ref="S65">ROW(A65)</f>
        <v>65</v>
      </c>
      <c r="T65" s="226" t="n"/>
      <c r="U65" s="226" t="n"/>
      <c r="V65" s="226" t="n"/>
      <c r="W65" s="226" t="n"/>
      <c r="X65" s="226" t="n"/>
      <c r="Y65" s="226" t="n"/>
      <c r="Z65" s="226" t="n"/>
      <c r="AA65" s="226" t="n"/>
      <c r="AB65" s="226" t="n"/>
      <c r="AC65" s="226" t="n"/>
      <c r="AD65" s="226" t="n"/>
      <c r="AE65" s="227" t="n"/>
    </row>
    <row r="66" s="3154" customFormat="1" ht="13.5" customHeight="1">
      <c r="A66" s="402" t="n"/>
      <c r="B66" s="158" t="n"/>
      <c r="C66" s="158" t="n"/>
      <c r="D66" s="158" t="n"/>
      <c r="E66" s="403" t="n"/>
      <c r="F66" s="403" t="n"/>
      <c r="G66" s="403" t="n"/>
      <c r="H66" s="403" t="n"/>
      <c r="I66" s="403" t="n"/>
      <c r="J66" s="403" t="n"/>
      <c r="K66" s="403" t="n"/>
      <c r="L66" s="403" t="n"/>
      <c r="M66" s="403" t="n"/>
      <c r="N66" s="403" t="n"/>
      <c r="O66" s="404" t="n"/>
      <c r="P66" s="25" t="n"/>
      <c r="Q66" s="26" t="n"/>
      <c r="R66" s="26" t="n"/>
      <c r="S66" s="405" t="n"/>
      <c r="T66" s="26" t="n"/>
      <c r="U66" s="26" t="n"/>
      <c r="V66" s="26" t="n"/>
      <c r="W66" s="26" t="n"/>
      <c r="X66" s="26" t="n"/>
      <c r="Y66" s="26" t="n"/>
      <c r="Z66" s="26" t="n"/>
      <c r="AA66" s="26" t="n"/>
      <c r="AB66" s="26" t="n"/>
      <c r="AC66" s="26" t="n"/>
      <c r="AD66" s="26" t="n"/>
      <c r="AE66" s="27" t="n"/>
    </row>
    <row r="67" s="3154" customFormat="1" ht="13.5" customHeight="1">
      <c r="A67" s="202" t="inlineStr">
        <is>
          <t xml:space="preserve">OPERATIONAL NOTES</t>
        </is>
      </c>
      <c r="B67" s="203" t="n"/>
      <c r="C67" s="203" t="n"/>
      <c r="D67" s="203" t="n"/>
      <c r="E67" s="298" t="n"/>
      <c r="F67" s="298" t="n"/>
      <c r="G67" s="298" t="n"/>
      <c r="H67" s="298" t="n"/>
      <c r="I67" s="298" t="n"/>
      <c r="J67" s="298" t="n"/>
      <c r="K67" s="298" t="n"/>
      <c r="L67" s="298" t="n"/>
      <c r="M67" s="298" t="n"/>
      <c r="N67" s="298" t="n"/>
      <c r="O67" s="299" t="n"/>
      <c r="P67" s="25" t="n"/>
      <c r="Q67" s="26" t="n"/>
      <c r="R67" s="26" t="n"/>
      <c r="S67" s="405" t="n"/>
      <c r="T67" s="26" t="n"/>
      <c r="U67" s="26" t="n"/>
      <c r="V67" s="26" t="n"/>
      <c r="W67" s="26" t="n"/>
      <c r="X67" s="26" t="n"/>
      <c r="Y67" s="26" t="n"/>
      <c r="Z67" s="26" t="n"/>
      <c r="AA67" s="26" t="n"/>
      <c r="AB67" s="26" t="n"/>
      <c r="AC67" s="26" t="n"/>
      <c r="AD67" s="26" t="n"/>
      <c r="AE67" s="27" t="n"/>
    </row>
    <row r="68" s="3154" customFormat="1" ht="13.5" customHeight="1">
      <c r="A68" s="4514" t="inlineStr">
        <is>
          <t xml:space="preserve">Self-service ops case</t>
        </is>
      </c>
      <c r="B68" s="4515" t="inlineStr">
        <is>
          <t xml:space="preserve">Rooms department expense ratio reset to 20.0% / 18.5% / 17.5% stabilized based on remote check-in, off-site laundry, and no staffed front desk/laundry roles.</t>
        </is>
      </c>
      <c r="C68" s="407" t="n"/>
      <c r="D68" s="407" t="n"/>
      <c r="E68" s="408" t="n"/>
      <c r="F68" s="408" t="n"/>
      <c r="G68" s="408" t="n"/>
      <c r="H68" s="408" t="n"/>
      <c r="I68" s="408" t="n"/>
      <c r="J68" s="408" t="n"/>
      <c r="K68" s="408" t="n"/>
      <c r="L68" s="408" t="n"/>
      <c r="M68" s="408" t="n"/>
      <c r="N68" s="408" t="n"/>
      <c r="O68" s="409" t="n"/>
      <c r="P68" s="25" t="n"/>
      <c r="Q68" s="26" t="n"/>
      <c r="R68" s="26" t="n"/>
      <c r="S68" s="405" t="n"/>
      <c r="T68" s="26" t="n"/>
      <c r="U68" s="26" t="n"/>
      <c r="V68" s="26" t="n"/>
      <c r="W68" s="26" t="n"/>
      <c r="X68" s="26" t="n"/>
      <c r="Y68" s="26" t="n"/>
      <c r="Z68" s="26" t="n"/>
      <c r="AA68" s="26" t="n"/>
      <c r="AB68" s="26" t="n"/>
      <c r="AC68" s="26" t="n"/>
      <c r="AD68" s="26" t="n"/>
      <c r="AE68" s="27" t="n"/>
    </row>
    <row r="69" s="3154" customFormat="1" ht="13.5" customHeight="1">
      <c r="A69" s="3298" t="n"/>
      <c r="B69" s="4515" t="inlineStr">
        <is>
          <t xml:space="preserve">See Sandbox-Ops for the CPOR reality check: $20 CPOR and &lt;18% of room revenue are different metrics at the current ADR.</t>
        </is>
      </c>
      <c r="C69" s="407" t="n"/>
      <c r="D69" s="407" t="n"/>
      <c r="E69" s="408" t="n"/>
      <c r="F69" s="408" t="n"/>
      <c r="G69" s="408" t="n"/>
      <c r="H69" s="408" t="n"/>
      <c r="I69" s="408" t="n"/>
      <c r="J69" s="408" t="n"/>
      <c r="K69" s="408" t="n"/>
      <c r="L69" s="408" t="n"/>
      <c r="M69" s="408" t="n"/>
      <c r="N69" s="408" t="n"/>
      <c r="O69" s="409" t="n"/>
      <c r="P69" s="25" t="n"/>
      <c r="Q69" s="26" t="n"/>
      <c r="R69" s="26" t="n"/>
      <c r="S69" s="405" t="n"/>
      <c r="T69" s="26" t="n"/>
      <c r="U69" s="26" t="n"/>
      <c r="V69" s="26" t="n"/>
      <c r="W69" s="26" t="n"/>
      <c r="X69" s="26" t="n"/>
      <c r="Y69" s="26" t="n"/>
      <c r="Z69" s="26" t="n"/>
      <c r="AA69" s="26" t="n"/>
      <c r="AB69" s="26" t="n"/>
      <c r="AC69" s="26" t="n"/>
      <c r="AD69" s="26" t="n"/>
      <c r="AE69" s="27" t="n"/>
    </row>
    <row r="70" s="3154" customFormat="1" ht="13.5" customHeight="1">
      <c r="A70" s="410" t="inlineStr">
        <is>
          <t xml:space="preserve">ROOM MIX / BUILDING PROGRAM (100 KEYS / 4 FLOORS)</t>
        </is>
      </c>
      <c r="B70" s="407" t="n"/>
      <c r="C70" s="407" t="n"/>
      <c r="D70" s="407" t="n"/>
      <c r="E70" s="408" t="n"/>
      <c r="F70" s="408" t="n"/>
      <c r="G70" s="408" t="n"/>
      <c r="H70" s="408" t="n"/>
      <c r="I70" s="408" t="n"/>
      <c r="J70" s="408" t="n"/>
      <c r="K70" s="408" t="n"/>
      <c r="L70" s="408" t="n"/>
      <c r="M70" s="408" t="n"/>
      <c r="N70" s="408" t="n"/>
      <c r="O70" s="409" t="n"/>
      <c r="P70" s="25" t="n"/>
      <c r="Q70" s="26" t="n"/>
      <c r="R70" s="26" t="n"/>
      <c r="S70" s="405" t="n"/>
      <c r="T70" s="26" t="n"/>
      <c r="U70" s="26" t="n"/>
      <c r="V70" s="26" t="n"/>
      <c r="W70" s="26" t="n"/>
      <c r="X70" s="26" t="n"/>
      <c r="Y70" s="26" t="n"/>
      <c r="Z70" s="26" t="n"/>
      <c r="AA70" s="26" t="n"/>
      <c r="AB70" s="26" t="n"/>
      <c r="AC70" s="26" t="n"/>
      <c r="AD70" s="26" t="n"/>
      <c r="AE70" s="27" t="n"/>
    </row>
    <row r="71" s="3154" customFormat="1" ht="13.5" customHeight="1">
      <c r="A71" s="411" t="inlineStr">
        <is>
          <t xml:space="preserve">Floor</t>
        </is>
      </c>
      <c r="B71" s="412" t="inlineStr">
        <is>
          <t xml:space="preserve">Room Type</t>
        </is>
      </c>
      <c r="C71" s="412" t="inlineStr">
        <is>
          <t xml:space="preserve">Keys</t>
        </is>
      </c>
      <c r="D71" s="412" t="inlineStr">
        <is>
          <t xml:space="preserve">ADR</t>
        </is>
      </c>
      <c r="E71" s="408" t="n"/>
      <c r="F71" s="408" t="inlineStr">
        <is>
          <t xml:space="preserve">Bathroom / Floor Driver</t>
        </is>
      </c>
      <c r="G71" s="408" t="inlineStr">
        <is>
          <t xml:space="preserve">Count</t>
        </is>
      </c>
      <c r="H71" s="408" t="inlineStr">
        <is>
          <t xml:space="preserve">Budget Link</t>
        </is>
      </c>
      <c r="I71" s="408" t="n"/>
      <c r="J71" s="408" t="n"/>
      <c r="K71" s="408" t="n"/>
      <c r="L71" s="408" t="n"/>
      <c r="M71" s="408" t="n"/>
      <c r="N71" s="408" t="n"/>
      <c r="O71" s="409" t="n"/>
      <c r="P71" s="25" t="n"/>
      <c r="Q71" s="26" t="n"/>
      <c r="R71" s="26" t="n"/>
      <c r="S71" s="405" t="n"/>
      <c r="T71" s="26" t="n"/>
      <c r="U71" s="26" t="n"/>
      <c r="V71" s="26" t="n"/>
      <c r="W71" s="26" t="n"/>
      <c r="X71" s="26" t="n"/>
      <c r="Y71" s="26" t="n"/>
      <c r="Z71" s="26" t="n"/>
      <c r="AA71" s="26" t="n"/>
      <c r="AB71" s="26" t="n"/>
      <c r="AC71" s="26" t="n"/>
      <c r="AD71" s="26" t="n"/>
      <c r="AE71" s="27" t="n"/>
    </row>
    <row r="72" s="3154" customFormat="1" ht="13.5" customHeight="1">
      <c r="A72" s="413" t="inlineStr">
        <is>
          <t xml:space="preserve">1-4</t>
        </is>
      </c>
      <c r="B72" s="256" t="inlineStr">
        <is>
          <t xml:space="preserve">Economy Plus</t>
        </is>
      </c>
      <c r="C72" s="4541" t="n">
        <v>50</v>
      </c>
      <c r="D72" s="4542" t="n">
        <v>89</v>
      </c>
      <c r="E72" s="408" t="n"/>
      <c r="F72" s="408" t="inlineStr">
        <is>
          <t xml:space="preserve">Economy Plus private ensuite bathrooms</t>
        </is>
      </c>
      <c r="G72" s="408" t="n">
        <f>C72</f>
        <v>50</v>
      </c>
      <c r="H72" s="408" t="inlineStr">
        <is>
          <t xml:space="preserve">1 private bath per Economy Plus room</t>
        </is>
      </c>
      <c r="I72" s="408" t="n"/>
      <c r="J72" s="408" t="n"/>
      <c r="K72" s="408" t="n"/>
      <c r="L72" s="408" t="n"/>
      <c r="M72" s="408" t="n"/>
      <c r="N72" s="408" t="n"/>
      <c r="O72" s="409" t="n"/>
      <c r="P72" s="25" t="n"/>
      <c r="Q72" s="26" t="n"/>
      <c r="R72" s="26" t="n"/>
      <c r="S72" s="405" t="n"/>
      <c r="T72" s="26" t="n"/>
      <c r="U72" s="26" t="n"/>
      <c r="V72" s="26" t="n"/>
      <c r="W72" s="26" t="n"/>
      <c r="X72" s="26" t="n"/>
      <c r="Y72" s="26" t="n"/>
      <c r="Z72" s="26" t="n"/>
      <c r="AA72" s="26" t="n"/>
      <c r="AB72" s="26" t="n"/>
      <c r="AC72" s="26" t="n"/>
      <c r="AD72" s="26" t="n"/>
      <c r="AE72" s="27" t="n"/>
    </row>
    <row r="73" s="3154" customFormat="1" ht="13.5" customHeight="1">
      <c r="A73" s="413" t="inlineStr">
        <is>
          <t xml:space="preserve">1-4</t>
        </is>
      </c>
      <c r="B73" s="256" t="inlineStr">
        <is>
          <t xml:space="preserve">Economy</t>
        </is>
      </c>
      <c r="C73" s="4541" t="n">
        <v>50</v>
      </c>
      <c r="D73" s="4542" t="n">
        <v>59</v>
      </c>
      <c r="E73" s="408" t="n"/>
      <c r="F73" s="408" t="inlineStr">
        <is>
          <t xml:space="preserve">Economy shared bathrooms</t>
        </is>
      </c>
      <c r="G73" s="408" t="n">
        <f>ROUNDUP(C73/5,0)</f>
        <v>10</v>
      </c>
      <c r="H73" s="408" t="inlineStr">
        <is>
          <t xml:space="preserve">1 shared bath per 5 Economy rooms</t>
        </is>
      </c>
      <c r="I73" s="408" t="n"/>
      <c r="J73" s="408" t="n"/>
      <c r="K73" s="408" t="n"/>
      <c r="L73" s="408" t="n"/>
      <c r="M73" s="408" t="n"/>
      <c r="N73" s="408" t="n"/>
      <c r="O73" s="409" t="n"/>
      <c r="P73" s="25" t="n"/>
      <c r="Q73" s="26" t="n"/>
      <c r="R73" s="26" t="n"/>
      <c r="S73" s="405" t="n"/>
      <c r="T73" s="26" t="n"/>
      <c r="U73" s="26" t="n"/>
      <c r="V73" s="26" t="n"/>
      <c r="W73" s="26" t="n"/>
      <c r="X73" s="26" t="n"/>
      <c r="Y73" s="26" t="n"/>
      <c r="Z73" s="26" t="n"/>
      <c r="AA73" s="26" t="n"/>
      <c r="AB73" s="26" t="n"/>
      <c r="AC73" s="26" t="n"/>
      <c r="AD73" s="26" t="n"/>
      <c r="AE73" s="27" t="n"/>
    </row>
    <row r="74" s="3154" customFormat="1" ht="13.5" customHeight="1">
      <c r="A74" s="413" t="n"/>
      <c r="B74" s="256" t="n"/>
      <c r="C74" s="407" t="n"/>
      <c r="D74" s="3301" t="n"/>
      <c r="E74" s="408" t="n"/>
      <c r="F74" s="408" t="inlineStr">
        <is>
          <t xml:space="preserve">Total modeled full bathrooms</t>
        </is>
      </c>
      <c r="G74" s="408" t="n">
        <f>SUM(G72:G73)</f>
        <v>60</v>
      </c>
      <c r="H74" s="408" t="inlineStr">
        <is>
          <t xml:space="preserve">Private ensuite + shared Economy baths</t>
        </is>
      </c>
      <c r="I74" s="408" t="n"/>
      <c r="J74" s="408" t="n"/>
      <c r="K74" s="408" t="n"/>
      <c r="L74" s="408" t="n"/>
      <c r="M74" s="408" t="n"/>
      <c r="N74" s="408" t="n"/>
      <c r="O74" s="409" t="n"/>
      <c r="P74" s="25" t="n"/>
      <c r="Q74" s="26" t="n"/>
      <c r="R74" s="26" t="n"/>
      <c r="S74" s="405" t="n"/>
      <c r="T74" s="26" t="n"/>
      <c r="U74" s="26" t="n"/>
      <c r="V74" s="26" t="n"/>
      <c r="W74" s="26" t="n"/>
      <c r="X74" s="26" t="n"/>
      <c r="Y74" s="26" t="n"/>
      <c r="Z74" s="26" t="n"/>
      <c r="AA74" s="26" t="n"/>
      <c r="AB74" s="26" t="n"/>
      <c r="AC74" s="26" t="n"/>
      <c r="AD74" s="26" t="n"/>
      <c r="AE74" s="27" t="n"/>
    </row>
    <row r="75" s="3154" customFormat="1" ht="13.5" customHeight="1">
      <c r="A75" s="254" t="inlineStr">
        <is>
          <t xml:space="preserve">TOTAL / BLENDED</t>
        </is>
      </c>
      <c r="B75" s="407" t="n"/>
      <c r="C75" s="3299" t="n">
        <f>SUM(C72:C73)</f>
        <v>100</v>
      </c>
      <c r="D75" s="3302" t="n">
        <f>(C72*D72+C73*D73)/C75</f>
        <v>74</v>
      </c>
      <c r="E75" s="408" t="n"/>
      <c r="F75" s="408" t="inlineStr">
        <is>
          <t xml:space="preserve">Floor plate gross sq ft</t>
        </is>
      </c>
      <c r="G75" s="408" t="n">
        <v>4258.54</v>
      </c>
      <c r="H75" s="408" t="inlineStr">
        <is>
          <t xml:space="preserve">User-provided 2026-05-31 box incl. stairwell/core</t>
        </is>
      </c>
      <c r="I75" s="408" t="n"/>
      <c r="J75" s="408" t="n"/>
      <c r="K75" s="408" t="n"/>
      <c r="L75" s="408" t="n"/>
      <c r="M75" s="408" t="n"/>
      <c r="N75" s="408" t="n"/>
      <c r="O75" s="409" t="n"/>
      <c r="P75" s="25" t="n"/>
      <c r="Q75" s="26" t="n"/>
      <c r="R75" s="26" t="n"/>
      <c r="S75" s="405" t="n"/>
      <c r="T75" s="26" t="n"/>
      <c r="U75" s="26" t="n"/>
      <c r="V75" s="26" t="n"/>
      <c r="W75" s="26" t="n"/>
      <c r="X75" s="26" t="n"/>
      <c r="Y75" s="26" t="n"/>
      <c r="Z75" s="26" t="n"/>
      <c r="AA75" s="26" t="n"/>
      <c r="AB75" s="26" t="n"/>
      <c r="AC75" s="26" t="n"/>
      <c r="AD75" s="26" t="n"/>
      <c r="AE75" s="27" t="n"/>
    </row>
    <row r="76" s="3154" customFormat="1" ht="13.5" customHeight="1">
      <c r="A76" s="3303" t="n"/>
      <c r="B76" s="407" t="n"/>
      <c r="C76" s="407" t="n"/>
      <c r="D76" s="407" t="n"/>
      <c r="E76" s="408" t="n"/>
      <c r="F76" s="408" t="inlineStr">
        <is>
          <t xml:space="preserve">Floors</t>
        </is>
      </c>
      <c r="G76" s="408" t="n">
        <v>4</v>
      </c>
      <c r="H76" s="408" t="inlineStr">
        <is>
          <t xml:space="preserve">Four-floor 100-room program</t>
        </is>
      </c>
      <c r="I76" s="408" t="n"/>
      <c r="J76" s="408" t="n"/>
      <c r="K76" s="408" t="n"/>
      <c r="L76" s="408" t="n"/>
      <c r="M76" s="408" t="n"/>
      <c r="N76" s="408" t="n"/>
      <c r="O76" s="409" t="n"/>
      <c r="P76" s="25" t="n"/>
      <c r="Q76" s="26" t="n"/>
      <c r="R76" s="26" t="n"/>
      <c r="S76" s="405" t="n"/>
      <c r="T76" s="26" t="n"/>
      <c r="U76" s="26" t="n"/>
      <c r="V76" s="26" t="n"/>
      <c r="W76" s="26" t="n"/>
      <c r="X76" s="26" t="n"/>
      <c r="Y76" s="26" t="n"/>
      <c r="Z76" s="26" t="n"/>
      <c r="AA76" s="26" t="n"/>
      <c r="AB76" s="26" t="n"/>
      <c r="AC76" s="26" t="n"/>
      <c r="AD76" s="26" t="n"/>
      <c r="AE76" s="27" t="n"/>
    </row>
    <row r="77" s="3154" customFormat="1" ht="13.5" customHeight="1">
      <c r="A77" s="417" t="str">
        <v>Note: blended ADR computed at 100% occupancy; change C72:D73 for the 50/50 room mix / ADR.</v>
      </c>
      <c r="B77" s="407" t="n"/>
      <c r="C77" s="407" t="n"/>
      <c r="D77" s="407" t="n"/>
      <c r="E77" s="408" t="n"/>
      <c r="F77" s="408" t="inlineStr">
        <is>
          <t xml:space="preserve">Total building gross sq ft</t>
        </is>
      </c>
      <c r="G77" s="408" t="n">
        <f>G75*G76</f>
        <v>17034.16</v>
      </c>
      <c r="H77" s="408" t="inlineStr">
        <is>
          <t xml:space="preserve">Flows to Assumptions!J8 / construction budget</t>
        </is>
      </c>
      <c r="I77" s="408" t="n"/>
      <c r="J77" s="408" t="n"/>
      <c r="K77" s="408" t="n"/>
      <c r="L77" s="408" t="n"/>
      <c r="M77" s="408" t="n"/>
      <c r="N77" s="408" t="n"/>
      <c r="O77" s="409" t="n"/>
      <c r="P77" s="25" t="n"/>
      <c r="Q77" s="26" t="n"/>
      <c r="R77" s="26" t="n"/>
      <c r="S77" s="405" t="n"/>
      <c r="T77" s="26" t="n"/>
      <c r="U77" s="26" t="n"/>
      <c r="V77" s="26" t="n"/>
      <c r="W77" s="26" t="n"/>
      <c r="X77" s="26" t="n"/>
      <c r="Y77" s="26" t="n"/>
      <c r="Z77" s="26" t="n"/>
      <c r="AA77" s="26" t="n"/>
      <c r="AB77" s="26" t="n"/>
      <c r="AC77" s="26" t="n"/>
      <c r="AD77" s="26" t="n"/>
      <c r="AE77" s="27" t="n"/>
    </row>
    <row r="78" s="3154" customFormat="1" ht="13.5" customHeight="1">
      <c r="A78" s="418" t="inlineStr">
        <is>
          <t xml:space="preserve">4 floors x 4,258.54 GSF/floor = 17,034.16 GSF; includes stairwell/core within the building box; 170.34 GSF/key.</t>
        </is>
      </c>
      <c r="B78" s="419" t="n"/>
      <c r="C78" s="419" t="n"/>
      <c r="D78" s="419" t="n"/>
      <c r="E78" s="420" t="n"/>
      <c r="F78" s="420" t="n"/>
      <c r="G78" s="420" t="n"/>
      <c r="H78" s="420" t="n"/>
      <c r="I78" s="420" t="n"/>
      <c r="J78" s="420" t="n"/>
      <c r="K78" s="420" t="n"/>
      <c r="L78" s="420" t="n"/>
      <c r="M78" s="420" t="n"/>
      <c r="N78" s="420" t="n"/>
      <c r="O78" s="421" t="n"/>
      <c r="P78" s="25" t="n"/>
      <c r="Q78" s="26" t="n"/>
      <c r="R78" s="26" t="n"/>
      <c r="S78" s="405" t="n"/>
      <c r="T78" s="26" t="n"/>
      <c r="U78" s="26" t="n"/>
      <c r="V78" s="26" t="n"/>
      <c r="W78" s="26" t="n"/>
      <c r="X78" s="26" t="n"/>
      <c r="Y78" s="26" t="n"/>
      <c r="Z78" s="26" t="n"/>
      <c r="AA78" s="26" t="n"/>
      <c r="AB78" s="26" t="n"/>
      <c r="AC78" s="26" t="n"/>
      <c r="AD78" s="26" t="n"/>
      <c r="AE78" s="27" t="n"/>
    </row>
    <row r="79" s="3154" customFormat="1" ht="13.5" customHeight="1">
      <c r="A79" s="402" t="n"/>
      <c r="B79" s="158" t="n"/>
      <c r="C79" s="158" t="n"/>
      <c r="D79" s="158" t="n"/>
      <c r="E79" s="403" t="n"/>
      <c r="F79" s="403" t="n"/>
      <c r="G79" s="403" t="n"/>
      <c r="H79" s="403" t="n"/>
      <c r="I79" s="403" t="n"/>
      <c r="J79" s="403" t="n"/>
      <c r="K79" s="403" t="n"/>
      <c r="L79" s="403" t="n"/>
      <c r="M79" s="403" t="n"/>
      <c r="N79" s="403" t="n"/>
      <c r="O79" s="403" t="n"/>
      <c r="P79" s="26" t="n"/>
      <c r="Q79" s="26" t="n"/>
      <c r="R79" s="26" t="n"/>
      <c r="S79" s="405" t="n"/>
      <c r="T79" s="26" t="n"/>
      <c r="U79" s="26" t="n"/>
      <c r="V79" s="26" t="n"/>
      <c r="W79" s="26" t="n"/>
      <c r="X79" s="26" t="n"/>
      <c r="Y79" s="26" t="n"/>
      <c r="Z79" s="26" t="n"/>
      <c r="AA79" s="26" t="n"/>
      <c r="AB79" s="26" t="n"/>
      <c r="AC79" s="26" t="n"/>
      <c r="AD79" s="26" t="n"/>
      <c r="AE79" s="27" t="n"/>
    </row>
    <row r="80" s="3154" customFormat="1" ht="13.5" customHeight="1">
      <c r="A80" s="194" t="n"/>
      <c r="B80" s="163" t="n"/>
      <c r="C80" s="163" t="n"/>
      <c r="D80" s="163" t="n"/>
      <c r="E80" s="422" t="n"/>
      <c r="F80" s="422" t="n"/>
      <c r="G80" s="422" t="n"/>
      <c r="H80" s="422" t="n"/>
      <c r="I80" s="422" t="n"/>
      <c r="J80" s="422" t="n"/>
      <c r="K80" s="422" t="n"/>
      <c r="L80" s="422" t="n"/>
      <c r="M80" s="422" t="n"/>
      <c r="N80" s="422" t="n"/>
      <c r="O80" s="422" t="n"/>
      <c r="P80" s="26" t="n"/>
      <c r="Q80" s="26" t="n"/>
      <c r="R80" s="26" t="n"/>
      <c r="S80" s="405" t="n"/>
      <c r="T80" s="26" t="n"/>
      <c r="U80" s="26" t="n"/>
      <c r="V80" s="26" t="n"/>
      <c r="W80" s="26" t="n"/>
      <c r="X80" s="26" t="n"/>
      <c r="Y80" s="26" t="n"/>
      <c r="Z80" s="26" t="n"/>
      <c r="AA80" s="26" t="n"/>
      <c r="AB80" s="26" t="n"/>
      <c r="AC80" s="26" t="n"/>
      <c r="AD80" s="26" t="n"/>
      <c r="AE80" s="27" t="n"/>
    </row>
    <row r="81" s="3154" customFormat="1" ht="13.5" customHeight="1">
      <c r="A81" s="245" t="inlineStr">
        <is>
          <t xml:space="preserve">REAL ESTATE TAX CALCULATION</t>
        </is>
      </c>
      <c r="B81" s="246" t="n"/>
      <c r="C81" s="246" t="n"/>
      <c r="D81" s="246" t="n"/>
      <c r="E81" s="251" t="n"/>
      <c r="F81" s="251" t="n"/>
      <c r="G81" s="251" t="n"/>
      <c r="H81" s="251" t="n"/>
      <c r="I81" s="251" t="n"/>
      <c r="J81" s="251" t="n"/>
      <c r="K81" s="251" t="n"/>
      <c r="L81" s="251" t="n"/>
      <c r="M81" s="251" t="n"/>
      <c r="N81" s="251" t="n"/>
      <c r="O81" s="252" t="n"/>
      <c r="P81" s="288" t="n"/>
      <c r="Q81" s="26" t="n"/>
      <c r="R81" s="26" t="n"/>
      <c r="S81" s="405" t="n"/>
      <c r="T81" s="26" t="n"/>
      <c r="U81" s="26" t="n"/>
      <c r="V81" s="26" t="n"/>
      <c r="W81" s="26" t="n"/>
      <c r="X81" s="26" t="n"/>
      <c r="Y81" s="26" t="n"/>
      <c r="Z81" s="26" t="n"/>
      <c r="AA81" s="26" t="n"/>
      <c r="AB81" s="26" t="n"/>
      <c r="AC81" s="26" t="n"/>
      <c r="AD81" s="26" t="n"/>
      <c r="AE81" s="27" t="n"/>
    </row>
    <row r="82" s="3154" customFormat="1" ht="13.5" customHeight="1">
      <c r="A82" s="423" t="inlineStr">
        <is>
          <t xml:space="preserve">NOI w/out Taxes (Yr 1)</t>
        </is>
      </c>
      <c r="B82" s="424" t="n"/>
      <c r="C82" s="424" t="n"/>
      <c r="D82" s="3304" t="e">
        <f t="array" ref="D82">'Hotel Operating'!C34-'Hotel Operating'!C43-'Hotel Operating'!C55-'Hotel Operating'!C56</f>
      </c>
      <c r="E82" s="405" t="n"/>
      <c r="F82" s="426" t="inlineStr">
        <is>
          <t xml:space="preserve">Taxes Upon Sale</t>
        </is>
      </c>
      <c r="G82" s="424" t="n"/>
      <c r="H82" s="424" t="n"/>
      <c r="I82" s="3305" t="e">
        <f t="array" ref="I82">D88*D84</f>
      </c>
      <c r="J82" s="405" t="n"/>
      <c r="K82" s="405" t="n"/>
      <c r="L82" s="405" t="n"/>
      <c r="M82" s="405" t="n"/>
      <c r="N82" s="405" t="n"/>
      <c r="O82" s="428" t="n"/>
      <c r="P82" s="288" t="n"/>
      <c r="Q82" s="26" t="n"/>
      <c r="R82" s="429" t="inlineStr">
        <is>
          <t xml:space="preserve">PICK LIST</t>
        </is>
      </c>
      <c r="S82" s="405" t="n"/>
      <c r="T82" s="26" t="n"/>
      <c r="U82" s="26" t="n"/>
      <c r="V82" s="26" t="n"/>
      <c r="W82" s="26" t="n"/>
      <c r="X82" s="26" t="n"/>
      <c r="Y82" s="26" t="n"/>
      <c r="Z82" s="26" t="n"/>
      <c r="AA82" s="26" t="n"/>
      <c r="AB82" s="26" t="n"/>
      <c r="AC82" s="26" t="n"/>
      <c r="AD82" s="26" t="n"/>
      <c r="AE82" s="27" t="n"/>
    </row>
    <row r="83" s="3154" customFormat="1" ht="15" customHeight="1">
      <c r="A83" s="423" t="inlineStr">
        <is>
          <t xml:space="preserve">Target Cap Rate</t>
        </is>
      </c>
      <c r="B83" s="424" t="n"/>
      <c r="C83" s="424" t="n"/>
      <c r="D83" s="430" t="n">
        <f t="array" ref="D83">D134</f>
        <v>0.085</v>
      </c>
      <c r="E83" s="405" t="n"/>
      <c r="F83" s="426" t="inlineStr">
        <is>
          <t xml:space="preserve">Esimated Annual Taxes</t>
        </is>
      </c>
      <c r="G83" s="424" t="n"/>
      <c r="H83" s="424" t="n"/>
      <c r="I83" s="3306" t="n">
        <f t="array" ref="I83">950*J7</f>
        <v>95000</v>
      </c>
      <c r="J83" s="405" t="n"/>
      <c r="K83" s="405" t="n"/>
      <c r="L83" s="405" t="n"/>
      <c r="M83" s="405" t="n"/>
      <c r="N83" s="405" t="n"/>
      <c r="O83" s="428" t="n"/>
      <c r="P83" s="25" t="n"/>
      <c r="Q83" s="26" t="n"/>
      <c r="R83" s="160" t="inlineStr">
        <is>
          <t xml:space="preserve">Taxes Upon Sale</t>
        </is>
      </c>
      <c r="S83" s="405" t="n"/>
      <c r="T83" s="26" t="n"/>
      <c r="U83" s="26" t="n"/>
      <c r="V83" s="26" t="n"/>
      <c r="W83" s="26" t="n"/>
      <c r="X83" s="26" t="n"/>
      <c r="Y83" s="26" t="n"/>
      <c r="Z83" s="26" t="n"/>
      <c r="AA83" s="26" t="n"/>
      <c r="AB83" s="26" t="n"/>
      <c r="AC83" s="26" t="n"/>
      <c r="AD83" s="26" t="n"/>
      <c r="AE83" s="27" t="n"/>
    </row>
    <row r="84" s="3154" customFormat="1" ht="13.5" customHeight="1">
      <c r="A84" s="423" t="inlineStr">
        <is>
          <t xml:space="preserve">Mill Rate</t>
        </is>
      </c>
      <c r="B84" s="424" t="n"/>
      <c r="C84" s="424" t="n"/>
      <c r="D84" s="432" t="n">
        <v>0.099824</v>
      </c>
      <c r="E84" s="405" t="n"/>
      <c r="F84" s="160" t="inlineStr">
        <is>
          <t xml:space="preserve">Use Taxes Based on &gt;&gt;</t>
        </is>
      </c>
      <c r="G84" s="405" t="n"/>
      <c r="H84" s="433" t="inlineStr">
        <is>
          <t xml:space="preserve">Estimated Ann Taxes</t>
        </is>
      </c>
      <c r="J84" s="26" t="n"/>
      <c r="K84" s="26" t="n"/>
      <c r="L84" s="26" t="n"/>
      <c r="M84" s="26" t="n"/>
      <c r="N84" s="26" t="n"/>
      <c r="O84" s="177" t="n"/>
      <c r="P84" s="25" t="n"/>
      <c r="Q84" s="26" t="n"/>
      <c r="R84" s="160" t="inlineStr">
        <is>
          <t xml:space="preserve">Estimated Ann Taxes</t>
        </is>
      </c>
      <c r="S84" s="405" t="n"/>
      <c r="T84" s="26" t="n"/>
      <c r="U84" s="26" t="n"/>
      <c r="V84" s="26" t="n"/>
      <c r="W84" s="26" t="n"/>
      <c r="X84" s="26" t="n"/>
      <c r="Y84" s="26" t="n"/>
      <c r="Z84" s="26" t="n"/>
      <c r="AA84" s="26" t="n"/>
      <c r="AB84" s="26" t="n"/>
      <c r="AC84" s="26" t="n"/>
      <c r="AD84" s="26" t="n"/>
      <c r="AE84" s="27" t="n"/>
    </row>
    <row r="85" s="3154" customFormat="1" ht="13.5" customHeight="1">
      <c r="A85" s="423" t="inlineStr">
        <is>
          <t xml:space="preserve">Loaded Cap Rate</t>
        </is>
      </c>
      <c r="B85" s="424" t="n"/>
      <c r="C85" s="424" t="n"/>
      <c r="D85" s="435" t="n">
        <f t="array" ref="D85">D83+D84</f>
        <v>0.184824</v>
      </c>
      <c r="E85" s="405" t="n"/>
      <c r="F85" s="160" t="inlineStr">
        <is>
          <t xml:space="preserve">Pro Forma Taxes</t>
        </is>
      </c>
      <c r="G85" s="405" t="n"/>
      <c r="H85" s="405" t="n"/>
      <c r="I85" s="3305" t="n">
        <f t="array" ref="I85">IF(H84=R83,I82,I83)</f>
        <v>95000</v>
      </c>
      <c r="J85" s="26" t="n"/>
      <c r="K85" s="26" t="n"/>
      <c r="L85" s="26" t="n"/>
      <c r="M85" s="26" t="n"/>
      <c r="N85" s="26" t="n"/>
      <c r="O85" s="177" t="n"/>
      <c r="P85" s="25" t="n"/>
      <c r="Q85" s="26" t="n"/>
      <c r="R85" s="26" t="n"/>
      <c r="S85" s="405" t="n"/>
      <c r="T85" s="26" t="n"/>
      <c r="U85" s="26" t="n"/>
      <c r="V85" s="26" t="n"/>
      <c r="W85" s="26" t="n"/>
      <c r="X85" s="26" t="n"/>
      <c r="Y85" s="26" t="n"/>
      <c r="Z85" s="26" t="n"/>
      <c r="AA85" s="26" t="n"/>
      <c r="AB85" s="26" t="n"/>
      <c r="AC85" s="26" t="n"/>
      <c r="AD85" s="26" t="n"/>
      <c r="AE85" s="27" t="n"/>
    </row>
    <row r="86" s="3154" customFormat="1" ht="13.5" customHeight="1">
      <c r="A86" s="423" t="inlineStr">
        <is>
          <t xml:space="preserve">Assessment</t>
        </is>
      </c>
      <c r="B86" s="424" t="n"/>
      <c r="C86" s="424" t="n"/>
      <c r="D86" s="3307" t="e">
        <f t="array" ref="D86">D82/D85</f>
      </c>
      <c r="E86" s="405" t="n"/>
      <c r="F86" s="405" t="n"/>
      <c r="G86" s="405" t="n"/>
      <c r="H86" s="405" t="n"/>
      <c r="I86" s="3305" t="n"/>
      <c r="J86" s="405" t="n"/>
      <c r="K86" s="405" t="n"/>
      <c r="L86" s="405" t="n"/>
      <c r="M86" s="405" t="n"/>
      <c r="N86" s="405" t="n"/>
      <c r="O86" s="428" t="n"/>
      <c r="P86" s="25" t="n"/>
      <c r="Q86" s="26" t="n"/>
      <c r="R86" s="26" t="n"/>
      <c r="S86" s="405" t="n"/>
      <c r="T86" s="26" t="n"/>
      <c r="U86" s="26" t="n"/>
      <c r="V86" s="26" t="n"/>
      <c r="W86" s="26" t="n"/>
      <c r="X86" s="26" t="n"/>
      <c r="Y86" s="26" t="n"/>
      <c r="Z86" s="26" t="n"/>
      <c r="AA86" s="26" t="n"/>
      <c r="AB86" s="26" t="n"/>
      <c r="AC86" s="26" t="n"/>
      <c r="AD86" s="26" t="n"/>
      <c r="AE86" s="27" t="n"/>
    </row>
    <row r="87" s="3154" customFormat="1" ht="13.5" customHeight="1">
      <c r="A87" s="423" t="inlineStr">
        <is>
          <t xml:space="preserve">Adjustment</t>
        </is>
      </c>
      <c r="B87" s="424" t="n"/>
      <c r="C87" s="424" t="n"/>
      <c r="D87" s="437" t="n">
        <v>0.9</v>
      </c>
      <c r="E87" s="405" t="n"/>
      <c r="F87" s="160" t="inlineStr">
        <is>
          <t xml:space="preserve">Mill Rate Source</t>
        </is>
      </c>
      <c r="G87" s="405" t="n"/>
      <c r="H87" s="405" t="n"/>
      <c r="I87" s="438" t="n"/>
      <c r="J87" s="405" t="n"/>
      <c r="K87" s="405" t="n"/>
      <c r="L87" s="405" t="n"/>
      <c r="M87" s="405" t="n"/>
      <c r="N87" s="405" t="n"/>
      <c r="O87" s="428" t="n"/>
      <c r="P87" s="25" t="n"/>
      <c r="Q87" s="26" t="n"/>
      <c r="R87" s="26" t="n"/>
      <c r="S87" s="26" t="n"/>
      <c r="T87" s="26" t="n"/>
      <c r="U87" s="26" t="n"/>
      <c r="V87" s="26" t="n"/>
      <c r="W87" s="26" t="n"/>
      <c r="X87" s="26" t="n"/>
      <c r="Y87" s="26" t="n"/>
      <c r="Z87" s="26" t="n"/>
      <c r="AA87" s="26" t="n"/>
      <c r="AB87" s="26" t="n"/>
      <c r="AC87" s="26" t="n"/>
      <c r="AD87" s="26" t="n"/>
      <c r="AE87" s="27" t="n"/>
    </row>
    <row r="88" s="3154" customFormat="1" ht="13.5" customHeight="1">
      <c r="A88" s="439" t="inlineStr">
        <is>
          <t xml:space="preserve">Adjusted Assessment</t>
        </is>
      </c>
      <c r="B88" s="440" t="n"/>
      <c r="C88" s="440" t="n"/>
      <c r="D88" s="3308" t="e">
        <f t="array" ref="D88">D86*D87</f>
      </c>
      <c r="E88" s="422" t="n"/>
      <c r="F88" s="422" t="n"/>
      <c r="G88" s="422" t="n"/>
      <c r="H88" s="422" t="n"/>
      <c r="I88" s="422" t="n"/>
      <c r="J88" s="422" t="n"/>
      <c r="K88" s="422" t="n"/>
      <c r="L88" s="422" t="n"/>
      <c r="M88" s="422" t="n"/>
      <c r="N88" s="422" t="n"/>
      <c r="O88" s="442" t="n"/>
      <c r="P88" s="25" t="n"/>
      <c r="Q88" s="26" t="n"/>
      <c r="R88" s="26" t="n"/>
      <c r="S88" s="26" t="n"/>
      <c r="T88" s="26" t="n"/>
      <c r="U88" s="26" t="n"/>
      <c r="V88" s="26" t="n"/>
      <c r="W88" s="26" t="n"/>
      <c r="X88" s="26" t="n"/>
      <c r="Y88" s="26" t="n"/>
      <c r="Z88" s="26" t="n"/>
      <c r="AA88" s="26" t="n"/>
      <c r="AB88" s="26" t="n"/>
      <c r="AC88" s="26" t="n"/>
      <c r="AD88" s="26" t="n"/>
      <c r="AE88" s="27" t="n"/>
    </row>
    <row r="89" s="3154" customFormat="1" ht="13.5" customHeight="1">
      <c r="A89" s="443" t="n"/>
      <c r="B89" s="158" t="n"/>
      <c r="C89" s="158" t="n"/>
      <c r="D89" s="158" t="n"/>
      <c r="E89" s="158" t="n"/>
      <c r="F89" s="158" t="n"/>
      <c r="G89" s="158" t="n"/>
      <c r="H89" s="158" t="n"/>
      <c r="I89" s="158" t="n"/>
      <c r="J89" s="158" t="n"/>
      <c r="K89" s="158" t="n"/>
      <c r="L89" s="158" t="n"/>
      <c r="M89" s="158" t="n"/>
      <c r="N89" s="158" t="n"/>
      <c r="O89" s="158" t="n"/>
      <c r="P89" s="26" t="n"/>
      <c r="Q89" s="26" t="n"/>
      <c r="R89" s="26" t="n"/>
      <c r="S89" s="26" t="n"/>
      <c r="T89" s="26" t="n"/>
      <c r="U89" s="26" t="n"/>
      <c r="V89" s="26" t="n"/>
      <c r="W89" s="26" t="n"/>
      <c r="X89" s="26" t="n"/>
      <c r="Y89" s="26" t="n"/>
      <c r="Z89" s="26" t="n"/>
      <c r="AA89" s="26" t="n"/>
      <c r="AB89" s="26" t="n"/>
      <c r="AC89" s="26" t="n"/>
      <c r="AD89" s="26" t="n"/>
      <c r="AE89" s="27" t="n"/>
    </row>
    <row r="90" s="3154" customFormat="1" ht="13.5" customHeight="1">
      <c r="A90" s="162" t="n"/>
      <c r="B90" s="163" t="n"/>
      <c r="C90" s="163" t="n"/>
      <c r="D90" s="163" t="n"/>
      <c r="E90" s="163" t="n"/>
      <c r="F90" s="163" t="n"/>
      <c r="G90" s="163" t="n"/>
      <c r="H90" s="163" t="n"/>
      <c r="I90" s="163" t="n"/>
      <c r="J90" s="163" t="n"/>
      <c r="K90" s="163" t="n"/>
      <c r="L90" s="163" t="n"/>
      <c r="M90" s="163" t="n"/>
      <c r="N90" s="163" t="n"/>
      <c r="O90" s="163" t="n"/>
      <c r="P90" s="26" t="n"/>
      <c r="Q90" s="26" t="n"/>
      <c r="R90" s="26" t="n"/>
      <c r="S90" s="26" t="n"/>
      <c r="T90" s="26" t="n"/>
      <c r="U90" s="26" t="n"/>
      <c r="V90" s="26" t="n"/>
      <c r="W90" s="26" t="n"/>
      <c r="X90" s="26" t="n"/>
      <c r="Y90" s="26" t="n"/>
      <c r="Z90" s="26" t="n"/>
      <c r="AA90" s="26" t="n"/>
      <c r="AB90" s="26" t="n"/>
      <c r="AC90" s="26" t="n"/>
      <c r="AD90" s="26" t="n"/>
      <c r="AE90" s="27" t="n"/>
    </row>
    <row r="91" s="3154" customFormat="1" ht="13.5" customHeight="1">
      <c r="A91" s="164" t="inlineStr">
        <is>
          <t xml:space="preserve">FINANCING ASSUMPTIONS</t>
        </is>
      </c>
      <c r="B91" s="165" t="n"/>
      <c r="C91" s="165" t="n"/>
      <c r="D91" s="165" t="n"/>
      <c r="E91" s="165" t="n"/>
      <c r="F91" s="165" t="n"/>
      <c r="G91" s="165" t="n"/>
      <c r="H91" s="165" t="n"/>
      <c r="I91" s="165" t="n"/>
      <c r="J91" s="165" t="n"/>
      <c r="K91" s="165" t="n"/>
      <c r="L91" s="165" t="n"/>
      <c r="M91" s="165" t="n"/>
      <c r="N91" s="165" t="n"/>
      <c r="O91" s="166" t="n"/>
      <c r="P91" s="25" t="n"/>
      <c r="Q91" s="26" t="n"/>
      <c r="R91" s="26" t="n"/>
      <c r="S91" s="26" t="n"/>
      <c r="T91" s="26" t="n"/>
      <c r="U91" s="26" t="n"/>
      <c r="V91" s="26" t="n"/>
      <c r="W91" s="26" t="n"/>
      <c r="X91" s="26" t="n"/>
      <c r="Y91" s="26" t="n"/>
      <c r="Z91" s="26" t="n"/>
      <c r="AA91" s="26" t="n"/>
      <c r="AB91" s="26" t="n"/>
      <c r="AC91" s="26" t="n"/>
      <c r="AD91" s="26" t="n"/>
      <c r="AE91" s="27" t="n"/>
    </row>
    <row r="92" s="3154" customFormat="1" ht="13.5" customHeight="1">
      <c r="A92" s="444" t="inlineStr">
        <is>
          <t xml:space="preserve">CONSTRUCTION LOAN</t>
        </is>
      </c>
      <c r="B92" s="298" t="n"/>
      <c r="C92" s="298" t="n"/>
      <c r="D92" s="445" t="n"/>
      <c r="E92" s="446" t="inlineStr">
        <is>
          <t xml:space="preserve">NOTES</t>
        </is>
      </c>
      <c r="F92" s="203" t="n"/>
      <c r="G92" s="203" t="n"/>
      <c r="H92" s="203" t="n"/>
      <c r="I92" s="203" t="n"/>
      <c r="J92" s="203" t="n"/>
      <c r="K92" s="203" t="n"/>
      <c r="L92" s="203" t="n"/>
      <c r="M92" s="203" t="n"/>
      <c r="N92" s="203" t="n"/>
      <c r="O92" s="205" t="n"/>
      <c r="P92" s="25" t="n"/>
      <c r="Q92" s="26" t="n"/>
      <c r="R92" s="429" t="inlineStr">
        <is>
          <t xml:space="preserve">CONSTR LOAN DUR </t>
        </is>
      </c>
      <c r="S92" s="26" t="n"/>
      <c r="T92" s="26" t="n">
        <f t="array" ref="T92">D94*12</f>
        <v>24</v>
      </c>
      <c r="U92" s="26" t="n"/>
      <c r="V92" s="447" t="inlineStr">
        <is>
          <t xml:space="preserve">PERM LOAN CALCS</t>
        </is>
      </c>
      <c r="W92" s="298" t="n"/>
      <c r="X92" s="298" t="n"/>
      <c r="Y92" s="298" t="n"/>
      <c r="Z92" s="26" t="n"/>
      <c r="AA92" s="26" t="n"/>
      <c r="AB92" s="26" t="n"/>
      <c r="AC92" s="26" t="n"/>
      <c r="AD92" s="26" t="n"/>
      <c r="AE92" s="27" t="n"/>
    </row>
    <row r="93" s="3154" customFormat="1" ht="13.5" customHeight="1">
      <c r="A93" s="448" t="inlineStr">
        <is>
          <t xml:space="preserve">Construction Loan Interest Rate</t>
        </is>
      </c>
      <c r="B93" s="405" t="n"/>
      <c r="C93" s="405" t="n"/>
      <c r="D93" s="449" t="n">
        <v>0.08500000000000001</v>
      </c>
      <c r="E93" s="450" t="n"/>
      <c r="F93" s="26" t="n"/>
      <c r="G93" s="26" t="n"/>
      <c r="H93" s="26" t="n"/>
      <c r="I93" s="26" t="n"/>
      <c r="J93" s="26" t="n"/>
      <c r="K93" s="26" t="n"/>
      <c r="L93" s="26" t="n"/>
      <c r="M93" s="26" t="n"/>
      <c r="N93" s="26" t="n"/>
      <c r="O93" s="177" t="n"/>
      <c r="P93" s="25" t="n"/>
      <c r="Q93" s="26" t="n"/>
      <c r="R93" s="429" t="inlineStr">
        <is>
          <t xml:space="preserve">REFI MONTH</t>
        </is>
      </c>
      <c r="S93" s="26" t="n"/>
      <c r="T93" s="405" t="n">
        <f t="array" ref="T93">T92+1</f>
        <v>25</v>
      </c>
      <c r="U93" s="26" t="str"/>
      <c r="V93" s="451" t="str">
        <f t="array" ref="V93">R104</f>
        <v>Construction Loan</v>
      </c>
      <c r="W93" s="405" t="n"/>
      <c r="X93" s="405" t="n"/>
      <c r="Y93" s="3332" t="n">
        <f t="array" ref="Y93">D101</f>
        <v>4662509.040000000037253</v>
      </c>
      <c r="Z93" s="26" t="n"/>
      <c r="AA93" s="26" t="n"/>
      <c r="AB93" s="26" t="n"/>
      <c r="AC93" s="26" t="n"/>
      <c r="AD93" s="26" t="n"/>
      <c r="AE93" s="27" t="n"/>
    </row>
    <row r="94" s="3154" customFormat="1" ht="13.5" customHeight="1">
      <c r="A94" s="448" t="inlineStr">
        <is>
          <t xml:space="preserve">Construction Loan Duration (Yrs)</t>
        </is>
      </c>
      <c r="B94" s="405" t="n"/>
      <c r="C94" s="405" t="n"/>
      <c r="D94" s="3309" t="n">
        <v>2</v>
      </c>
      <c r="E94" s="450" t="str"/>
      <c r="F94" s="26" t="n"/>
      <c r="G94" s="26" t="n"/>
      <c r="H94" s="26" t="n"/>
      <c r="I94" s="26" t="n"/>
      <c r="J94" s="26" t="n"/>
      <c r="K94" s="26" t="n"/>
      <c r="L94" s="26" t="n"/>
      <c r="M94" s="26" t="n"/>
      <c r="N94" s="26" t="n"/>
      <c r="O94" s="177" t="n"/>
      <c r="P94" s="25" t="n"/>
      <c r="Q94" s="26" t="n"/>
      <c r="R94" s="26" t="n"/>
      <c r="S94" s="26" t="n"/>
      <c r="T94" s="26" t="n"/>
      <c r="U94" s="26" t="n"/>
      <c r="V94" s="453" t="str">
        <f t="array" ref="V94">R105</f>
        <v>Underwritten Value</v>
      </c>
      <c r="W94" s="422" t="n"/>
      <c r="X94" s="422" t="n"/>
      <c r="Y94" s="3310" t="e">
        <f t="array" ref="Y94">X102</f>
      </c>
      <c r="Z94" s="26" t="n"/>
      <c r="AA94" s="26" t="n"/>
      <c r="AB94" s="26" t="n"/>
      <c r="AC94" s="26" t="n"/>
      <c r="AD94" s="26" t="n"/>
      <c r="AE94" s="27" t="n"/>
    </row>
    <row r="95" s="3154" customFormat="1" ht="13.5" customHeight="1">
      <c r="A95" s="448" t="inlineStr">
        <is>
          <t xml:space="preserve">Origination Fee</t>
        </is>
      </c>
      <c r="B95" s="405" t="n"/>
      <c r="C95" s="405" t="n"/>
      <c r="D95" s="449" t="n">
        <v>0.005</v>
      </c>
      <c r="E95" s="455" t="inlineStr">
        <is>
          <t xml:space="preserve">Assume some limted points in or origi fee from bank</t>
        </is>
      </c>
      <c r="F95" s="26" t="n"/>
      <c r="G95" s="26" t="n"/>
      <c r="H95" s="26" t="n"/>
      <c r="I95" s="26" t="n"/>
      <c r="J95" s="26" t="n"/>
      <c r="K95" s="26" t="n"/>
      <c r="L95" s="26" t="n"/>
      <c r="M95" s="26" t="n"/>
      <c r="N95" s="26" t="n"/>
      <c r="O95" s="177" t="n"/>
      <c r="P95" s="25" t="n"/>
      <c r="Q95" s="26" t="n"/>
      <c r="R95" s="26" t="n"/>
      <c r="S95" s="26" t="n"/>
      <c r="T95" s="26" t="n"/>
      <c r="U95" s="26" t="n"/>
      <c r="V95" s="456" t="inlineStr">
        <is>
          <t xml:space="preserve">REFI YEAR</t>
        </is>
      </c>
      <c r="W95" s="403" t="n"/>
      <c r="X95" s="3311" t="n">
        <f t="array" ref="X95">D112</f>
        <v>3</v>
      </c>
      <c r="Y95" s="403" t="n"/>
      <c r="Z95" s="26" t="n"/>
      <c r="AA95" s="26" t="n"/>
      <c r="AB95" s="26" t="n"/>
      <c r="AC95" s="26" t="n"/>
      <c r="AD95" s="26" t="n"/>
      <c r="AE95" s="27" t="n"/>
    </row>
    <row r="96" s="3154" customFormat="1" ht="13.5" customHeight="1">
      <c r="A96" s="448" t="inlineStr">
        <is>
          <t xml:space="preserve">Misc Financing Expense</t>
        </is>
      </c>
      <c r="B96" s="405" t="n"/>
      <c r="C96" s="405" t="n"/>
      <c r="D96" s="449" t="n">
        <v>0</v>
      </c>
      <c r="E96" s="455" t="inlineStr">
        <is>
          <t xml:space="preserve">Assume no equity raise fee</t>
        </is>
      </c>
      <c r="F96" s="26" t="n"/>
      <c r="G96" s="26" t="n"/>
      <c r="H96" s="26" t="n"/>
      <c r="I96" s="26" t="n"/>
      <c r="J96" s="26" t="n"/>
      <c r="K96" s="26" t="n"/>
      <c r="L96" s="26" t="n"/>
      <c r="M96" s="26" t="n"/>
      <c r="N96" s="26" t="n"/>
      <c r="O96" s="177" t="n"/>
      <c r="P96" s="25" t="n"/>
      <c r="Q96" s="26" t="n"/>
      <c r="R96" s="26" t="n"/>
      <c r="S96" s="26" t="n"/>
      <c r="T96" s="26" t="n"/>
      <c r="U96" s="26" t="n"/>
      <c r="V96" s="405" t="n"/>
      <c r="W96" s="405" t="n"/>
      <c r="X96" s="405" t="n"/>
      <c r="Y96" s="405" t="n"/>
      <c r="Z96" s="26" t="n"/>
      <c r="AA96" s="26" t="n"/>
      <c r="AB96" s="26" t="n"/>
      <c r="AC96" s="26" t="n"/>
      <c r="AD96" s="26" t="n"/>
      <c r="AE96" s="27" t="n"/>
    </row>
    <row r="97" s="3154" customFormat="1" ht="13.5" customHeight="1">
      <c r="A97" s="448" t="inlineStr">
        <is>
          <t xml:space="preserve">Mortgage Broker</t>
        </is>
      </c>
      <c r="B97" s="405" t="n"/>
      <c r="C97" s="405" t="n"/>
      <c r="D97" s="449" t="n">
        <v>0.005</v>
      </c>
      <c r="E97" s="450" t="n"/>
      <c r="F97" s="26" t="n"/>
      <c r="G97" s="26" t="n"/>
      <c r="H97" s="26" t="n"/>
      <c r="I97" s="26" t="n"/>
      <c r="J97" s="26" t="n"/>
      <c r="K97" s="26" t="n"/>
      <c r="L97" s="26" t="n"/>
      <c r="M97" s="26" t="n"/>
      <c r="N97" s="26" t="n"/>
      <c r="O97" s="177" t="n"/>
      <c r="P97" s="25" t="n"/>
      <c r="Q97" s="26" t="n"/>
      <c r="R97" s="26" t="n"/>
      <c r="S97" s="26" t="n"/>
      <c r="T97" s="26" t="n"/>
      <c r="U97" s="26" t="n"/>
      <c r="V97" s="458" t="inlineStr">
        <is>
          <t xml:space="preserve">NOI</t>
        </is>
      </c>
      <c r="W97" s="422" t="n"/>
      <c r="X97" s="3312" t="e">
        <f t="array" ref="X97">HLOOKUP($X$95,'Project Summary'!$C$22:$I$34,13,0)</f>
      </c>
      <c r="Y97" s="422" t="n"/>
      <c r="Z97" s="26" t="n"/>
      <c r="AA97" s="26" t="n"/>
      <c r="AB97" s="26" t="n"/>
      <c r="AC97" s="26" t="n"/>
      <c r="AD97" s="26" t="n"/>
      <c r="AE97" s="27" t="n"/>
    </row>
    <row r="98" s="3154" customFormat="1" ht="13.5" customHeight="1">
      <c r="A98" s="254" t="inlineStr">
        <is>
          <t xml:space="preserve">Mortgage Recording Tax</t>
        </is>
      </c>
      <c r="B98" s="26" t="n"/>
      <c r="C98" s="26" t="n"/>
      <c r="D98" s="449" t="n">
        <v>0.0015</v>
      </c>
      <c r="E98" s="450" t="n"/>
      <c r="F98" s="26" t="n"/>
      <c r="G98" s="26" t="n"/>
      <c r="H98" s="26" t="n"/>
      <c r="I98" s="26" t="n"/>
      <c r="J98" s="26" t="n"/>
      <c r="K98" s="26" t="n"/>
      <c r="L98" s="26" t="n"/>
      <c r="M98" s="26" t="n"/>
      <c r="N98" s="26" t="n"/>
      <c r="O98" s="177" t="n"/>
      <c r="P98" s="25" t="n"/>
      <c r="Q98" s="26" t="n"/>
      <c r="R98" s="26" t="n"/>
      <c r="S98" s="26" t="n"/>
      <c r="T98" s="26" t="n"/>
      <c r="U98" s="177" t="n"/>
      <c r="V98" s="460" t="inlineStr">
        <is>
          <t xml:space="preserve">DEBT YIELD</t>
        </is>
      </c>
      <c r="W98" s="403" t="n"/>
      <c r="X98" s="461" t="n">
        <f t="array" ref="X98">D119</f>
        <v>0.1</v>
      </c>
      <c r="Y98" s="3313" t="e">
        <f t="array" ref="Y98">X97/X98</f>
      </c>
      <c r="Z98" s="25" t="n"/>
      <c r="AA98" s="26" t="n"/>
      <c r="AB98" s="26" t="n"/>
      <c r="AC98" s="26" t="n"/>
      <c r="AD98" s="26" t="n"/>
      <c r="AE98" s="27" t="n"/>
    </row>
    <row r="99" s="3154" customFormat="1" ht="13.5" customHeight="1">
      <c r="A99" s="448" t="inlineStr">
        <is>
          <t xml:space="preserve">Credit Enhancement Reserve</t>
        </is>
      </c>
      <c r="B99" s="405" t="n"/>
      <c r="C99" s="405" t="n"/>
      <c r="D99" s="463" t="n">
        <v>0</v>
      </c>
      <c r="E99" s="450" t="n"/>
      <c r="F99" s="26" t="n"/>
      <c r="G99" s="26" t="n"/>
      <c r="H99" s="26" t="n"/>
      <c r="I99" s="26" t="n"/>
      <c r="J99" s="26" t="n"/>
      <c r="K99" s="26" t="n"/>
      <c r="L99" s="26" t="n"/>
      <c r="M99" s="26" t="n"/>
      <c r="N99" s="26" t="n"/>
      <c r="O99" s="177" t="n"/>
      <c r="P99" s="25" t="n"/>
      <c r="Q99" s="26" t="n"/>
      <c r="R99" s="26" t="n"/>
      <c r="S99" s="26" t="n"/>
      <c r="T99" s="26" t="n"/>
      <c r="U99" s="177" t="n"/>
      <c r="V99" s="448" t="inlineStr">
        <is>
          <t xml:space="preserve">LTV</t>
        </is>
      </c>
      <c r="W99" s="405" t="n"/>
      <c r="X99" s="430" t="n">
        <f t="array" ref="X99">D120</f>
        <v>0.7</v>
      </c>
      <c r="Y99" s="3314" t="e">
        <f t="array" ref="Y99">X97/D113*X99</f>
      </c>
      <c r="Z99" s="25" t="n"/>
      <c r="AA99" s="26" t="n"/>
      <c r="AB99" s="26" t="n"/>
      <c r="AC99" s="26" t="n"/>
      <c r="AD99" s="26" t="n"/>
      <c r="AE99" s="27" t="n"/>
    </row>
    <row r="100" s="3154" customFormat="1" ht="13.5" customHeight="1">
      <c r="A100" s="448" t="inlineStr">
        <is>
          <t xml:space="preserve">Loan to Cost</t>
        </is>
      </c>
      <c r="B100" s="405" t="n"/>
      <c r="C100" s="405" t="n"/>
      <c r="D100" s="465" t="n">
        <v>0.8</v>
      </c>
      <c r="E100" s="450" t="n"/>
      <c r="F100" s="26" t="n"/>
      <c r="G100" s="26" t="n"/>
      <c r="H100" s="26" t="n"/>
      <c r="I100" s="26" t="n"/>
      <c r="J100" s="26" t="n"/>
      <c r="K100" s="26" t="n"/>
      <c r="L100" s="26" t="n"/>
      <c r="M100" s="26" t="n"/>
      <c r="N100" s="26" t="n"/>
      <c r="O100" s="177" t="n"/>
      <c r="P100" s="25" t="n"/>
      <c r="Q100" s="26" t="n"/>
      <c r="R100" s="26" t="n"/>
      <c r="S100" s="26" t="n"/>
      <c r="T100" s="26" t="n"/>
      <c r="U100" s="177" t="n"/>
      <c r="V100" s="466" t="inlineStr">
        <is>
          <t xml:space="preserve">DSCR</t>
        </is>
      </c>
      <c r="W100" s="422" t="n"/>
      <c r="X100" s="453" t="str">
        <f t="array" ref="X100">IF(D121="","",D121)</f>
      </c>
      <c r="Y100" s="467" t="str">
        <f t="array" ref="Y100">IF(X100="","",-PV('Project Summary'!S5,'Project Summary'!S6,X97/X100,'Project Summary'!S7,0))</f>
      </c>
      <c r="Z100" s="25" t="n"/>
      <c r="AA100" s="26" t="n"/>
      <c r="AB100" s="26" t="n"/>
      <c r="AC100" s="26" t="n"/>
      <c r="AD100" s="26" t="n"/>
      <c r="AE100" s="27" t="n"/>
    </row>
    <row r="101" s="3154" customFormat="1" ht="13.5" customHeight="1">
      <c r="A101" s="468" t="inlineStr">
        <is>
          <t xml:space="preserve">Construction Loan Amount</t>
        </is>
      </c>
      <c r="B101" s="163" t="n"/>
      <c r="C101" s="163" t="n"/>
      <c r="D101" s="469" t="n">
        <f t="array" ref="D101">D100*'Project Summary'!C20</f>
        <v>4662509.040000000037253</v>
      </c>
      <c r="E101" s="470" t="n"/>
      <c r="F101" s="163" t="n"/>
      <c r="G101" s="163" t="n"/>
      <c r="H101" s="163" t="n"/>
      <c r="I101" s="163" t="n"/>
      <c r="J101" s="163" t="n"/>
      <c r="K101" s="163" t="n"/>
      <c r="L101" s="163" t="n"/>
      <c r="M101" s="163" t="n"/>
      <c r="N101" s="163" t="n"/>
      <c r="O101" s="192" t="n"/>
      <c r="P101" s="25" t="n"/>
      <c r="Q101" s="26" t="n"/>
      <c r="R101" s="26" t="n"/>
      <c r="S101" s="26" t="n"/>
      <c r="T101" s="26" t="n"/>
      <c r="U101" s="26" t="n"/>
      <c r="V101" s="456" t="inlineStr">
        <is>
          <t xml:space="preserve">CONSTRAINED?</t>
        </is>
      </c>
      <c r="W101" s="403" t="str"/>
      <c r="X101" s="471" t="str">
        <f t="array" ref="X101">D122</f>
        <v>No</v>
      </c>
      <c r="Y101" s="403" t="n"/>
      <c r="Z101" s="26" t="n"/>
      <c r="AA101" s="26" t="n"/>
      <c r="AB101" s="26" t="n"/>
      <c r="AC101" s="26" t="n"/>
      <c r="AD101" s="26" t="n"/>
      <c r="AE101" s="27" t="n"/>
    </row>
    <row r="102" s="3154" customFormat="1" ht="13.5" customHeight="1">
      <c r="A102" s="472" t="inlineStr">
        <is>
          <t xml:space="preserve">Extension Options</t>
        </is>
      </c>
      <c r="B102" s="158" t="n"/>
      <c r="C102" s="158" t="n"/>
      <c r="D102" s="473" t="n"/>
      <c r="E102" s="474" t="n"/>
      <c r="F102" s="158" t="n"/>
      <c r="G102" s="158" t="n"/>
      <c r="H102" s="158" t="n"/>
      <c r="I102" s="158" t="n"/>
      <c r="J102" s="158" t="n"/>
      <c r="K102" s="158" t="n"/>
      <c r="L102" s="158" t="n"/>
      <c r="M102" s="158" t="n"/>
      <c r="N102" s="158" t="n"/>
      <c r="O102" s="475" t="n"/>
      <c r="P102" s="25" t="n"/>
      <c r="Q102" s="26" t="n"/>
      <c r="R102" s="26" t="n"/>
      <c r="S102" s="26" t="n"/>
      <c r="T102" s="405" t="n"/>
      <c r="U102" s="26" t="n"/>
      <c r="V102" s="160" t="inlineStr">
        <is>
          <t xml:space="preserve">LOAN AMT</t>
        </is>
      </c>
      <c r="W102" s="405" t="n"/>
      <c r="X102" s="3305" t="e">
        <f t="array" ref="X102">IF(X101="Yes",MIN(Y98:Y100),MAX(Y98:Y100))</f>
      </c>
      <c r="Y102" s="405" t="n"/>
      <c r="Z102" s="26" t="n"/>
      <c r="AA102" s="26" t="n"/>
      <c r="AB102" s="26" t="n"/>
      <c r="AC102" s="26" t="n"/>
      <c r="AD102" s="26" t="n"/>
      <c r="AE102" s="27" t="n"/>
    </row>
    <row r="103" s="3154" customFormat="1" ht="13.5" customHeight="1">
      <c r="A103" s="468" t="inlineStr">
        <is>
          <t xml:space="preserve">Extension Option Fee</t>
        </is>
      </c>
      <c r="B103" s="163" t="n"/>
      <c r="C103" s="163" t="n"/>
      <c r="D103" s="476" t="n"/>
      <c r="E103" s="477" t="n"/>
      <c r="F103" s="163" t="n"/>
      <c r="G103" s="163" t="n"/>
      <c r="H103" s="163" t="n"/>
      <c r="I103" s="163" t="n"/>
      <c r="J103" s="163" t="n"/>
      <c r="K103" s="163" t="n"/>
      <c r="L103" s="163" t="n"/>
      <c r="M103" s="163" t="n"/>
      <c r="N103" s="163" t="n"/>
      <c r="O103" s="192" t="n"/>
      <c r="P103" s="25" t="n"/>
      <c r="Q103" s="26" t="n"/>
      <c r="R103" s="429" t="inlineStr">
        <is>
          <t xml:space="preserve">PICK LIST</t>
        </is>
      </c>
      <c r="S103" s="26" t="n"/>
      <c r="T103" s="26" t="n"/>
      <c r="U103" s="26" t="n"/>
      <c r="V103" s="160" t="inlineStr">
        <is>
          <t xml:space="preserve">DEBT SERVICE</t>
        </is>
      </c>
      <c r="W103" s="405" t="n"/>
      <c r="X103" s="3305" t="e">
        <f t="array" ref="X103">-PMT(D114,D118,X102,0,1)</f>
      </c>
      <c r="Y103" s="405" t="n"/>
      <c r="Z103" s="26" t="n"/>
      <c r="AA103" s="26" t="n"/>
      <c r="AB103" s="26" t="n"/>
      <c r="AC103" s="26" t="n"/>
      <c r="AD103" s="26" t="n"/>
      <c r="AE103" s="27" t="n"/>
    </row>
    <row r="104" s="3154" customFormat="1" ht="13.5" customHeight="1">
      <c r="A104" s="472" t="inlineStr">
        <is>
          <t xml:space="preserve">Equity Required</t>
        </is>
      </c>
      <c r="B104" s="158" t="n"/>
      <c r="C104" s="158" t="n"/>
      <c r="D104" s="3315" t="n">
        <f t="array" ref="D104">'Cost Detail'!C177-D101-H128</f>
        <v>2556006.709406721405685</v>
      </c>
      <c r="E104" s="479" t="inlineStr">
        <is>
          <t xml:space="preserve">Not including brand offered key money</t>
        </is>
      </c>
      <c r="F104" s="158" t="n"/>
      <c r="G104" s="158" t="n"/>
      <c r="H104" s="158" t="n"/>
      <c r="I104" s="158" t="n"/>
      <c r="J104" s="158" t="n"/>
      <c r="K104" s="158" t="n"/>
      <c r="L104" s="158" t="n"/>
      <c r="M104" s="158" t="n"/>
      <c r="N104" s="158" t="n"/>
      <c r="O104" s="475" t="n"/>
      <c r="P104" s="25" t="n"/>
      <c r="Q104" s="26" t="n"/>
      <c r="R104" s="160" t="inlineStr">
        <is>
          <t xml:space="preserve">Construction Loan</t>
        </is>
      </c>
      <c r="S104" s="26" t="n"/>
      <c r="T104" s="26" t="n"/>
      <c r="U104" s="26" t="n"/>
      <c r="V104" s="26" t="n"/>
      <c r="W104" s="26" t="n"/>
      <c r="X104" s="26" t="n"/>
      <c r="Y104" s="26" t="n"/>
      <c r="Z104" s="26" t="n"/>
      <c r="AA104" s="26" t="n"/>
      <c r="AB104" s="26" t="n"/>
      <c r="AC104" s="26" t="n"/>
      <c r="AD104" s="26" t="n"/>
      <c r="AE104" s="27" t="n"/>
    </row>
    <row r="105" s="3154" customFormat="1" ht="15" customHeight="1">
      <c r="A105" s="3316" t="inlineStr">
        <is>
          <t xml:space="preserve">GP A Equity</t>
        </is>
      </c>
      <c r="B105" s="26" t="n"/>
      <c r="C105" s="481" t="n">
        <v>0</v>
      </c>
      <c r="D105" s="3317" t="n">
        <f t="array" ref="D105">C105*D104</f>
        <v>0</v>
      </c>
      <c r="E105" s="483" t="n"/>
      <c r="F105" s="26" t="n"/>
      <c r="G105" s="26" t="n"/>
      <c r="H105" s="26" t="n"/>
      <c r="I105" s="26" t="n"/>
      <c r="J105" s="26" t="n"/>
      <c r="K105" s="26" t="n"/>
      <c r="L105" s="26" t="n"/>
      <c r="M105" s="26" t="n"/>
      <c r="N105" s="26" t="n"/>
      <c r="O105" s="177" t="n"/>
      <c r="P105" s="25" t="n"/>
      <c r="Q105" s="26" t="n"/>
      <c r="R105" s="160" t="inlineStr">
        <is>
          <t xml:space="preserve">Underwritten Value</t>
        </is>
      </c>
      <c r="S105" s="26" t="n"/>
      <c r="T105" s="405" t="n"/>
      <c r="U105" s="26" t="n"/>
      <c r="V105" s="26" t="n"/>
      <c r="W105" s="26" t="n"/>
      <c r="X105" s="26" t="n"/>
      <c r="Y105" s="26" t="n"/>
      <c r="Z105" s="26" t="n"/>
      <c r="AA105" s="26" t="n"/>
      <c r="AB105" s="26" t="n"/>
      <c r="AC105" s="26" t="n"/>
      <c r="AD105" s="26" t="n"/>
      <c r="AE105" s="27" t="n"/>
    </row>
    <row r="106" s="3154" customFormat="1" ht="15" customHeight="1">
      <c r="A106" s="3316" t="inlineStr">
        <is>
          <t xml:space="preserve">GP B Equity</t>
        </is>
      </c>
      <c r="B106" s="26" t="n"/>
      <c r="C106" s="481" t="n">
        <v>0</v>
      </c>
      <c r="D106" s="3317" t="n">
        <f t="array" ref="D106">C106*D104</f>
        <v>0</v>
      </c>
      <c r="E106" s="483" t="n"/>
      <c r="F106" s="26" t="n"/>
      <c r="G106" s="26" t="n"/>
      <c r="H106" s="26" t="n"/>
      <c r="I106" s="26" t="n"/>
      <c r="J106" s="26" t="n"/>
      <c r="K106" s="26" t="n"/>
      <c r="L106" s="26" t="n"/>
      <c r="M106" s="26" t="n"/>
      <c r="N106" s="26" t="n"/>
      <c r="O106" s="177" t="n"/>
      <c r="P106" s="25" t="n"/>
      <c r="Q106" s="26" t="n"/>
      <c r="R106" s="405" t="n"/>
      <c r="S106" s="26" t="n"/>
      <c r="T106" s="405" t="n"/>
      <c r="U106" s="26" t="n"/>
      <c r="V106" s="26" t="n"/>
      <c r="W106" s="26" t="n"/>
      <c r="X106" s="26" t="n"/>
      <c r="Y106" s="26" t="n"/>
      <c r="Z106" s="26" t="n"/>
      <c r="AA106" s="26" t="n"/>
      <c r="AB106" s="26" t="n"/>
      <c r="AC106" s="26" t="n"/>
      <c r="AD106" s="26" t="n"/>
      <c r="AE106" s="27" t="n"/>
    </row>
    <row r="107" s="3154" customFormat="1" ht="15" customHeight="1">
      <c r="A107" s="3318" t="inlineStr">
        <is>
          <t xml:space="preserve">LP</t>
        </is>
      </c>
      <c r="B107" s="163" t="n"/>
      <c r="C107" s="485" t="n">
        <f t="array" ref="C107">1-(C105+C106)</f>
        <v>1</v>
      </c>
      <c r="D107" s="3315" t="n">
        <f t="array" ref="D107">D104-SUM(D105:D106)</f>
        <v>2556006.709406721405685</v>
      </c>
      <c r="E107" s="487" t="n"/>
      <c r="F107" s="163" t="n"/>
      <c r="G107" s="163" t="n"/>
      <c r="H107" s="163" t="n"/>
      <c r="I107" s="163" t="n"/>
      <c r="J107" s="163" t="n"/>
      <c r="K107" s="163" t="n"/>
      <c r="L107" s="163" t="n"/>
      <c r="M107" s="163" t="n"/>
      <c r="N107" s="163" t="n"/>
      <c r="O107" s="192" t="n"/>
      <c r="P107" s="25" t="n"/>
      <c r="Q107" s="26" t="n"/>
      <c r="R107" s="405" t="n"/>
      <c r="S107" s="26" t="n"/>
      <c r="T107" s="405" t="n"/>
      <c r="U107" s="26" t="n"/>
      <c r="V107" s="26" t="n"/>
      <c r="W107" s="26" t="n"/>
      <c r="X107" s="26" t="n"/>
      <c r="Y107" s="26" t="n"/>
      <c r="Z107" s="26" t="n"/>
      <c r="AA107" s="26" t="n"/>
      <c r="AB107" s="26" t="n"/>
      <c r="AC107" s="26" t="n"/>
      <c r="AD107" s="26" t="n"/>
      <c r="AE107" s="27" t="n"/>
    </row>
    <row r="108" s="3154" customFormat="1" ht="13.5" customHeight="1">
      <c r="A108" s="472" t="inlineStr">
        <is>
          <t xml:space="preserve">Development Fee</t>
        </is>
      </c>
      <c r="B108" s="158" t="n"/>
      <c r="C108" s="158" t="n"/>
      <c r="D108" s="488" t="n">
        <v>0.03</v>
      </c>
      <c r="E108" s="489" t="n"/>
      <c r="F108" s="158" t="n"/>
      <c r="G108" s="158" t="n"/>
      <c r="H108" s="158" t="n"/>
      <c r="I108" s="158" t="n"/>
      <c r="J108" s="158" t="n"/>
      <c r="K108" s="158" t="n"/>
      <c r="L108" s="158" t="n"/>
      <c r="M108" s="158" t="n"/>
      <c r="N108" s="158" t="n"/>
      <c r="O108" s="475" t="n"/>
      <c r="P108" s="25" t="n"/>
      <c r="Q108" s="26" t="n"/>
      <c r="R108" s="26" t="n"/>
      <c r="S108" s="26" t="n"/>
      <c r="T108" s="405" t="n"/>
      <c r="U108" s="26" t="n"/>
      <c r="V108" s="26" t="n"/>
      <c r="W108" s="26" t="n"/>
      <c r="X108" s="26" t="n"/>
      <c r="Y108" s="26" t="n"/>
      <c r="Z108" s="26" t="n"/>
      <c r="AA108" s="26" t="n"/>
      <c r="AB108" s="26" t="n"/>
      <c r="AC108" s="26" t="n"/>
      <c r="AD108" s="26" t="n"/>
      <c r="AE108" s="27" t="n"/>
    </row>
    <row r="109" s="3154" customFormat="1" ht="13.5" customHeight="1">
      <c r="A109" s="468" t="inlineStr">
        <is>
          <t xml:space="preserve">Other Fees</t>
        </is>
      </c>
      <c r="B109" s="163" t="n"/>
      <c r="C109" s="163" t="n"/>
      <c r="D109" s="490" t="n"/>
      <c r="E109" s="491" t="n"/>
      <c r="F109" s="422" t="n"/>
      <c r="G109" s="492" t="n"/>
      <c r="H109" s="492" t="n"/>
      <c r="I109" s="3310" t="n"/>
      <c r="J109" s="422" t="n"/>
      <c r="K109" s="422" t="n"/>
      <c r="L109" s="422" t="n"/>
      <c r="M109" s="422" t="n"/>
      <c r="N109" s="422" t="n"/>
      <c r="O109" s="442" t="n"/>
      <c r="P109" s="288" t="n"/>
      <c r="Q109" s="26" t="n"/>
      <c r="R109" s="26" t="n"/>
      <c r="S109" s="26" t="n"/>
      <c r="T109" s="26" t="n"/>
      <c r="U109" s="26" t="n"/>
      <c r="V109" s="26" t="n"/>
      <c r="W109" s="26" t="n"/>
      <c r="X109" s="26" t="n"/>
      <c r="Y109" s="26" t="n"/>
      <c r="Z109" s="26" t="n"/>
      <c r="AA109" s="26" t="n"/>
      <c r="AB109" s="26" t="n"/>
      <c r="AC109" s="26" t="n"/>
      <c r="AD109" s="26" t="n"/>
      <c r="AE109" s="27" t="n"/>
    </row>
    <row r="110" s="3154" customFormat="1" ht="13.5" customHeight="1">
      <c r="A110" s="493" t="n"/>
      <c r="B110" s="201" t="n"/>
      <c r="C110" s="201" t="n"/>
      <c r="D110" s="201" t="n"/>
      <c r="E110" s="201" t="n"/>
      <c r="F110" s="201" t="n"/>
      <c r="G110" s="201" t="n"/>
      <c r="H110" s="201" t="n"/>
      <c r="I110" s="201" t="n"/>
      <c r="J110" s="201" t="n"/>
      <c r="K110" s="201" t="n"/>
      <c r="L110" s="201" t="n"/>
      <c r="M110" s="201" t="n"/>
      <c r="N110" s="201" t="n"/>
      <c r="O110" s="201" t="n"/>
      <c r="P110" s="405" t="n"/>
      <c r="Q110" s="26" t="n"/>
      <c r="R110" s="429" t="inlineStr">
        <is>
          <t xml:space="preserve">SALE MONTH</t>
        </is>
      </c>
      <c r="S110" s="26" t="n"/>
      <c r="T110" s="3320" t="e">
        <f t="array" ref="T110">D133</f>
      </c>
      <c r="U110" s="26" t="n"/>
      <c r="V110" s="26" t="n"/>
      <c r="W110" s="26" t="n"/>
      <c r="X110" s="26" t="n"/>
      <c r="Y110" s="26" t="n"/>
      <c r="Z110" s="26" t="n"/>
      <c r="AA110" s="26" t="n"/>
      <c r="AB110" s="26" t="n"/>
      <c r="AC110" s="26" t="n"/>
      <c r="AD110" s="26" t="n"/>
      <c r="AE110" s="27" t="n"/>
    </row>
    <row r="111" s="3154" customFormat="1" ht="13.5" customHeight="1">
      <c r="A111" s="495" t="inlineStr">
        <is>
          <t xml:space="preserve">PERM LOAN</t>
        </is>
      </c>
      <c r="B111" s="251" t="n"/>
      <c r="C111" s="251" t="n"/>
      <c r="D111" s="496" t="n"/>
      <c r="E111" s="497" t="inlineStr">
        <is>
          <t xml:space="preserve">NOTES</t>
        </is>
      </c>
      <c r="F111" s="246" t="n"/>
      <c r="G111" s="246" t="n"/>
      <c r="H111" s="246" t="n"/>
      <c r="I111" s="246" t="n"/>
      <c r="J111" s="246" t="n"/>
      <c r="K111" s="246" t="n"/>
      <c r="L111" s="246" t="n"/>
      <c r="M111" s="246" t="n"/>
      <c r="N111" s="246" t="n"/>
      <c r="O111" s="498" t="n"/>
      <c r="P111" s="288" t="n"/>
      <c r="Q111" s="26" t="n"/>
      <c r="R111" s="26" t="n"/>
      <c r="S111" s="26" t="n"/>
      <c r="T111" s="26" t="n"/>
      <c r="U111" s="26" t="n"/>
      <c r="V111" s="26" t="n"/>
      <c r="W111" s="26" t="n"/>
      <c r="X111" s="26" t="n"/>
      <c r="Y111" s="26" t="n"/>
      <c r="Z111" s="26" t="n"/>
      <c r="AA111" s="26" t="n"/>
      <c r="AB111" s="26" t="n"/>
      <c r="AC111" s="26" t="n"/>
      <c r="AD111" s="26" t="n"/>
      <c r="AE111" s="27" t="n"/>
    </row>
    <row r="112" s="3154" customFormat="1" ht="13.5" customHeight="1">
      <c r="A112" s="448" t="inlineStr">
        <is>
          <t xml:space="preserve">Refinance Year</t>
        </is>
      </c>
      <c r="B112" s="405" t="n"/>
      <c r="C112" s="405" t="n"/>
      <c r="D112" s="3321" t="n">
        <f t="array" ref="D112">D94+1</f>
        <v>3</v>
      </c>
      <c r="E112" s="500" t="n"/>
      <c r="F112" s="26" t="n"/>
      <c r="G112" s="26" t="n"/>
      <c r="H112" s="26" t="n"/>
      <c r="I112" s="26" t="n"/>
      <c r="J112" s="26" t="n"/>
      <c r="K112" s="26" t="n"/>
      <c r="L112" s="26" t="n"/>
      <c r="M112" s="26" t="n"/>
      <c r="N112" s="26" t="n"/>
      <c r="O112" s="177" t="n"/>
      <c r="P112" s="288" t="n"/>
      <c r="Q112" s="26" t="n"/>
      <c r="R112" s="26" t="n"/>
      <c r="S112" s="26" t="n"/>
      <c r="T112" s="26" t="n"/>
      <c r="U112" s="26" t="n"/>
      <c r="V112" s="26" t="n"/>
      <c r="W112" s="26" t="n"/>
      <c r="X112" s="26" t="n"/>
      <c r="Y112" s="26" t="n"/>
      <c r="Z112" s="26" t="n"/>
      <c r="AA112" s="26" t="n"/>
      <c r="AB112" s="26" t="n"/>
      <c r="AC112" s="26" t="n"/>
      <c r="AD112" s="26" t="n"/>
      <c r="AE112" s="27" t="n"/>
    </row>
    <row r="113" s="3154" customFormat="1" ht="13.5" customHeight="1">
      <c r="A113" s="448" t="inlineStr">
        <is>
          <t xml:space="preserve">Stabilized Cap Rate</t>
        </is>
      </c>
      <c r="B113" s="405" t="n"/>
      <c r="C113" s="405" t="n"/>
      <c r="D113" s="449" t="n">
        <v>0.08500000000000001</v>
      </c>
      <c r="E113" s="501" t="n"/>
      <c r="F113" s="26" t="n"/>
      <c r="G113" s="26" t="n"/>
      <c r="H113" s="26" t="n"/>
      <c r="I113" s="26" t="n"/>
      <c r="J113" s="26" t="n"/>
      <c r="K113" s="26" t="n"/>
      <c r="L113" s="26" t="n"/>
      <c r="M113" s="26" t="n"/>
      <c r="N113" s="26" t="n"/>
      <c r="O113" s="177" t="n"/>
      <c r="P113" s="288" t="n"/>
      <c r="Q113" s="26" t="n"/>
      <c r="R113" s="26" t="n"/>
      <c r="S113" s="26" t="n"/>
      <c r="T113" s="26" t="n"/>
      <c r="U113" s="26" t="n"/>
      <c r="V113" s="26" t="n"/>
      <c r="W113" s="26" t="n"/>
      <c r="X113" s="26" t="n"/>
      <c r="Y113" s="26" t="n"/>
      <c r="Z113" s="26" t="n"/>
      <c r="AA113" s="26" t="n"/>
      <c r="AB113" s="26" t="n"/>
      <c r="AC113" s="26" t="n"/>
      <c r="AD113" s="26" t="n"/>
      <c r="AE113" s="27" t="n"/>
    </row>
    <row r="114" s="3154" customFormat="1" ht="13.5" customHeight="1">
      <c r="A114" s="448" t="inlineStr">
        <is>
          <t xml:space="preserve">Perm Loan Interest Rate</t>
        </is>
      </c>
      <c r="B114" s="405" t="n"/>
      <c r="C114" s="405" t="n"/>
      <c r="D114" s="449" t="n">
        <v>0.075</v>
      </c>
      <c r="E114" s="501" t="n"/>
      <c r="F114" s="26" t="n"/>
      <c r="G114" s="26" t="n"/>
      <c r="H114" s="26" t="n"/>
      <c r="I114" s="26" t="n"/>
      <c r="J114" s="26" t="n"/>
      <c r="K114" s="26" t="n"/>
      <c r="L114" s="26" t="n"/>
      <c r="M114" s="26" t="n"/>
      <c r="N114" s="26" t="n"/>
      <c r="O114" s="177" t="n"/>
      <c r="P114" s="288" t="n"/>
      <c r="Q114" s="26" t="n"/>
      <c r="R114" s="26" t="n"/>
      <c r="S114" s="26" t="n"/>
      <c r="T114" s="26" t="n"/>
      <c r="U114" s="26" t="n"/>
      <c r="V114" s="26" t="n"/>
      <c r="W114" s="26" t="n"/>
      <c r="X114" s="26" t="n"/>
      <c r="Y114" s="26" t="n"/>
      <c r="Z114" s="26" t="n"/>
      <c r="AA114" s="26" t="n"/>
      <c r="AB114" s="26" t="n"/>
      <c r="AC114" s="26" t="n"/>
      <c r="AD114" s="26" t="n"/>
      <c r="AE114" s="27" t="n"/>
    </row>
    <row r="115" s="3154" customFormat="1" ht="13.5" customHeight="1">
      <c r="A115" s="448" t="inlineStr">
        <is>
          <t xml:space="preserve">Perm Orig + Exit Fees</t>
        </is>
      </c>
      <c r="B115" s="405" t="n"/>
      <c r="C115" s="405" t="n"/>
      <c r="D115" s="449" t="n">
        <v>0.01</v>
      </c>
      <c r="E115" s="501" t="n"/>
      <c r="F115" s="26" t="n"/>
      <c r="G115" s="26" t="n"/>
      <c r="H115" s="26" t="n"/>
      <c r="I115" s="26" t="n"/>
      <c r="J115" s="26" t="n"/>
      <c r="K115" s="26" t="n"/>
      <c r="L115" s="26" t="n"/>
      <c r="M115" s="26" t="n"/>
      <c r="N115" s="26" t="n"/>
      <c r="O115" s="177" t="n"/>
      <c r="P115" s="288" t="n"/>
      <c r="Q115" s="26" t="n"/>
      <c r="R115" s="26" t="n"/>
      <c r="S115" s="26" t="n"/>
      <c r="T115" s="26" t="n"/>
      <c r="U115" s="26" t="n"/>
      <c r="V115" s="26" t="n"/>
      <c r="W115" s="26" t="n"/>
      <c r="X115" s="26" t="n"/>
      <c r="Y115" s="26" t="n"/>
      <c r="Z115" s="26" t="n"/>
      <c r="AA115" s="26" t="n"/>
      <c r="AB115" s="26" t="n"/>
      <c r="AC115" s="26" t="n"/>
      <c r="AD115" s="26" t="n"/>
      <c r="AE115" s="27" t="n"/>
    </row>
    <row r="116" s="3154" customFormat="1" ht="13.5" customHeight="1">
      <c r="A116" s="448" t="inlineStr">
        <is>
          <t xml:space="preserve">Interest Only Period (Yrs)</t>
        </is>
      </c>
      <c r="B116" s="405" t="n"/>
      <c r="C116" s="405" t="n"/>
      <c r="D116" s="502" t="n">
        <v>0</v>
      </c>
      <c r="E116" s="501" t="n"/>
      <c r="F116" s="26" t="n"/>
      <c r="G116" s="26" t="n"/>
      <c r="H116" s="26" t="n"/>
      <c r="I116" s="26" t="n"/>
      <c r="J116" s="26" t="n"/>
      <c r="K116" s="26" t="n"/>
      <c r="L116" s="26" t="n"/>
      <c r="M116" s="26" t="n"/>
      <c r="N116" s="26" t="n"/>
      <c r="O116" s="177" t="n"/>
      <c r="P116" s="288" t="n"/>
      <c r="Q116" s="26" t="n"/>
      <c r="R116" s="26" t="n"/>
      <c r="S116" s="26" t="n"/>
      <c r="T116" s="26" t="n"/>
      <c r="U116" s="26" t="n"/>
      <c r="V116" s="26" t="n"/>
      <c r="W116" s="26" t="n"/>
      <c r="X116" s="26" t="n"/>
      <c r="Y116" s="26" t="n"/>
      <c r="Z116" s="26" t="n"/>
      <c r="AA116" s="26" t="n"/>
      <c r="AB116" s="26" t="n"/>
      <c r="AC116" s="26" t="n"/>
      <c r="AD116" s="26" t="n"/>
      <c r="AE116" s="27" t="n"/>
    </row>
    <row r="117" s="3154" customFormat="1" ht="13.5" customHeight="1">
      <c r="A117" s="448" t="inlineStr">
        <is>
          <t xml:space="preserve">Amortization Start Year</t>
        </is>
      </c>
      <c r="B117" s="405" t="n"/>
      <c r="C117" s="405" t="n"/>
      <c r="D117" s="3321" t="n">
        <f t="array" ref="D117">D112+D116</f>
        <v>3</v>
      </c>
      <c r="E117" s="501" t="n"/>
      <c r="F117" s="26" t="n"/>
      <c r="G117" s="26" t="n"/>
      <c r="H117" s="26" t="n"/>
      <c r="I117" s="26" t="n"/>
      <c r="J117" s="26" t="n"/>
      <c r="K117" s="26" t="n"/>
      <c r="L117" s="26" t="n"/>
      <c r="M117" s="26" t="n"/>
      <c r="N117" s="26" t="n"/>
      <c r="O117" s="177" t="n"/>
      <c r="P117" s="288" t="n"/>
      <c r="Q117" s="26" t="n"/>
      <c r="R117" s="26" t="n"/>
      <c r="S117" s="26" t="n"/>
      <c r="T117" s="26" t="n"/>
      <c r="U117" s="26" t="n"/>
      <c r="V117" s="26" t="n"/>
      <c r="W117" s="26" t="n"/>
      <c r="X117" s="26" t="n"/>
      <c r="Y117" s="26" t="n"/>
      <c r="Z117" s="26" t="n"/>
      <c r="AA117" s="26" t="n"/>
      <c r="AB117" s="26" t="n"/>
      <c r="AC117" s="26" t="n"/>
      <c r="AD117" s="26" t="n"/>
      <c r="AE117" s="27" t="n"/>
    </row>
    <row r="118" s="3154" customFormat="1" ht="13.5" customHeight="1">
      <c r="A118" s="466" t="inlineStr">
        <is>
          <t xml:space="preserve">Perm Loan Term (Yrs)</t>
        </is>
      </c>
      <c r="B118" s="422" t="n"/>
      <c r="C118" s="422" t="n"/>
      <c r="D118" s="503" t="n">
        <v>25</v>
      </c>
      <c r="E118" s="491" t="n"/>
      <c r="F118" s="163" t="n"/>
      <c r="G118" s="163" t="n"/>
      <c r="H118" s="163" t="n"/>
      <c r="I118" s="163" t="n"/>
      <c r="J118" s="163" t="n"/>
      <c r="K118" s="163" t="n"/>
      <c r="L118" s="163" t="n"/>
      <c r="M118" s="163" t="n"/>
      <c r="N118" s="163" t="n"/>
      <c r="O118" s="192" t="n"/>
      <c r="P118" s="288" t="n"/>
      <c r="Q118" s="26" t="n"/>
      <c r="R118" s="26" t="n"/>
      <c r="S118" s="26" t="n"/>
      <c r="T118" s="26" t="n"/>
      <c r="U118" s="26" t="n"/>
      <c r="V118" s="26" t="n"/>
      <c r="W118" s="26" t="n"/>
      <c r="X118" s="26" t="n"/>
      <c r="Y118" s="26" t="n"/>
      <c r="Z118" s="26" t="n"/>
      <c r="AA118" s="26" t="n"/>
      <c r="AB118" s="26" t="n"/>
      <c r="AC118" s="26" t="n"/>
      <c r="AD118" s="26" t="n"/>
      <c r="AE118" s="27" t="n"/>
    </row>
    <row r="119" s="3154" customFormat="1" ht="13.5" customHeight="1">
      <c r="A119" s="472" t="inlineStr">
        <is>
          <t xml:space="preserve">Debt Yield</t>
        </is>
      </c>
      <c r="B119" s="158" t="n"/>
      <c r="C119" s="158" t="n"/>
      <c r="D119" s="504" t="n">
        <v>0.1</v>
      </c>
      <c r="E119" s="489" t="n"/>
      <c r="F119" s="158" t="n"/>
      <c r="G119" s="158" t="n"/>
      <c r="H119" s="158" t="n"/>
      <c r="I119" s="158" t="n"/>
      <c r="J119" s="158" t="n"/>
      <c r="K119" s="158" t="n"/>
      <c r="L119" s="158" t="n"/>
      <c r="M119" s="158" t="n"/>
      <c r="N119" s="158" t="n"/>
      <c r="O119" s="475" t="n"/>
      <c r="P119" s="288" t="n"/>
      <c r="Q119" s="26" t="n"/>
      <c r="R119" s="26" t="n"/>
      <c r="S119" s="26" t="n"/>
      <c r="T119" s="26" t="n"/>
      <c r="U119" s="26" t="n"/>
      <c r="V119" s="26" t="n"/>
      <c r="W119" s="26" t="n"/>
      <c r="X119" s="26" t="n"/>
      <c r="Y119" s="26" t="n"/>
      <c r="Z119" s="26" t="n"/>
      <c r="AA119" s="26" t="n"/>
      <c r="AB119" s="26" t="n"/>
      <c r="AC119" s="26" t="n"/>
      <c r="AD119" s="26" t="n"/>
      <c r="AE119" s="27" t="n"/>
    </row>
    <row r="120" s="3154" customFormat="1" ht="13.5" customHeight="1">
      <c r="A120" s="448" t="inlineStr">
        <is>
          <t xml:space="preserve">Loan To Value</t>
        </is>
      </c>
      <c r="B120" s="405" t="n"/>
      <c r="C120" s="405" t="n"/>
      <c r="D120" s="465" t="n">
        <v>0.7</v>
      </c>
      <c r="E120" s="501" t="n"/>
      <c r="F120" s="26" t="n"/>
      <c r="G120" s="26" t="n"/>
      <c r="H120" s="26" t="n"/>
      <c r="I120" s="26" t="n"/>
      <c r="J120" s="26" t="n"/>
      <c r="K120" s="26" t="n"/>
      <c r="L120" s="26" t="n"/>
      <c r="M120" s="26" t="n"/>
      <c r="N120" s="26" t="n"/>
      <c r="O120" s="177" t="n"/>
      <c r="P120" s="288" t="n"/>
      <c r="Q120" s="26" t="n"/>
      <c r="R120" s="26" t="n"/>
      <c r="S120" s="26" t="n"/>
      <c r="T120" s="26" t="n"/>
      <c r="U120" s="26" t="n"/>
      <c r="V120" s="26" t="n"/>
      <c r="W120" s="26" t="n"/>
      <c r="X120" s="26" t="n"/>
      <c r="Y120" s="26" t="n"/>
      <c r="Z120" s="26" t="n"/>
      <c r="AA120" s="26" t="n"/>
      <c r="AB120" s="26" t="n"/>
      <c r="AC120" s="26" t="n"/>
      <c r="AD120" s="26" t="n"/>
      <c r="AE120" s="27" t="n"/>
    </row>
    <row r="121" s="3154" customFormat="1" ht="13.5" customHeight="1">
      <c r="A121" s="466" t="inlineStr">
        <is>
          <t xml:space="preserve">DSCR</t>
        </is>
      </c>
      <c r="B121" s="163" t="n"/>
      <c r="C121" s="163" t="n"/>
      <c r="D121" s="505" t="n"/>
      <c r="E121" s="491" t="n"/>
      <c r="F121" s="163" t="n"/>
      <c r="G121" s="163" t="n"/>
      <c r="H121" s="163" t="n"/>
      <c r="I121" s="163" t="n"/>
      <c r="J121" s="163" t="n"/>
      <c r="K121" s="163" t="n"/>
      <c r="L121" s="163" t="n"/>
      <c r="M121" s="163" t="n"/>
      <c r="N121" s="163" t="n"/>
      <c r="O121" s="192" t="n"/>
      <c r="P121" s="288" t="n"/>
      <c r="Q121" s="26" t="n"/>
      <c r="R121" s="26" t="n"/>
      <c r="S121" s="26" t="n"/>
      <c r="T121" s="26" t="n"/>
      <c r="U121" s="26" t="n"/>
      <c r="V121" s="26" t="n"/>
      <c r="W121" s="26" t="n"/>
      <c r="X121" s="26" t="n"/>
      <c r="Y121" s="26" t="n"/>
      <c r="Z121" s="26" t="n"/>
      <c r="AA121" s="26" t="n"/>
      <c r="AB121" s="26" t="n"/>
      <c r="AC121" s="26" t="n"/>
      <c r="AD121" s="26" t="n"/>
      <c r="AE121" s="27" t="n"/>
    </row>
    <row r="122" s="3154" customFormat="1" ht="13.5" customHeight="1">
      <c r="A122" s="506" t="inlineStr">
        <is>
          <t xml:space="preserve">Constrain Loan?</t>
        </is>
      </c>
      <c r="B122" s="201" t="n"/>
      <c r="C122" s="201" t="n"/>
      <c r="D122" s="507" t="inlineStr">
        <is>
          <t xml:space="preserve">No</t>
        </is>
      </c>
      <c r="E122" s="508" t="n"/>
      <c r="F122" s="201" t="n"/>
      <c r="G122" s="201" t="n"/>
      <c r="H122" s="201" t="n"/>
      <c r="I122" s="201" t="n"/>
      <c r="J122" s="201" t="n"/>
      <c r="K122" s="201" t="n"/>
      <c r="L122" s="201" t="n"/>
      <c r="M122" s="201" t="n"/>
      <c r="N122" s="201" t="n"/>
      <c r="O122" s="509" t="n"/>
      <c r="P122" s="288" t="n"/>
      <c r="Q122" s="26" t="n"/>
      <c r="R122" s="26" t="n"/>
      <c r="S122" s="26" t="n"/>
      <c r="T122" s="26" t="n"/>
      <c r="U122" s="26" t="n"/>
      <c r="V122" s="26" t="n"/>
      <c r="W122" s="26" t="n"/>
      <c r="X122" s="26" t="n"/>
      <c r="Y122" s="26" t="n"/>
      <c r="Z122" s="26" t="n"/>
      <c r="AA122" s="26" t="n"/>
      <c r="AB122" s="26" t="n"/>
      <c r="AC122" s="26" t="n"/>
      <c r="AD122" s="26" t="n"/>
      <c r="AE122" s="27" t="n"/>
    </row>
    <row r="123" s="3154" customFormat="1" ht="13.5" customHeight="1">
      <c r="A123" s="460" t="inlineStr">
        <is>
          <t xml:space="preserve">Perm Loan = To</t>
        </is>
      </c>
      <c r="B123" s="403" t="n"/>
      <c r="C123" s="510" t="inlineStr">
        <is>
          <t xml:space="preserve">Construction Loan</t>
        </is>
      </c>
      <c r="D123" s="511" t="n"/>
      <c r="E123" s="489" t="n"/>
      <c r="F123" s="158" t="n"/>
      <c r="G123" s="158" t="n"/>
      <c r="H123" s="158" t="n"/>
      <c r="I123" s="158" t="n"/>
      <c r="J123" s="158" t="n"/>
      <c r="K123" s="158" t="n"/>
      <c r="L123" s="158" t="n"/>
      <c r="M123" s="158" t="n"/>
      <c r="N123" s="158" t="n"/>
      <c r="O123" s="475" t="n"/>
      <c r="P123" s="288" t="n"/>
      <c r="Q123" s="26" t="n"/>
      <c r="R123" s="26" t="n"/>
      <c r="S123" s="26" t="n"/>
      <c r="T123" s="26" t="n"/>
      <c r="U123" s="26" t="n"/>
      <c r="V123" s="26" t="n"/>
      <c r="W123" s="26" t="n"/>
      <c r="X123" s="26" t="n"/>
      <c r="Y123" s="26" t="n"/>
      <c r="Z123" s="26" t="n"/>
      <c r="AA123" s="26" t="n"/>
      <c r="AB123" s="26" t="n"/>
      <c r="AC123" s="26" t="n"/>
      <c r="AD123" s="26" t="n"/>
      <c r="AE123" s="27" t="n"/>
    </row>
    <row r="124" s="3154" customFormat="1" ht="13.5" customHeight="1">
      <c r="A124" s="448" t="inlineStr">
        <is>
          <t xml:space="preserve">Perm Loan Amt</t>
        </is>
      </c>
      <c r="B124" s="405" t="n"/>
      <c r="C124" s="405" t="n"/>
      <c r="D124" s="512" t="n">
        <f t="array" ref="D124">IF(C123=R104,D101,X102)</f>
        <v>4662509.040000000037253</v>
      </c>
      <c r="E124" s="501" t="n"/>
      <c r="F124" s="26" t="n"/>
      <c r="G124" s="26" t="n"/>
      <c r="H124" s="26" t="n"/>
      <c r="I124" s="26" t="n"/>
      <c r="J124" s="26" t="n"/>
      <c r="K124" s="26" t="n"/>
      <c r="L124" s="26" t="n"/>
      <c r="M124" s="26" t="n"/>
      <c r="N124" s="26" t="n"/>
      <c r="O124" s="177" t="n"/>
      <c r="P124" s="288" t="n"/>
      <c r="Q124" s="26" t="n"/>
      <c r="R124" s="26" t="n"/>
      <c r="S124" s="26" t="n"/>
      <c r="T124" s="26" t="n"/>
      <c r="U124" s="26" t="n"/>
      <c r="V124" s="26" t="n"/>
      <c r="W124" s="26" t="n"/>
      <c r="X124" s="26" t="n"/>
      <c r="Y124" s="26" t="n"/>
      <c r="Z124" s="26" t="n"/>
      <c r="AA124" s="26" t="n"/>
      <c r="AB124" s="26" t="n"/>
      <c r="AC124" s="26" t="n"/>
      <c r="AD124" s="26" t="n"/>
      <c r="AE124" s="27" t="n"/>
    </row>
    <row r="125" s="3154" customFormat="1" ht="13.5" customHeight="1">
      <c r="A125" s="466" t="inlineStr">
        <is>
          <t xml:space="preserve">Proceeds at Takeout</t>
        </is>
      </c>
      <c r="B125" s="422" t="n"/>
      <c r="C125" s="422" t="n"/>
      <c r="D125" s="513" t="n">
        <f t="array" ref="D125">D124-D101</f>
        <v>0</v>
      </c>
      <c r="E125" s="491" t="n"/>
      <c r="F125" s="163" t="n"/>
      <c r="G125" s="163" t="n"/>
      <c r="H125" s="163" t="n"/>
      <c r="I125" s="163" t="n"/>
      <c r="J125" s="163" t="n"/>
      <c r="K125" s="163" t="n"/>
      <c r="L125" s="163" t="n"/>
      <c r="M125" s="163" t="n"/>
      <c r="N125" s="163" t="n"/>
      <c r="O125" s="192" t="n"/>
      <c r="P125" s="288" t="n"/>
      <c r="Q125" s="26" t="n"/>
      <c r="R125" s="26" t="n"/>
      <c r="S125" s="26" t="n"/>
      <c r="T125" s="26" t="n"/>
      <c r="U125" s="26" t="n"/>
      <c r="V125" s="26" t="n"/>
      <c r="W125" s="26" t="n"/>
      <c r="X125" s="26" t="n"/>
      <c r="Y125" s="26" t="n"/>
      <c r="Z125" s="26" t="n"/>
      <c r="AA125" s="26" t="n"/>
      <c r="AB125" s="26" t="n"/>
      <c r="AC125" s="26" t="n"/>
      <c r="AD125" s="26" t="n"/>
      <c r="AE125" s="27" t="n"/>
    </row>
    <row r="126" s="3154" customFormat="1" ht="13.5" customHeight="1">
      <c r="A126" s="200" t="n"/>
      <c r="B126" s="201" t="n"/>
      <c r="C126" s="201" t="n"/>
      <c r="D126" s="201" t="n"/>
      <c r="E126" s="201" t="n"/>
      <c r="F126" s="201" t="n"/>
      <c r="G126" s="201" t="n"/>
      <c r="H126" s="201" t="n"/>
      <c r="I126" s="201" t="n"/>
      <c r="J126" s="201" t="n"/>
      <c r="K126" s="201" t="n"/>
      <c r="L126" s="201" t="n"/>
      <c r="M126" s="201" t="n"/>
      <c r="N126" s="201" t="n"/>
      <c r="O126" s="201" t="n"/>
      <c r="P126" s="405" t="n"/>
      <c r="Q126" s="26" t="n"/>
      <c r="R126" s="26" t="n"/>
      <c r="S126" s="26" t="n"/>
      <c r="T126" s="26" t="n"/>
      <c r="U126" s="26" t="n"/>
      <c r="V126" s="26" t="n"/>
      <c r="W126" s="26" t="n"/>
      <c r="X126" s="26" t="n"/>
      <c r="Y126" s="26" t="n"/>
      <c r="Z126" s="26" t="n"/>
      <c r="AA126" s="26" t="n"/>
      <c r="AB126" s="26" t="n"/>
      <c r="AC126" s="26" t="n"/>
      <c r="AD126" s="26" t="n"/>
      <c r="AE126" s="27" t="n"/>
    </row>
    <row r="127" s="3154" customFormat="1" ht="13.5" customHeight="1">
      <c r="A127" s="514" t="inlineStr">
        <is>
          <t xml:space="preserve">OTHER INPUTS</t>
        </is>
      </c>
      <c r="B127" s="515" t="n"/>
      <c r="C127" s="515" t="n"/>
      <c r="D127" s="515" t="n"/>
      <c r="E127" s="515" t="n"/>
      <c r="F127" s="515" t="n"/>
      <c r="G127" s="515" t="n"/>
      <c r="H127" s="515" t="n"/>
      <c r="I127" s="515" t="n"/>
      <c r="J127" s="515" t="n"/>
      <c r="K127" s="515" t="n"/>
      <c r="L127" s="515" t="n"/>
      <c r="M127" s="515" t="n"/>
      <c r="N127" s="515" t="n"/>
      <c r="O127" s="516" t="n"/>
      <c r="P127" s="288" t="n"/>
      <c r="Q127" s="26" t="n"/>
      <c r="R127" s="429" t="inlineStr">
        <is>
          <t xml:space="preserve">SALE/RETAIL MTH</t>
        </is>
      </c>
      <c r="S127" s="26" t="n"/>
      <c r="T127" s="3322" t="n">
        <f t="array" ref="T127">D128*12</f>
        <v>1.32</v>
      </c>
      <c r="U127" s="26" t="n"/>
      <c r="V127" s="26" t="n"/>
      <c r="W127" s="26" t="n"/>
      <c r="X127" s="26" t="n"/>
      <c r="Y127" s="26" t="n"/>
      <c r="Z127" s="26" t="n"/>
      <c r="AA127" s="26" t="n"/>
      <c r="AB127" s="26" t="n"/>
      <c r="AC127" s="26" t="n"/>
      <c r="AD127" s="26" t="n"/>
      <c r="AE127" s="27" t="n"/>
    </row>
    <row r="128" s="3154" customFormat="1" ht="13.5" customHeight="1">
      <c r="A128" s="460" t="inlineStr">
        <is>
          <t xml:space="preserve">Lodging Tax Rebate %</t>
        </is>
      </c>
      <c r="B128" s="403" t="n"/>
      <c r="C128" s="403" t="n"/>
      <c r="D128" s="518" t="n">
        <v>0.11</v>
      </c>
      <c r="E128" s="158" t="n"/>
      <c r="F128" s="456" t="inlineStr">
        <is>
          <t xml:space="preserve">Brand Key Money</t>
        </is>
      </c>
      <c r="G128" s="403" t="n"/>
      <c r="H128" s="3323" t="n">
        <v>0</v>
      </c>
      <c r="I128" s="3324" t="n"/>
      <c r="J128" s="403" t="n"/>
      <c r="K128" s="403" t="n"/>
      <c r="L128" s="403" t="n"/>
      <c r="M128" s="403" t="n"/>
      <c r="N128" s="403" t="n"/>
      <c r="O128" s="404" t="n"/>
      <c r="P128" s="288" t="n"/>
      <c r="Q128" s="26" t="n"/>
      <c r="R128" s="26" t="n"/>
      <c r="S128" s="26" t="n"/>
      <c r="T128" s="26" t="n"/>
      <c r="U128" s="26" t="n"/>
      <c r="V128" s="26" t="n"/>
      <c r="W128" s="26" t="n"/>
      <c r="X128" s="26" t="n"/>
      <c r="Y128" s="26" t="n"/>
      <c r="Z128" s="26" t="n"/>
      <c r="AA128" s="26" t="n"/>
      <c r="AB128" s="26" t="n"/>
      <c r="AC128" s="26" t="n"/>
      <c r="AD128" s="26" t="n"/>
      <c r="AE128" s="27" t="n"/>
    </row>
    <row r="129" s="3154" customFormat="1" ht="13.5" customHeight="1">
      <c r="A129" s="254" t="inlineStr">
        <is>
          <t xml:space="preserve">% Elible for Refund</t>
        </is>
      </c>
      <c r="B129" s="26" t="n"/>
      <c r="C129" s="26" t="n"/>
      <c r="D129" s="521" t="n">
        <v>0.8</v>
      </c>
      <c r="E129" s="26" t="n"/>
      <c r="F129" s="405" t="n"/>
      <c r="G129" s="405" t="n"/>
      <c r="H129" s="405" t="n"/>
      <c r="I129" s="405" t="n"/>
      <c r="J129" s="405" t="n"/>
      <c r="K129" s="405" t="n"/>
      <c r="L129" s="405" t="n"/>
      <c r="M129" s="405" t="n"/>
      <c r="N129" s="405" t="n"/>
      <c r="O129" s="428" t="n"/>
      <c r="P129" s="288" t="n"/>
      <c r="Q129" s="26" t="n"/>
      <c r="R129" s="26" t="n"/>
      <c r="S129" s="26" t="n"/>
      <c r="T129" s="26" t="n"/>
      <c r="U129" s="26" t="n"/>
      <c r="V129" s="26" t="n"/>
      <c r="W129" s="26" t="n"/>
      <c r="X129" s="26" t="n"/>
      <c r="Y129" s="26" t="n"/>
      <c r="Z129" s="26" t="n"/>
      <c r="AA129" s="26" t="n"/>
      <c r="AB129" s="26" t="n"/>
      <c r="AC129" s="26" t="n"/>
      <c r="AD129" s="26" t="n"/>
      <c r="AE129" s="27" t="n"/>
    </row>
    <row r="130" s="3154" customFormat="1" ht="13.5" customHeight="1">
      <c r="A130" s="466" t="inlineStr">
        <is>
          <t xml:space="preserve">Cap on Lodging Tax</t>
        </is>
      </c>
      <c r="B130" s="422" t="n"/>
      <c r="C130" s="422" t="n"/>
      <c r="D130" s="3325" t="n">
        <v>0</v>
      </c>
      <c r="E130" s="163" t="n"/>
      <c r="F130" s="422" t="n"/>
      <c r="G130" s="422" t="n"/>
      <c r="H130" s="422" t="n"/>
      <c r="I130" s="422" t="n"/>
      <c r="J130" s="422" t="n"/>
      <c r="K130" s="422" t="n"/>
      <c r="L130" s="422" t="n"/>
      <c r="M130" s="422" t="n"/>
      <c r="N130" s="422" t="n"/>
      <c r="O130" s="442" t="n"/>
      <c r="P130" s="288" t="n"/>
      <c r="Q130" s="26" t="n"/>
      <c r="R130" s="26" t="n"/>
      <c r="S130" s="26" t="n"/>
      <c r="T130" s="26" t="n"/>
      <c r="U130" s="26" t="n"/>
      <c r="V130" s="26" t="n"/>
      <c r="W130" s="26" t="n"/>
      <c r="X130" s="26" t="n"/>
      <c r="Y130" s="26" t="n"/>
      <c r="Z130" s="26" t="n"/>
      <c r="AA130" s="26" t="n"/>
      <c r="AB130" s="26" t="n"/>
      <c r="AC130" s="26" t="n"/>
      <c r="AD130" s="26" t="n"/>
      <c r="AE130" s="27" t="n"/>
    </row>
    <row r="131" s="3154" customFormat="1" ht="13.5" customHeight="1">
      <c r="A131" s="200" t="n"/>
      <c r="B131" s="201" t="n"/>
      <c r="C131" s="201" t="n"/>
      <c r="D131" s="201" t="n"/>
      <c r="E131" s="158" t="n"/>
      <c r="F131" s="3326" t="n"/>
      <c r="G131" s="524" t="n"/>
      <c r="H131" s="524" t="n"/>
      <c r="I131" s="524" t="n"/>
      <c r="J131" s="524" t="n"/>
      <c r="K131" s="524" t="n"/>
      <c r="L131" s="524" t="n"/>
      <c r="M131" s="524" t="n"/>
      <c r="N131" s="524" t="n"/>
      <c r="O131" s="524" t="n"/>
      <c r="P131" s="26" t="n"/>
      <c r="Q131" s="26" t="n"/>
      <c r="R131" s="26" t="n"/>
      <c r="S131" s="26" t="n"/>
      <c r="T131" s="405" t="n"/>
      <c r="U131" s="26" t="n"/>
      <c r="V131" s="26" t="n"/>
      <c r="W131" s="26" t="n"/>
      <c r="X131" s="26" t="n"/>
      <c r="Y131" s="26" t="n"/>
      <c r="Z131" s="26" t="n"/>
      <c r="AA131" s="26" t="n"/>
      <c r="AB131" s="26" t="n"/>
      <c r="AC131" s="26" t="n"/>
      <c r="AD131" s="26" t="n"/>
      <c r="AE131" s="27" t="n"/>
    </row>
    <row r="132" s="3154" customFormat="1" ht="13.5" customHeight="1">
      <c r="A132" s="525" t="inlineStr">
        <is>
          <t xml:space="preserve">TERMINAL SALE ASSUMPTIONS</t>
        </is>
      </c>
      <c r="B132" s="526" t="n"/>
      <c r="C132" s="526" t="n"/>
      <c r="D132" s="527" t="n"/>
      <c r="E132" s="167" t="n"/>
      <c r="F132" s="525" t="inlineStr">
        <is>
          <t xml:space="preserve">INFLATION ASSUMPTIONS</t>
        </is>
      </c>
      <c r="G132" s="526" t="n"/>
      <c r="H132" s="526" t="n"/>
      <c r="I132" s="526" t="n"/>
      <c r="J132" s="526" t="n"/>
      <c r="K132" s="526" t="n"/>
      <c r="L132" s="526" t="n"/>
      <c r="M132" s="526" t="n"/>
      <c r="N132" s="526" t="n"/>
      <c r="O132" s="527" t="n"/>
      <c r="P132" s="25" t="n"/>
      <c r="Q132" s="26" t="n"/>
      <c r="R132" s="26" t="n"/>
      <c r="S132" s="26" t="n"/>
      <c r="T132" s="26" t="n"/>
      <c r="U132" s="26" t="n"/>
      <c r="V132" s="26" t="n"/>
      <c r="W132" s="26" t="n"/>
      <c r="X132" s="26" t="n"/>
      <c r="Y132" s="26" t="n"/>
      <c r="Z132" s="26" t="n"/>
      <c r="AA132" s="26" t="n"/>
      <c r="AB132" s="26" t="n"/>
      <c r="AC132" s="26" t="n"/>
      <c r="AD132" s="26" t="n"/>
      <c r="AE132" s="27" t="n"/>
    </row>
    <row r="133" s="3154" customFormat="1" ht="13.5" customHeight="1">
      <c r="A133" s="460" t="inlineStr">
        <is>
          <t xml:space="preserve">Month of Sale</t>
        </is>
      </c>
      <c r="B133" s="403" t="n"/>
      <c r="C133" s="528" t="n">
        <f t="array" ref="C133">D23</f>
        <v>50010</v>
      </c>
      <c r="D133" s="3327" t="e">
        <f t="array" ref="D133">E23</f>
      </c>
      <c r="E133" s="167" t="n"/>
      <c r="F133" s="460" t="inlineStr">
        <is>
          <t xml:space="preserve">Inflation Start Year</t>
        </is>
      </c>
      <c r="G133" s="403" t="n"/>
      <c r="H133" s="403" t="n"/>
      <c r="I133" s="366" t="n">
        <v>2</v>
      </c>
      <c r="J133" s="403" t="n"/>
      <c r="K133" s="403" t="n"/>
      <c r="L133" s="403" t="n"/>
      <c r="M133" s="403" t="n"/>
      <c r="N133" s="403" t="n"/>
      <c r="O133" s="404" t="n"/>
      <c r="P133" s="25" t="n"/>
      <c r="Q133" s="26" t="n"/>
      <c r="R133" s="26" t="n"/>
      <c r="S133" s="26" t="n"/>
      <c r="T133" s="26" t="n"/>
      <c r="U133" s="26" t="n"/>
      <c r="V133" s="26" t="n"/>
      <c r="W133" s="26" t="n"/>
      <c r="X133" s="26" t="n"/>
      <c r="Y133" s="26" t="n"/>
      <c r="Z133" s="26" t="n"/>
      <c r="AA133" s="26" t="n"/>
      <c r="AB133" s="26" t="n"/>
      <c r="AC133" s="26" t="n"/>
      <c r="AD133" s="26" t="n"/>
      <c r="AE133" s="27" t="n"/>
    </row>
    <row r="134" s="3154" customFormat="1" ht="13.5" customHeight="1">
      <c r="A134" s="448" t="inlineStr">
        <is>
          <t xml:space="preserve">Terminal Cap Rate</t>
        </is>
      </c>
      <c r="B134" s="405" t="n"/>
      <c r="C134" s="405" t="n"/>
      <c r="D134" s="530" t="n">
        <v>0.08500000000000001</v>
      </c>
      <c r="E134" s="167" t="n"/>
      <c r="F134" s="448" t="inlineStr">
        <is>
          <t xml:space="preserve">Inflation Percent</t>
        </is>
      </c>
      <c r="G134" s="405" t="n"/>
      <c r="H134" s="405" t="n"/>
      <c r="I134" s="531" t="n">
        <v>0.02</v>
      </c>
      <c r="J134" s="405" t="n"/>
      <c r="K134" s="405" t="n"/>
      <c r="L134" s="405" t="n"/>
      <c r="M134" s="405" t="n"/>
      <c r="N134" s="405" t="n"/>
      <c r="O134" s="428" t="n"/>
      <c r="P134" s="25" t="n"/>
      <c r="Q134" s="26" t="n"/>
      <c r="R134" s="26" t="n"/>
      <c r="S134" s="26" t="n"/>
      <c r="T134" s="26" t="n"/>
      <c r="U134" s="26" t="n"/>
      <c r="V134" s="26" t="n"/>
      <c r="W134" s="26" t="n"/>
      <c r="X134" s="26" t="n"/>
      <c r="Y134" s="26" t="n"/>
      <c r="Z134" s="26" t="n"/>
      <c r="AA134" s="26" t="n"/>
      <c r="AB134" s="26" t="n"/>
      <c r="AC134" s="26" t="n"/>
      <c r="AD134" s="26" t="n"/>
      <c r="AE134" s="27" t="n"/>
    </row>
    <row r="135" s="3154" customFormat="1" ht="13.5" customHeight="1">
      <c r="A135" s="466" t="inlineStr">
        <is>
          <t xml:space="preserve">Sales Costs</t>
        </is>
      </c>
      <c r="B135" s="422" t="n"/>
      <c r="C135" s="422" t="n"/>
      <c r="D135" s="532" t="n">
        <v>0.015</v>
      </c>
      <c r="E135" s="167" t="n"/>
      <c r="F135" s="194" t="n"/>
      <c r="G135" s="163" t="n"/>
      <c r="H135" s="163" t="n"/>
      <c r="I135" s="163" t="n"/>
      <c r="J135" s="163" t="n"/>
      <c r="K135" s="163" t="n"/>
      <c r="L135" s="163" t="n"/>
      <c r="M135" s="163" t="n"/>
      <c r="N135" s="163" t="n"/>
      <c r="O135" s="192" t="n"/>
      <c r="P135" s="25" t="n"/>
      <c r="Q135" s="26" t="n"/>
      <c r="R135" s="26" t="n"/>
      <c r="S135" s="26" t="n"/>
      <c r="T135" s="26" t="n"/>
      <c r="U135" s="26" t="n"/>
      <c r="V135" s="26" t="n"/>
      <c r="W135" s="26" t="n"/>
      <c r="X135" s="26" t="n"/>
      <c r="Y135" s="26" t="n"/>
      <c r="Z135" s="26" t="n"/>
      <c r="AA135" s="26" t="n"/>
      <c r="AB135" s="26" t="n"/>
      <c r="AC135" s="26" t="n"/>
      <c r="AD135" s="26" t="n"/>
      <c r="AE135" s="27" t="n"/>
    </row>
    <row r="136" s="3154" customFormat="1" ht="14.600000381469727" customHeight="1">
      <c r="A136" s="533" t="n"/>
      <c r="B136" s="534" t="n"/>
      <c r="C136" s="534" t="n"/>
      <c r="D136" s="534" t="n"/>
      <c r="E136" s="38" t="n"/>
      <c r="F136" s="534" t="n"/>
      <c r="G136" s="534" t="n"/>
      <c r="H136" s="534" t="n"/>
      <c r="I136" s="534" t="n"/>
      <c r="J136" s="534" t="n"/>
      <c r="K136" s="534" t="n"/>
      <c r="L136" s="534" t="n"/>
      <c r="M136" s="534" t="n"/>
      <c r="N136" s="534" t="n"/>
      <c r="O136" s="534" t="n"/>
      <c r="P136" s="38" t="n"/>
      <c r="Q136" s="38" t="n"/>
      <c r="R136" s="38" t="n"/>
      <c r="S136" s="38" t="n"/>
      <c r="T136" s="38" t="n"/>
      <c r="U136" s="38" t="n"/>
      <c r="V136" s="38" t="n"/>
      <c r="W136" s="38" t="n"/>
      <c r="X136" s="38" t="n"/>
      <c r="Y136" s="38" t="n"/>
      <c r="Z136" s="38" t="n"/>
      <c r="AA136" s="38" t="n"/>
      <c r="AB136" s="38" t="n"/>
      <c r="AC136" s="38" t="n"/>
      <c r="AD136" s="38" t="n"/>
      <c r="AE136" s="39" t="n"/>
    </row>
    <row r="137" s="3154" customFormat="1" ht="14.600000381469727" customHeight="1">
      <c r="A137" s="40" t="n"/>
      <c r="B137" s="38" t="n"/>
      <c r="C137" s="38" t="n"/>
      <c r="D137" s="38" t="n"/>
      <c r="E137" s="38" t="n"/>
      <c r="F137" s="38" t="n"/>
      <c r="G137" s="38" t="n"/>
      <c r="H137" s="38" t="n"/>
      <c r="I137" s="38" t="n"/>
      <c r="J137" s="38" t="n"/>
      <c r="K137" s="38" t="n"/>
      <c r="L137" s="38" t="n"/>
      <c r="M137" s="38" t="n"/>
      <c r="N137" s="38" t="n"/>
      <c r="O137" s="38" t="n"/>
      <c r="P137" s="38" t="n"/>
      <c r="Q137" s="38" t="n"/>
      <c r="R137" s="38" t="n"/>
      <c r="S137" s="38" t="n"/>
      <c r="T137" s="38" t="n"/>
      <c r="U137" s="38" t="n"/>
      <c r="V137" s="38" t="n"/>
      <c r="W137" s="38" t="n"/>
      <c r="X137" s="38" t="n"/>
      <c r="Y137" s="38" t="n"/>
      <c r="Z137" s="38" t="n"/>
      <c r="AA137" s="38" t="n"/>
      <c r="AB137" s="38" t="n"/>
      <c r="AC137" s="38" t="n"/>
      <c r="AD137" s="38" t="n"/>
      <c r="AE137" s="39" t="n"/>
    </row>
    <row r="138" s="3154" customFormat="1" ht="14.600000381469727" customHeight="1">
      <c r="A138" s="40" t="n"/>
      <c r="B138" s="38" t="n"/>
      <c r="C138" s="38" t="n"/>
      <c r="D138" s="38" t="n"/>
      <c r="E138" s="38" t="n"/>
      <c r="F138" s="38" t="n"/>
      <c r="G138" s="38" t="n"/>
      <c r="H138" s="38" t="n"/>
      <c r="I138" s="38" t="n"/>
      <c r="J138" s="38" t="n"/>
      <c r="K138" s="38" t="n"/>
      <c r="L138" s="38" t="n"/>
      <c r="M138" s="38" t="n"/>
      <c r="N138" s="38" t="n"/>
      <c r="O138" s="38" t="n"/>
      <c r="P138" s="38" t="n"/>
      <c r="Q138" s="38" t="n"/>
      <c r="R138" s="38" t="n"/>
      <c r="S138" s="38" t="n"/>
      <c r="T138" s="38" t="n"/>
      <c r="U138" s="38" t="n"/>
      <c r="V138" s="38" t="n"/>
      <c r="W138" s="38" t="n"/>
      <c r="X138" s="38" t="n"/>
      <c r="Y138" s="38" t="n"/>
      <c r="Z138" s="38" t="n"/>
      <c r="AA138" s="38" t="n"/>
      <c r="AB138" s="38" t="n"/>
      <c r="AC138" s="38" t="n"/>
      <c r="AD138" s="38" t="n"/>
      <c r="AE138" s="39" t="n"/>
    </row>
    <row r="139" s="3154" customFormat="1" ht="14.600000381469727" customHeight="1">
      <c r="A139" s="40" t="n"/>
      <c r="B139" s="38" t="n"/>
      <c r="C139" s="38" t="n"/>
      <c r="D139" s="38" t="n"/>
      <c r="E139" s="38" t="n"/>
      <c r="F139" s="38" t="n"/>
      <c r="G139" s="38" t="n"/>
      <c r="H139" s="38" t="n"/>
      <c r="I139" s="38" t="n"/>
      <c r="J139" s="38" t="n"/>
      <c r="K139" s="38" t="n"/>
      <c r="L139" s="38" t="n"/>
      <c r="M139" s="38" t="n"/>
      <c r="N139" s="38" t="n"/>
      <c r="O139" s="38" t="n"/>
      <c r="P139" s="38" t="n"/>
      <c r="Q139" s="38" t="n"/>
      <c r="R139" s="38" t="n"/>
      <c r="S139" s="38" t="n"/>
      <c r="T139" s="38" t="n"/>
      <c r="U139" s="38" t="n"/>
      <c r="V139" s="38" t="n"/>
      <c r="W139" s="38" t="n"/>
      <c r="X139" s="38" t="n"/>
      <c r="Y139" s="38" t="n"/>
      <c r="Z139" s="38" t="n"/>
      <c r="AA139" s="38" t="n"/>
      <c r="AB139" s="38" t="n"/>
      <c r="AC139" s="38" t="n"/>
      <c r="AD139" s="38" t="n"/>
      <c r="AE139" s="39" t="n"/>
    </row>
    <row r="140" s="3154" customFormat="1" ht="14.600000381469727" customHeight="1">
      <c r="A140" s="40" t="n"/>
      <c r="B140" s="38" t="n"/>
      <c r="C140" s="38" t="n"/>
      <c r="D140" s="38" t="n"/>
      <c r="E140" s="38" t="n"/>
      <c r="F140" s="38" t="n"/>
      <c r="G140" s="38" t="n"/>
      <c r="H140" s="38" t="n"/>
      <c r="I140" s="38" t="n"/>
      <c r="J140" s="38" t="n"/>
      <c r="K140" s="38" t="n"/>
      <c r="L140" s="38" t="n"/>
      <c r="M140" s="38" t="n"/>
      <c r="N140" s="38" t="n"/>
      <c r="O140" s="38" t="n"/>
      <c r="P140" s="38" t="n"/>
      <c r="Q140" s="38" t="n"/>
      <c r="R140" s="38" t="n"/>
      <c r="S140" s="38" t="n"/>
      <c r="T140" s="38" t="n"/>
      <c r="U140" s="38" t="n"/>
      <c r="V140" s="38" t="n"/>
      <c r="W140" s="38" t="n"/>
      <c r="X140" s="38" t="n"/>
      <c r="Y140" s="38" t="n"/>
      <c r="Z140" s="38" t="n"/>
      <c r="AA140" s="38" t="n"/>
      <c r="AB140" s="38" t="n"/>
      <c r="AC140" s="38" t="n"/>
      <c r="AD140" s="38" t="n"/>
      <c r="AE140" s="39" t="n"/>
    </row>
    <row r="141" s="3154" customFormat="1" ht="14.600000381469727" customHeight="1">
      <c r="A141" s="41" t="n"/>
      <c r="B141" s="42" t="n"/>
      <c r="C141" s="42" t="n"/>
      <c r="D141" s="42" t="n"/>
      <c r="E141" s="42" t="n"/>
      <c r="F141" s="42" t="n"/>
      <c r="G141" s="42" t="n"/>
      <c r="H141" s="42" t="n"/>
      <c r="I141" s="42" t="n"/>
      <c r="J141" s="42" t="n"/>
      <c r="K141" s="42" t="n"/>
      <c r="L141" s="42" t="n"/>
      <c r="M141" s="42" t="n"/>
      <c r="N141" s="42" t="n"/>
      <c r="O141" s="42" t="n"/>
      <c r="P141" s="42" t="n"/>
      <c r="Q141" s="42" t="n"/>
      <c r="R141" s="42" t="n"/>
      <c r="S141" s="42" t="n"/>
      <c r="T141" s="42" t="n"/>
      <c r="U141" s="42" t="n"/>
      <c r="V141" s="42" t="n"/>
      <c r="W141" s="42" t="n"/>
      <c r="X141" s="42" t="n"/>
      <c r="Y141" s="42" t="n"/>
      <c r="Z141" s="42" t="n"/>
      <c r="AA141" s="42" t="n"/>
      <c r="AB141" s="42" t="n"/>
      <c r="AC141" s="42" t="n"/>
      <c r="AD141" s="42" t="n"/>
      <c r="AE141" s="43" t="n"/>
    </row>
  </sheetData>
  <mergeCells>
    <mergeCell ref="M1:O1"/>
    <mergeCell ref="H84:I84"/>
  </mergeCells>
  <dataValidations count="7">
    <dataValidation type="list" allowBlank="1" showDropDown="0" showInputMessage="1" showErrorMessage="1" sqref="D39:D41 D47 D60 D63:D64">
      <formula1>"Calculated,Per Occ Rm,Annual Amt"</formula1>
    </dataValidation>
    <dataValidation type="list" allowBlank="1" showDropDown="0" showInputMessage="1" showErrorMessage="1" sqref="D44:D46">
      <formula1>"Calculated,Per Occ Rm,Annual Amt,% Dept Rev"</formula1>
    </dataValidation>
    <dataValidation type="list" allowBlank="1" showDropDown="0" showInputMessage="1" showErrorMessage="1" sqref="D50:D54 D58:D59 D65">
      <formula1>"Calculated,Per Occ Rm,Annual Amt,% Total Rev"</formula1>
    </dataValidation>
    <dataValidation type="list" allowBlank="1" showDropDown="0" showInputMessage="1" showErrorMessage="1" sqref="D55">
      <formula1>"Calculated,Per Occ Rm,Annual Amt,% Room Rev"</formula1>
    </dataValidation>
    <dataValidation type="list" allowBlank="1" showDropDown="0" showInputMessage="1" showErrorMessage="1" sqref="H84">
      <formula1>"Taxes Upon Sale,Estimated Ann Taxes"</formula1>
    </dataValidation>
    <dataValidation type="list" allowBlank="1" showDropDown="0" showInputMessage="1" showErrorMessage="1" sqref="D122 G109:H109">
      <formula1>"Yes,No"</formula1>
    </dataValidation>
    <dataValidation type="list" allowBlank="1" showDropDown="0" showInputMessage="1" showErrorMessage="1" sqref="C123">
      <formula1>"Construction Loan,Underwritten Value"</formula1>
    </dataValidation>
  </dataValidations>
  <pageMargins left="0.7" right="0.7" top="0.75" bottom="0.75" header="0.3" footer="0.3"/>
</worksheet>
</file>

<file path=xl/worksheets/sheet10.xml><?xml version="1.0" encoding="utf-8"?>
<worksheet xmlns="http://schemas.openxmlformats.org/spreadsheetml/2006/main">
  <sheetViews>
    <sheetView showGridLines="0" workbookViewId="0"/>
  </sheetViews>
  <sheetFormatPr baseColWidth="8" defaultColWidth="8.5" defaultRowHeight="15"/>
  <cols>
    <col min="1" max="1" width="42" style="3136" customWidth="1"/>
    <col min="2" max="2" width="14" style="3136" customWidth="1"/>
    <col min="3" max="15" width="12" style="3136" customWidth="1"/>
    <col min="16" max="16384" width="8.5" style="3136" customWidth="1"/>
  </cols>
  <sheetData>
    <row r="1" s="3154" customFormat="1" ht="25.5" customHeight="1">
      <c r="A1" s="3872" t="inlineStr">
        <is>
          <t xml:space="preserve">SLEEP SPACE — MONTHLY OPERATING BUDGET (YEAR 1 = 2027)</t>
        </is>
      </c>
      <c r="B1" s="3202" t="n"/>
      <c r="C1" s="3202" t="n"/>
      <c r="D1" s="3202" t="n"/>
      <c r="E1" s="3202" t="n"/>
      <c r="F1" s="3202" t="n"/>
      <c r="G1" s="3202" t="n"/>
      <c r="H1" s="3202" t="n"/>
      <c r="I1" s="3202" t="n"/>
      <c r="J1" s="3202" t="n"/>
      <c r="K1" s="3202" t="n"/>
      <c r="L1" s="3202" t="n"/>
      <c r="M1" s="3202" t="n"/>
      <c r="N1" s="3202" t="n"/>
      <c r="O1" s="3203" t="n"/>
    </row>
    <row r="2" s="3154" customFormat="1" ht="15" customHeight="1">
      <c r="A2" s="1843" t="str">
        <v>Live monthly P&amp;L — Ethan/JYI format · Sleep Space inputs flow from Assumptions sheet · 100 keys (50 EP + 50 Economy) · blended ADR from room mix · Year 1 = 2027</v>
      </c>
      <c r="B2" s="3204" t="n"/>
      <c r="C2" s="3204" t="n"/>
      <c r="D2" s="3204" t="n"/>
      <c r="E2" s="3204" t="n"/>
      <c r="F2" s="3204" t="n"/>
      <c r="G2" s="3204" t="n"/>
      <c r="H2" s="3204" t="n"/>
      <c r="I2" s="3204" t="n"/>
      <c r="J2" s="3204" t="n"/>
      <c r="K2" s="3204" t="n"/>
      <c r="L2" s="3204" t="n"/>
      <c r="M2" s="3204" t="n"/>
      <c r="N2" s="3204" t="n"/>
      <c r="O2" s="3205" t="n"/>
    </row>
    <row r="3" s="3154" customFormat="1" ht="15" customHeight="1">
      <c r="A3" s="49" t="n"/>
      <c r="B3" s="49" t="n"/>
      <c r="C3" s="49" t="n"/>
      <c r="D3" s="49" t="n"/>
      <c r="E3" s="49" t="n"/>
      <c r="F3" s="49" t="n"/>
      <c r="G3" s="49" t="n"/>
      <c r="H3" s="49" t="n"/>
      <c r="I3" s="49" t="n"/>
      <c r="J3" s="49" t="n"/>
      <c r="K3" s="49" t="n"/>
      <c r="L3" s="49" t="n"/>
      <c r="M3" s="49" t="n"/>
      <c r="N3" s="49" t="n"/>
      <c r="O3" s="49" t="n"/>
    </row>
    <row r="4" s="3154" customFormat="1" ht="15" customHeight="1">
      <c r="A4" s="3873" t="inlineStr">
        <is>
          <t xml:space="preserve">PROJECT PARAMETERS</t>
        </is>
      </c>
      <c r="O4" s="3162" t="n"/>
    </row>
    <row r="5" s="3154" customFormat="1" ht="15" customHeight="1">
      <c r="A5" s="1848" t="inlineStr">
        <is>
          <t xml:space="preserve">Total Keys (rooms)</t>
        </is>
      </c>
      <c r="B5" s="3874" t="n">
        <f t="array" ref="B5">'Assumptions'!J7</f>
        <v>100</v>
      </c>
      <c r="C5" s="635" t="n"/>
      <c r="D5" s="82" t="n"/>
      <c r="E5" s="82" t="n"/>
      <c r="F5" s="82" t="n"/>
      <c r="G5" s="82" t="n"/>
      <c r="H5" s="82" t="n"/>
      <c r="I5" s="82" t="n"/>
      <c r="J5" s="82" t="n"/>
      <c r="K5" s="82" t="n"/>
      <c r="L5" s="82" t="n"/>
      <c r="M5" s="82" t="n"/>
      <c r="N5" s="82" t="n"/>
      <c r="O5" s="82" t="n"/>
    </row>
    <row r="6" s="3154" customFormat="1" ht="15" customHeight="1">
      <c r="A6" s="1850" t="inlineStr">
        <is>
          <t xml:space="preserve">Days in Year</t>
        </is>
      </c>
      <c r="B6" s="3874" t="n">
        <v>365</v>
      </c>
      <c r="C6" s="81" t="n"/>
      <c r="D6" s="50" t="n"/>
      <c r="E6" s="50" t="n"/>
      <c r="F6" s="50" t="n"/>
      <c r="G6" s="50" t="n"/>
      <c r="H6" s="50" t="n"/>
      <c r="I6" s="50" t="n"/>
      <c r="J6" s="50" t="n"/>
      <c r="K6" s="50" t="n"/>
      <c r="L6" s="50" t="n"/>
      <c r="M6" s="50" t="n"/>
      <c r="N6" s="50" t="n"/>
      <c r="O6" s="50" t="n"/>
    </row>
    <row r="7" s="3154" customFormat="1" ht="15" customHeight="1">
      <c r="A7" s="1850" t="inlineStr">
        <is>
          <t xml:space="preserve">Months in Year</t>
        </is>
      </c>
      <c r="B7" s="3874" t="n">
        <v>12</v>
      </c>
      <c r="C7" s="81" t="n"/>
      <c r="D7" s="50" t="n"/>
      <c r="E7" s="50" t="n"/>
      <c r="F7" s="50" t="n"/>
      <c r="G7" s="50" t="n"/>
      <c r="H7" s="50" t="n"/>
      <c r="I7" s="50" t="n"/>
      <c r="J7" s="50" t="n"/>
      <c r="K7" s="50" t="n"/>
      <c r="L7" s="50" t="n"/>
      <c r="M7" s="50" t="n"/>
      <c r="N7" s="50" t="n"/>
      <c r="O7" s="50" t="n"/>
    </row>
    <row r="8" s="3154" customFormat="1" ht="15" customHeight="1">
      <c r="A8" s="1850" t="inlineStr">
        <is>
          <t xml:space="preserve">Year 1 Occupancy %</t>
        </is>
      </c>
      <c r="B8" s="3875" t="n">
        <f t="array" ref="B8">'Assumptions'!F30</f>
        <v>0.55</v>
      </c>
      <c r="C8" s="81" t="n"/>
      <c r="D8" s="50" t="n"/>
      <c r="E8" s="50" t="n"/>
      <c r="F8" s="50" t="n"/>
      <c r="G8" s="50" t="n"/>
      <c r="H8" s="50" t="n"/>
      <c r="I8" s="50" t="n"/>
      <c r="J8" s="50" t="n"/>
      <c r="K8" s="50" t="n"/>
      <c r="L8" s="50" t="n"/>
      <c r="M8" s="50" t="n"/>
      <c r="N8" s="50" t="n"/>
      <c r="O8" s="50" t="n"/>
    </row>
    <row r="9" s="3154" customFormat="1" ht="15" customHeight="1">
      <c r="A9" s="1850" t="inlineStr">
        <is>
          <t xml:space="preserve">Year 1 Blended ADR</t>
        </is>
      </c>
      <c r="B9" s="3876" t="n">
        <f t="array" ref="B9">'Assumptions'!F32</f>
        <v>74</v>
      </c>
      <c r="C9" s="81" t="n"/>
      <c r="D9" s="50" t="n"/>
      <c r="E9" s="50" t="n"/>
      <c r="F9" s="50" t="n"/>
      <c r="G9" s="50" t="n"/>
      <c r="H9" s="50" t="n"/>
      <c r="I9" s="50" t="n"/>
      <c r="J9" s="50" t="n"/>
      <c r="K9" s="50" t="n"/>
      <c r="L9" s="50" t="n"/>
      <c r="M9" s="50" t="n"/>
      <c r="N9" s="50" t="n"/>
      <c r="O9" s="50" t="n"/>
    </row>
    <row r="10" s="3154" customFormat="1" ht="15" customHeight="1">
      <c r="A10" s="64" t="inlineStr">
        <is>
          <t xml:space="preserve">Year 1 RevPAR</t>
        </is>
      </c>
      <c r="B10" s="3877" t="n">
        <f t="array" ref="B10">B8*B9</f>
        <v>40.7</v>
      </c>
      <c r="C10" s="50" t="n"/>
      <c r="D10" s="50" t="n"/>
      <c r="E10" s="50" t="n"/>
      <c r="F10" s="50" t="n"/>
      <c r="G10" s="50" t="n"/>
      <c r="H10" s="50" t="n"/>
      <c r="I10" s="50" t="n"/>
      <c r="J10" s="50" t="n"/>
      <c r="K10" s="50" t="n"/>
      <c r="L10" s="50" t="n"/>
      <c r="M10" s="50" t="n"/>
      <c r="N10" s="50" t="n"/>
      <c r="O10" s="50" t="n"/>
    </row>
    <row r="11" s="3154" customFormat="1" ht="15" customHeight="1">
      <c r="A11" s="64" t="inlineStr">
        <is>
          <t xml:space="preserve">Year 1 Rooms Sold (annual)</t>
        </is>
      </c>
      <c r="B11" s="3878" t="n">
        <f t="array" ref="B11">B5*B6*B8</f>
        <v>20075</v>
      </c>
      <c r="C11" s="50" t="n"/>
      <c r="D11" s="50" t="n"/>
      <c r="E11" s="50" t="n"/>
      <c r="F11" s="50" t="n"/>
      <c r="G11" s="50" t="n"/>
      <c r="H11" s="50" t="n"/>
      <c r="I11" s="50" t="n"/>
      <c r="J11" s="50" t="n"/>
      <c r="K11" s="50" t="n"/>
      <c r="L11" s="50" t="n"/>
      <c r="M11" s="50" t="n"/>
      <c r="N11" s="50" t="n"/>
      <c r="O11" s="50" t="n"/>
    </row>
    <row r="12" s="3154" customFormat="1" ht="15" customHeight="1">
      <c r="A12" s="49" t="n"/>
      <c r="B12" s="49" t="n"/>
      <c r="C12" s="49" t="n"/>
      <c r="D12" s="49" t="n"/>
      <c r="E12" s="49" t="n"/>
      <c r="F12" s="49" t="n"/>
      <c r="G12" s="49" t="n"/>
      <c r="H12" s="49" t="n"/>
      <c r="I12" s="49" t="n"/>
      <c r="J12" s="49" t="n"/>
      <c r="K12" s="49" t="n"/>
      <c r="L12" s="49" t="n"/>
      <c r="M12" s="49" t="n"/>
      <c r="N12" s="49" t="n"/>
      <c r="O12" s="49" t="n"/>
    </row>
    <row r="13" s="3154" customFormat="1" ht="15" customHeight="1">
      <c r="A13" s="1845" t="inlineStr">
        <is>
          <t xml:space="preserve">MONTHLY DETAIL</t>
        </is>
      </c>
      <c r="B13" s="1855" t="inlineStr">
        <is>
          <t xml:space="preserve">Driver</t>
        </is>
      </c>
      <c r="C13" s="1856" t="inlineStr">
        <is>
          <t xml:space="preserve">Jan</t>
        </is>
      </c>
      <c r="D13" s="1856" t="inlineStr">
        <is>
          <t xml:space="preserve">Feb</t>
        </is>
      </c>
      <c r="E13" s="1856" t="inlineStr">
        <is>
          <t xml:space="preserve">Mar</t>
        </is>
      </c>
      <c r="F13" s="1856" t="inlineStr">
        <is>
          <t xml:space="preserve">Apr</t>
        </is>
      </c>
      <c r="G13" s="1856" t="inlineStr">
        <is>
          <t xml:space="preserve">May</t>
        </is>
      </c>
      <c r="H13" s="1856" t="inlineStr">
        <is>
          <t xml:space="preserve">Jun</t>
        </is>
      </c>
      <c r="I13" s="1856" t="inlineStr">
        <is>
          <t xml:space="preserve">Jul</t>
        </is>
      </c>
      <c r="J13" s="1856" t="inlineStr">
        <is>
          <t xml:space="preserve">Aug</t>
        </is>
      </c>
      <c r="K13" s="1856" t="inlineStr">
        <is>
          <t xml:space="preserve">Sep</t>
        </is>
      </c>
      <c r="L13" s="1856" t="inlineStr">
        <is>
          <t xml:space="preserve">Oct</t>
        </is>
      </c>
      <c r="M13" s="1856" t="inlineStr">
        <is>
          <t xml:space="preserve">Nov</t>
        </is>
      </c>
      <c r="N13" s="1856" t="inlineStr">
        <is>
          <t xml:space="preserve">Dec</t>
        </is>
      </c>
      <c r="O13" s="1857" t="inlineStr">
        <is>
          <t xml:space="preserve">Annual</t>
        </is>
      </c>
    </row>
    <row r="14" s="3154" customFormat="1" ht="15" customHeight="1">
      <c r="A14" s="109" t="inlineStr">
        <is>
          <t xml:space="preserve">Days in Month</t>
        </is>
      </c>
      <c r="B14" s="82" t="n"/>
      <c r="C14" s="3879" t="n">
        <v>31</v>
      </c>
      <c r="D14" s="3879" t="n">
        <v>28</v>
      </c>
      <c r="E14" s="3879" t="n">
        <v>31</v>
      </c>
      <c r="F14" s="3879" t="n">
        <v>30</v>
      </c>
      <c r="G14" s="3879" t="n">
        <v>31</v>
      </c>
      <c r="H14" s="3879" t="n">
        <v>30</v>
      </c>
      <c r="I14" s="3879" t="n">
        <v>31</v>
      </c>
      <c r="J14" s="3879" t="n">
        <v>31</v>
      </c>
      <c r="K14" s="3879" t="n">
        <v>30</v>
      </c>
      <c r="L14" s="3879" t="n">
        <v>31</v>
      </c>
      <c r="M14" s="3879" t="n">
        <v>30</v>
      </c>
      <c r="N14" s="3879" t="n">
        <v>31</v>
      </c>
      <c r="O14" s="3880" t="n">
        <f t="array" ref="O14">SUM(C14:N14)</f>
        <v>365</v>
      </c>
    </row>
    <row r="15" s="3154" customFormat="1" ht="15" customHeight="1">
      <c r="A15" s="111" t="inlineStr">
        <is>
          <t xml:space="preserve">Seasonality factor</t>
        </is>
      </c>
      <c r="B15" s="85" t="n"/>
      <c r="C15" s="3881" t="n">
        <v>0.075</v>
      </c>
      <c r="D15" s="3881" t="n">
        <v>0.07000000000000001</v>
      </c>
      <c r="E15" s="3881" t="n">
        <v>0.08</v>
      </c>
      <c r="F15" s="3881" t="n">
        <v>0.08500000000000001</v>
      </c>
      <c r="G15" s="3881" t="n">
        <v>0.09</v>
      </c>
      <c r="H15" s="3881" t="n">
        <v>0.095</v>
      </c>
      <c r="I15" s="3881" t="n">
        <v>0.1</v>
      </c>
      <c r="J15" s="3881" t="n">
        <v>0.1</v>
      </c>
      <c r="K15" s="3881" t="n">
        <v>0.09</v>
      </c>
      <c r="L15" s="3881" t="n">
        <v>0.08500000000000001</v>
      </c>
      <c r="M15" s="3881" t="n">
        <v>0.07000000000000001</v>
      </c>
      <c r="N15" s="3881" t="n">
        <v>0.06</v>
      </c>
      <c r="O15" s="3882" t="n">
        <f t="array" ref="O15">SUM(C15:N15)</f>
        <v>1</v>
      </c>
    </row>
    <row r="16" s="3154" customFormat="1" ht="15" customHeight="1">
      <c r="A16" s="64" t="inlineStr">
        <is>
          <t xml:space="preserve">Rooms Sold (monthly)</t>
        </is>
      </c>
      <c r="B16" s="50" t="n"/>
      <c r="C16" s="3883" t="n">
        <f t="array" ref="C16">$B$11*C15</f>
        <v>1505.625</v>
      </c>
      <c r="D16" s="3883" t="n">
        <f t="array" ref="D16">$B$11*D15</f>
        <v>1405.2500000000002</v>
      </c>
      <c r="E16" s="3883" t="n">
        <f t="array" ref="E16">$B$11*E15</f>
        <v>1606</v>
      </c>
      <c r="F16" s="3883" t="n">
        <f t="array" ref="F16">$B$11*F15</f>
        <v>1706.3750000000002</v>
      </c>
      <c r="G16" s="3883" t="n">
        <f t="array" ref="G16">$B$11*G15</f>
        <v>1806.75</v>
      </c>
      <c r="H16" s="3883" t="n">
        <f t="array" ref="H16">$B$11*H15</f>
        <v>1907.125</v>
      </c>
      <c r="I16" s="3883" t="n">
        <f t="array" ref="I16">$B$11*I15</f>
        <v>2007.5</v>
      </c>
      <c r="J16" s="3883" t="n">
        <f t="array" ref="J16">$B$11*J15</f>
        <v>2007.5</v>
      </c>
      <c r="K16" s="3883" t="n">
        <f t="array" ref="K16">$B$11*K15</f>
        <v>1806.75</v>
      </c>
      <c r="L16" s="3883" t="n">
        <f t="array" ref="L16">$B$11*L15</f>
        <v>1706.3750000000002</v>
      </c>
      <c r="M16" s="3883" t="n">
        <f t="array" ref="M16">$B$11*M15</f>
        <v>1405.2500000000002</v>
      </c>
      <c r="N16" s="3883" t="n">
        <f t="array" ref="N16">$B$11*N15</f>
        <v>1204.5</v>
      </c>
      <c r="O16" s="3878" t="n">
        <f t="array" ref="O16">SUM(C16:N16)</f>
        <v>20075</v>
      </c>
    </row>
    <row r="17" s="3154" customFormat="1" ht="15" customHeight="1">
      <c r="A17" s="49" t="n"/>
      <c r="B17" s="49" t="n"/>
      <c r="C17" s="49" t="n"/>
      <c r="D17" s="49" t="n"/>
      <c r="E17" s="49" t="n"/>
      <c r="F17" s="49" t="n"/>
      <c r="G17" s="49" t="n"/>
      <c r="H17" s="49" t="n"/>
      <c r="I17" s="49" t="n"/>
      <c r="J17" s="49" t="n"/>
      <c r="K17" s="49" t="n"/>
      <c r="L17" s="49" t="n"/>
      <c r="M17" s="49" t="n"/>
      <c r="N17" s="49" t="n"/>
      <c r="O17" s="49" t="n"/>
    </row>
    <row r="18" s="3154" customFormat="1" ht="15" customHeight="1">
      <c r="A18" s="3873" t="inlineStr">
        <is>
          <t xml:space="preserve">REVENUE</t>
        </is>
      </c>
      <c r="O18" s="3162" t="n"/>
    </row>
    <row r="19" s="3154" customFormat="1" ht="15" customHeight="1">
      <c r="A19" s="57" t="inlineStr">
        <is>
          <t xml:space="preserve">Room Revenue</t>
        </is>
      </c>
      <c r="B19" s="1863" t="inlineStr">
        <is>
          <t xml:space="preserve">Rooms × ADR</t>
        </is>
      </c>
      <c r="C19" s="3884" t="e">
        <f t="array" ref="C19">'Hotel Operating'!$C$21*C$15</f>
      </c>
      <c r="D19" s="3884" t="e">
        <f t="array" ref="D19">'Hotel Operating'!$C$21*D$15</f>
      </c>
      <c r="E19" s="3884" t="e">
        <f t="array" ref="E19">'Hotel Operating'!$C$21*E$15</f>
      </c>
      <c r="F19" s="3884" t="e">
        <f t="array" ref="F19">'Hotel Operating'!$C$21*F$15</f>
      </c>
      <c r="G19" s="3884" t="e">
        <f t="array" ref="G19">'Hotel Operating'!$C$21*G$15</f>
      </c>
      <c r="H19" s="3884" t="e">
        <f t="array" ref="H19">'Hotel Operating'!$C$21*H$15</f>
      </c>
      <c r="I19" s="3884" t="e">
        <f t="array" ref="I19">'Hotel Operating'!$C$21*I$15</f>
      </c>
      <c r="J19" s="3884" t="e">
        <f t="array" ref="J19">'Hotel Operating'!$C$21*J$15</f>
      </c>
      <c r="K19" s="3884" t="e">
        <f t="array" ref="K19">'Hotel Operating'!$C$21*K$15</f>
      </c>
      <c r="L19" s="3884" t="e">
        <f t="array" ref="L19">'Hotel Operating'!$C$21*L$15</f>
      </c>
      <c r="M19" s="3884" t="e">
        <f t="array" ref="M19">'Hotel Operating'!$C$21*M$15</f>
      </c>
      <c r="N19" s="3884" t="e">
        <f t="array" ref="N19">'Hotel Operating'!$C$21*N$15</f>
      </c>
      <c r="O19" s="3885" t="e">
        <f t="array" ref="O19">SUM(C19:N19)</f>
      </c>
    </row>
    <row r="20" s="3154" customFormat="1" ht="15" customHeight="1">
      <c r="A20" s="72" t="inlineStr">
        <is>
          <t xml:space="preserve">Other Revenue (vending/misc)</t>
        </is>
      </c>
      <c r="B20" s="1866" t="inlineStr">
        <is>
          <t xml:space="preserve">$3/occ rm</t>
        </is>
      </c>
      <c r="C20" s="3884" t="e">
        <f t="array" ref="C20">'Hotel Operating'!$C$24*C$15</f>
      </c>
      <c r="D20" s="3884" t="e">
        <f t="array" ref="D20">'Hotel Operating'!$C$24*D$15</f>
      </c>
      <c r="E20" s="3884" t="e">
        <f t="array" ref="E20">'Hotel Operating'!$C$24*E$15</f>
      </c>
      <c r="F20" s="3884" t="e">
        <f t="array" ref="F20">'Hotel Operating'!$C$24*F$15</f>
      </c>
      <c r="G20" s="3884" t="e">
        <f t="array" ref="G20">'Hotel Operating'!$C$24*G$15</f>
      </c>
      <c r="H20" s="3884" t="e">
        <f t="array" ref="H20">'Hotel Operating'!$C$24*H$15</f>
      </c>
      <c r="I20" s="3884" t="e">
        <f t="array" ref="I20">'Hotel Operating'!$C$24*I$15</f>
      </c>
      <c r="J20" s="3884" t="e">
        <f t="array" ref="J20">'Hotel Operating'!$C$24*J$15</f>
      </c>
      <c r="K20" s="3884" t="e">
        <f t="array" ref="K20">'Hotel Operating'!$C$24*K$15</f>
      </c>
      <c r="L20" s="3884" t="e">
        <f t="array" ref="L20">'Hotel Operating'!$C$24*L$15</f>
      </c>
      <c r="M20" s="3884" t="e">
        <f t="array" ref="M20">'Hotel Operating'!$C$24*M$15</f>
      </c>
      <c r="N20" s="3884" t="e">
        <f t="array" ref="N20">'Hotel Operating'!$C$24*N$15</f>
      </c>
      <c r="O20" s="3885" t="e">
        <f t="array" ref="O20">SUM(C20:N20)</f>
      </c>
    </row>
    <row r="21" s="3154" customFormat="1" ht="15" customHeight="1">
      <c r="A21" s="1867" t="inlineStr">
        <is>
          <t xml:space="preserve">Total Revenue</t>
        </is>
      </c>
      <c r="B21" s="53" t="n"/>
      <c r="C21" s="3886" t="e">
        <f t="array" ref="C21">C19+C20</f>
      </c>
      <c r="D21" s="3886" t="e">
        <f t="array" ref="D21">D19+D20</f>
      </c>
      <c r="E21" s="3886" t="e">
        <f t="array" ref="E21">E19+E20</f>
      </c>
      <c r="F21" s="3886" t="e">
        <f t="array" ref="F21">F19+F20</f>
      </c>
      <c r="G21" s="3886" t="e">
        <f t="array" ref="G21">G19+G20</f>
      </c>
      <c r="H21" s="3886" t="e">
        <f t="array" ref="H21">H19+H20</f>
      </c>
      <c r="I21" s="3886" t="e">
        <f t="array" ref="I21">I19+I20</f>
      </c>
      <c r="J21" s="3886" t="e">
        <f t="array" ref="J21">J19+J20</f>
      </c>
      <c r="K21" s="3886" t="e">
        <f t="array" ref="K21">K19+K20</f>
      </c>
      <c r="L21" s="3886" t="e">
        <f t="array" ref="L21">L19+L20</f>
      </c>
      <c r="M21" s="3886" t="e">
        <f t="array" ref="M21">M19+M20</f>
      </c>
      <c r="N21" s="3886" t="e">
        <f t="array" ref="N21">N19+N20</f>
      </c>
      <c r="O21" s="3887" t="e">
        <f t="array" ref="O21">O19+O20</f>
      </c>
    </row>
    <row r="22" s="3154" customFormat="1" ht="15" customHeight="1">
      <c r="A22" s="99" t="n"/>
      <c r="B22" s="49" t="n"/>
      <c r="C22" s="99" t="n"/>
      <c r="D22" s="99" t="n"/>
      <c r="E22" s="99" t="n"/>
      <c r="F22" s="99" t="n"/>
      <c r="G22" s="99" t="n"/>
      <c r="H22" s="99" t="n"/>
      <c r="I22" s="99" t="n"/>
      <c r="J22" s="99" t="n"/>
      <c r="K22" s="99" t="n"/>
      <c r="L22" s="99" t="n"/>
      <c r="M22" s="99" t="n"/>
      <c r="N22" s="99" t="n"/>
      <c r="O22" s="99" t="n"/>
    </row>
    <row r="23" s="3154" customFormat="1" ht="15" customHeight="1">
      <c r="A23" s="3873" t="inlineStr">
        <is>
          <t xml:space="preserve">OPERATING EXPENSES</t>
        </is>
      </c>
      <c r="O23" s="3162" t="n"/>
    </row>
    <row r="24" s="3154" customFormat="1" ht="15" customHeight="1">
      <c r="A24" s="57" t="inlineStr">
        <is>
          <t xml:space="preserve">Room Expenses</t>
        </is>
      </c>
      <c r="B24" s="109" t="inlineStr">
        <is>
          <t xml:space="preserve">% of Rooms Rev</t>
        </is>
      </c>
      <c r="C24" s="3165" t="e">
        <f t="array" ref="C24">'Hotel Operating'!$C$32*C$15</f>
      </c>
      <c r="D24" s="3165" t="e">
        <f t="array" ref="D24">'Hotel Operating'!$C$32*D$15</f>
      </c>
      <c r="E24" s="3165" t="e">
        <f t="array" ref="E24">'Hotel Operating'!$C$32*E$15</f>
      </c>
      <c r="F24" s="3165" t="e">
        <f t="array" ref="F24">'Hotel Operating'!$C$32*F$15</f>
      </c>
      <c r="G24" s="3165" t="e">
        <f t="array" ref="G24">'Hotel Operating'!$C$32*G$15</f>
      </c>
      <c r="H24" s="3165" t="e">
        <f t="array" ref="H24">'Hotel Operating'!$C$32*H$15</f>
      </c>
      <c r="I24" s="3165" t="e">
        <f t="array" ref="I24">'Hotel Operating'!$C$32*I$15</f>
      </c>
      <c r="J24" s="3165" t="e">
        <f t="array" ref="J24">'Hotel Operating'!$C$32*J$15</f>
      </c>
      <c r="K24" s="3165" t="e">
        <f t="array" ref="K24">'Hotel Operating'!$C$32*K$15</f>
      </c>
      <c r="L24" s="3165" t="e">
        <f t="array" ref="L24">'Hotel Operating'!$C$32*L$15</f>
      </c>
      <c r="M24" s="3165" t="e">
        <f t="array" ref="M24">'Hotel Operating'!$C$32*M$15</f>
      </c>
      <c r="N24" s="3165" t="e">
        <f t="array" ref="N24">'Hotel Operating'!$C$32*N$15</f>
      </c>
      <c r="O24" s="3888" t="e">
        <f t="array" ref="O24">SUM(C24:N24)</f>
      </c>
    </row>
    <row r="25" s="3154" customFormat="1" ht="15" customHeight="1">
      <c r="A25" s="64" t="inlineStr">
        <is>
          <t xml:space="preserve">(included in Info &amp; Telecom below)</t>
        </is>
      </c>
      <c r="B25" s="111" t="inlineStr">
        <is>
          <t xml:space="preserve">Telephone/Internet Expense</t>
        </is>
      </c>
      <c r="C25" s="3171" t="n">
        <v>0</v>
      </c>
      <c r="D25" s="3171" t="n">
        <v>0</v>
      </c>
      <c r="E25" s="3171" t="n">
        <v>0</v>
      </c>
      <c r="F25" s="3171" t="n">
        <v>0</v>
      </c>
      <c r="G25" s="3171" t="n">
        <v>0</v>
      </c>
      <c r="H25" s="3171" t="n">
        <v>0</v>
      </c>
      <c r="I25" s="3171" t="n">
        <v>0</v>
      </c>
      <c r="J25" s="3171" t="n">
        <v>0</v>
      </c>
      <c r="K25" s="3171" t="n">
        <v>0</v>
      </c>
      <c r="L25" s="3171" t="n">
        <v>0</v>
      </c>
      <c r="M25" s="3171" t="n">
        <v>0</v>
      </c>
      <c r="N25" s="3171" t="n">
        <v>0</v>
      </c>
      <c r="O25" s="3197" t="n">
        <v>0</v>
      </c>
    </row>
    <row r="26" s="3154" customFormat="1" ht="15" customHeight="1">
      <c r="A26" s="64" t="inlineStr">
        <is>
          <t xml:space="preserve">Admin &amp; General</t>
        </is>
      </c>
      <c r="B26" s="111" t="inlineStr">
        <is>
          <t xml:space="preserve">% of Total Rev</t>
        </is>
      </c>
      <c r="C26" s="3171" t="e">
        <f t="array" ref="C26">'Hotel Operating'!$C$37*C$15</f>
      </c>
      <c r="D26" s="3171" t="e">
        <f t="array" ref="D26">'Hotel Operating'!$C$37*D$15</f>
      </c>
      <c r="E26" s="3171" t="e">
        <f t="array" ref="E26">'Hotel Operating'!$C$37*E$15</f>
      </c>
      <c r="F26" s="3171" t="e">
        <f t="array" ref="F26">'Hotel Operating'!$C$37*F$15</f>
      </c>
      <c r="G26" s="3171" t="e">
        <f t="array" ref="G26">'Hotel Operating'!$C$37*G$15</f>
      </c>
      <c r="H26" s="3171" t="e">
        <f t="array" ref="H26">'Hotel Operating'!$C$37*H$15</f>
      </c>
      <c r="I26" s="3171" t="e">
        <f t="array" ref="I26">'Hotel Operating'!$C$37*I$15</f>
      </c>
      <c r="J26" s="3171" t="e">
        <f t="array" ref="J26">'Hotel Operating'!$C$37*J$15</f>
      </c>
      <c r="K26" s="3171" t="e">
        <f t="array" ref="K26">'Hotel Operating'!$C$37*K$15</f>
      </c>
      <c r="L26" s="3171" t="e">
        <f t="array" ref="L26">'Hotel Operating'!$C$37*L$15</f>
      </c>
      <c r="M26" s="3171" t="e">
        <f t="array" ref="M26">'Hotel Operating'!$C$37*M$15</f>
      </c>
      <c r="N26" s="3171" t="e">
        <f t="array" ref="N26">'Hotel Operating'!$C$37*N$15</f>
      </c>
      <c r="O26" s="3197" t="e">
        <f t="array" ref="O26">SUM(C26:N26)</f>
      </c>
    </row>
    <row r="27" s="3154" customFormat="1" ht="15" customHeight="1">
      <c r="A27" s="64" t="inlineStr">
        <is>
          <t xml:space="preserve">Advertising/Promo</t>
        </is>
      </c>
      <c r="B27" s="111" t="inlineStr">
        <is>
          <t xml:space="preserve">% of Total Rev</t>
        </is>
      </c>
      <c r="C27" s="3171" t="e">
        <f t="array" ref="C27">'Hotel Operating'!$C$38*C$15</f>
      </c>
      <c r="D27" s="3171" t="e">
        <f t="array" ref="D27">'Hotel Operating'!$C$38*D$15</f>
      </c>
      <c r="E27" s="3171" t="e">
        <f t="array" ref="E27">'Hotel Operating'!$C$38*E$15</f>
      </c>
      <c r="F27" s="3171" t="e">
        <f t="array" ref="F27">'Hotel Operating'!$C$38*F$15</f>
      </c>
      <c r="G27" s="3171" t="e">
        <f t="array" ref="G27">'Hotel Operating'!$C$38*G$15</f>
      </c>
      <c r="H27" s="3171" t="e">
        <f t="array" ref="H27">'Hotel Operating'!$C$38*H$15</f>
      </c>
      <c r="I27" s="3171" t="e">
        <f t="array" ref="I27">'Hotel Operating'!$C$38*I$15</f>
      </c>
      <c r="J27" s="3171" t="e">
        <f t="array" ref="J27">'Hotel Operating'!$C$38*J$15</f>
      </c>
      <c r="K27" s="3171" t="e">
        <f t="array" ref="K27">'Hotel Operating'!$C$38*K$15</f>
      </c>
      <c r="L27" s="3171" t="e">
        <f t="array" ref="L27">'Hotel Operating'!$C$38*L$15</f>
      </c>
      <c r="M27" s="3171" t="e">
        <f t="array" ref="M27">'Hotel Operating'!$C$38*M$15</f>
      </c>
      <c r="N27" s="3171" t="e">
        <f t="array" ref="N27">'Hotel Operating'!$C$38*N$15</f>
      </c>
      <c r="O27" s="3197" t="e">
        <f t="array" ref="O27">SUM(C27:N27)</f>
      </c>
    </row>
    <row r="28" s="3154" customFormat="1" ht="15" customHeight="1">
      <c r="A28" s="64" t="inlineStr">
        <is>
          <t xml:space="preserve">Property Ops &amp; Maintenance</t>
        </is>
      </c>
      <c r="B28" s="111" t="inlineStr">
        <is>
          <t xml:space="preserve">% of Total Rev</t>
        </is>
      </c>
      <c r="C28" s="3171" t="e">
        <f t="array" ref="C28">'Hotel Operating'!$C$39*C$15</f>
      </c>
      <c r="D28" s="3171" t="e">
        <f t="array" ref="D28">'Hotel Operating'!$C$39*D$15</f>
      </c>
      <c r="E28" s="3171" t="e">
        <f t="array" ref="E28">'Hotel Operating'!$C$39*E$15</f>
      </c>
      <c r="F28" s="3171" t="e">
        <f t="array" ref="F28">'Hotel Operating'!$C$39*F$15</f>
      </c>
      <c r="G28" s="3171" t="e">
        <f t="array" ref="G28">'Hotel Operating'!$C$39*G$15</f>
      </c>
      <c r="H28" s="3171" t="e">
        <f t="array" ref="H28">'Hotel Operating'!$C$39*H$15</f>
      </c>
      <c r="I28" s="3171" t="e">
        <f t="array" ref="I28">'Hotel Operating'!$C$39*I$15</f>
      </c>
      <c r="J28" s="3171" t="e">
        <f t="array" ref="J28">'Hotel Operating'!$C$39*J$15</f>
      </c>
      <c r="K28" s="3171" t="e">
        <f t="array" ref="K28">'Hotel Operating'!$C$39*K$15</f>
      </c>
      <c r="L28" s="3171" t="e">
        <f t="array" ref="L28">'Hotel Operating'!$C$39*L$15</f>
      </c>
      <c r="M28" s="3171" t="e">
        <f t="array" ref="M28">'Hotel Operating'!$C$39*M$15</f>
      </c>
      <c r="N28" s="3171" t="e">
        <f t="array" ref="N28">'Hotel Operating'!$C$39*N$15</f>
      </c>
      <c r="O28" s="3197" t="e">
        <f t="array" ref="O28">SUM(C28:N28)</f>
      </c>
    </row>
    <row r="29" s="3154" customFormat="1" ht="15" customHeight="1">
      <c r="A29" s="64" t="inlineStr">
        <is>
          <t xml:space="preserve">Info &amp; Telecom Systems</t>
        </is>
      </c>
      <c r="B29" s="111" t="inlineStr">
        <is>
          <t xml:space="preserve">% of Total Rev</t>
        </is>
      </c>
      <c r="C29" s="3171" t="e">
        <f t="array" ref="C29">'Hotel Operating'!$C$40*C$15</f>
      </c>
      <c r="D29" s="3171" t="e">
        <f t="array" ref="D29">'Hotel Operating'!$C$40*D$15</f>
      </c>
      <c r="E29" s="3171" t="e">
        <f t="array" ref="E29">'Hotel Operating'!$C$40*E$15</f>
      </c>
      <c r="F29" s="3171" t="e">
        <f t="array" ref="F29">'Hotel Operating'!$C$40*F$15</f>
      </c>
      <c r="G29" s="3171" t="e">
        <f t="array" ref="G29">'Hotel Operating'!$C$40*G$15</f>
      </c>
      <c r="H29" s="3171" t="e">
        <f t="array" ref="H29">'Hotel Operating'!$C$40*H$15</f>
      </c>
      <c r="I29" s="3171" t="e">
        <f t="array" ref="I29">'Hotel Operating'!$C$40*I$15</f>
      </c>
      <c r="J29" s="3171" t="e">
        <f t="array" ref="J29">'Hotel Operating'!$C$40*J$15</f>
      </c>
      <c r="K29" s="3171" t="e">
        <f t="array" ref="K29">'Hotel Operating'!$C$40*K$15</f>
      </c>
      <c r="L29" s="3171" t="e">
        <f t="array" ref="L29">'Hotel Operating'!$C$40*L$15</f>
      </c>
      <c r="M29" s="3171" t="e">
        <f t="array" ref="M29">'Hotel Operating'!$C$40*M$15</f>
      </c>
      <c r="N29" s="3171" t="e">
        <f t="array" ref="N29">'Hotel Operating'!$C$40*N$15</f>
      </c>
      <c r="O29" s="3197" t="e">
        <f t="array" ref="O29">SUM(C29:N29)</f>
      </c>
    </row>
    <row r="30" s="3154" customFormat="1" ht="15" customHeight="1">
      <c r="A30" s="64" t="inlineStr">
        <is>
          <t xml:space="preserve">Utilities</t>
        </is>
      </c>
      <c r="B30" s="111" t="inlineStr">
        <is>
          <t xml:space="preserve">% of Total Rev</t>
        </is>
      </c>
      <c r="C30" s="3171" t="e">
        <f t="array" ref="C30">'Hotel Operating'!$C$41*C$15</f>
      </c>
      <c r="D30" s="3171" t="e">
        <f t="array" ref="D30">'Hotel Operating'!$C$41*D$15</f>
      </c>
      <c r="E30" s="3171" t="e">
        <f t="array" ref="E30">'Hotel Operating'!$C$41*E$15</f>
      </c>
      <c r="F30" s="3171" t="e">
        <f t="array" ref="F30">'Hotel Operating'!$C$41*F$15</f>
      </c>
      <c r="G30" s="3171" t="e">
        <f t="array" ref="G30">'Hotel Operating'!$C$41*G$15</f>
      </c>
      <c r="H30" s="3171" t="e">
        <f t="array" ref="H30">'Hotel Operating'!$C$41*H$15</f>
      </c>
      <c r="I30" s="3171" t="e">
        <f t="array" ref="I30">'Hotel Operating'!$C$41*I$15</f>
      </c>
      <c r="J30" s="3171" t="e">
        <f t="array" ref="J30">'Hotel Operating'!$C$41*J$15</f>
      </c>
      <c r="K30" s="3171" t="e">
        <f t="array" ref="K30">'Hotel Operating'!$C$41*K$15</f>
      </c>
      <c r="L30" s="3171" t="e">
        <f t="array" ref="L30">'Hotel Operating'!$C$41*L$15</f>
      </c>
      <c r="M30" s="3171" t="e">
        <f t="array" ref="M30">'Hotel Operating'!$C$41*M$15</f>
      </c>
      <c r="N30" s="3171" t="e">
        <f t="array" ref="N30">'Hotel Operating'!$C$41*N$15</f>
      </c>
      <c r="O30" s="3197" t="e">
        <f t="array" ref="O30">SUM(C30:N30)</f>
      </c>
    </row>
    <row r="31" s="3154" customFormat="1" ht="15" customHeight="1">
      <c r="A31" s="64" t="inlineStr">
        <is>
          <t xml:space="preserve">Royalty/Franchise Fee</t>
        </is>
      </c>
      <c r="B31" s="111" t="inlineStr">
        <is>
          <t xml:space="preserve">% of Rooms Rev (0% indep)</t>
        </is>
      </c>
      <c r="C31" s="3171" t="e">
        <f t="array" ref="C31">'Hotel Operating'!$C$42*C$15</f>
      </c>
      <c r="D31" s="3171" t="e">
        <f t="array" ref="D31">'Hotel Operating'!$C$42*D$15</f>
      </c>
      <c r="E31" s="3171" t="e">
        <f t="array" ref="E31">'Hotel Operating'!$C$42*E$15</f>
      </c>
      <c r="F31" s="3171" t="e">
        <f t="array" ref="F31">'Hotel Operating'!$C$42*F$15</f>
      </c>
      <c r="G31" s="3171" t="e">
        <f t="array" ref="G31">'Hotel Operating'!$C$42*G$15</f>
      </c>
      <c r="H31" s="3171" t="e">
        <f t="array" ref="H31">'Hotel Operating'!$C$42*H$15</f>
      </c>
      <c r="I31" s="3171" t="e">
        <f t="array" ref="I31">'Hotel Operating'!$C$42*I$15</f>
      </c>
      <c r="J31" s="3171" t="e">
        <f t="array" ref="J31">'Hotel Operating'!$C$42*J$15</f>
      </c>
      <c r="K31" s="3171" t="e">
        <f t="array" ref="K31">'Hotel Operating'!$C$42*K$15</f>
      </c>
      <c r="L31" s="3171" t="e">
        <f t="array" ref="L31">'Hotel Operating'!$C$42*L$15</f>
      </c>
      <c r="M31" s="3171" t="e">
        <f t="array" ref="M31">'Hotel Operating'!$C$42*M$15</f>
      </c>
      <c r="N31" s="3171" t="e">
        <f t="array" ref="N31">'Hotel Operating'!$C$42*N$15</f>
      </c>
      <c r="O31" s="3197" t="e">
        <f t="array" ref="O31">SUM(C31:N31)</f>
      </c>
    </row>
    <row r="32" s="3154" customFormat="1" ht="15" customHeight="1">
      <c r="A32" s="64" t="inlineStr">
        <is>
          <t xml:space="preserve">Management Fee</t>
        </is>
      </c>
      <c r="B32" s="111" t="inlineStr">
        <is>
          <t xml:space="preserve">% of Total Rev</t>
        </is>
      </c>
      <c r="C32" s="3171" t="e">
        <f t="array" ref="C32">'Hotel Operating'!$C$46*C$15</f>
      </c>
      <c r="D32" s="3171" t="e">
        <f t="array" ref="D32">'Hotel Operating'!$C$46*D$15</f>
      </c>
      <c r="E32" s="3171" t="e">
        <f t="array" ref="E32">'Hotel Operating'!$C$46*E$15</f>
      </c>
      <c r="F32" s="3171" t="e">
        <f t="array" ref="F32">'Hotel Operating'!$C$46*F$15</f>
      </c>
      <c r="G32" s="3171" t="e">
        <f t="array" ref="G32">'Hotel Operating'!$C$46*G$15</f>
      </c>
      <c r="H32" s="3171" t="e">
        <f t="array" ref="H32">'Hotel Operating'!$C$46*H$15</f>
      </c>
      <c r="I32" s="3171" t="e">
        <f t="array" ref="I32">'Hotel Operating'!$C$46*I$15</f>
      </c>
      <c r="J32" s="3171" t="e">
        <f t="array" ref="J32">'Hotel Operating'!$C$46*J$15</f>
      </c>
      <c r="K32" s="3171" t="e">
        <f t="array" ref="K32">'Hotel Operating'!$C$46*K$15</f>
      </c>
      <c r="L32" s="3171" t="e">
        <f t="array" ref="L32">'Hotel Operating'!$C$46*L$15</f>
      </c>
      <c r="M32" s="3171" t="e">
        <f t="array" ref="M32">'Hotel Operating'!$C$46*M$15</f>
      </c>
      <c r="N32" s="3171" t="e">
        <f t="array" ref="N32">'Hotel Operating'!$C$46*N$15</f>
      </c>
      <c r="O32" s="3197" t="e">
        <f t="array" ref="O32">SUM(C32:N32)</f>
      </c>
    </row>
    <row r="33" s="3154" customFormat="1" ht="15" customHeight="1">
      <c r="A33" s="72" t="inlineStr">
        <is>
          <t xml:space="preserve">Accounting Fees</t>
        </is>
      </c>
      <c r="B33" s="111" t="inlineStr">
        <is>
          <t xml:space="preserve">% of Total Rev</t>
        </is>
      </c>
      <c r="C33" s="3178" t="e">
        <f t="array" ref="C33">'Hotel Operating'!$C$47*C$15</f>
      </c>
      <c r="D33" s="3178" t="e">
        <f t="array" ref="D33">'Hotel Operating'!$C$47*D$15</f>
      </c>
      <c r="E33" s="3178" t="e">
        <f t="array" ref="E33">'Hotel Operating'!$C$47*E$15</f>
      </c>
      <c r="F33" s="3178" t="e">
        <f t="array" ref="F33">'Hotel Operating'!$C$47*F$15</f>
      </c>
      <c r="G33" s="3178" t="e">
        <f t="array" ref="G33">'Hotel Operating'!$C$47*G$15</f>
      </c>
      <c r="H33" s="3178" t="e">
        <f t="array" ref="H33">'Hotel Operating'!$C$47*H$15</f>
      </c>
      <c r="I33" s="3178" t="e">
        <f t="array" ref="I33">'Hotel Operating'!$C$47*I$15</f>
      </c>
      <c r="J33" s="3178" t="e">
        <f t="array" ref="J33">'Hotel Operating'!$C$47*J$15</f>
      </c>
      <c r="K33" s="3178" t="e">
        <f t="array" ref="K33">'Hotel Operating'!$C$47*K$15</f>
      </c>
      <c r="L33" s="3178" t="e">
        <f t="array" ref="L33">'Hotel Operating'!$C$47*L$15</f>
      </c>
      <c r="M33" s="3178" t="e">
        <f t="array" ref="M33">'Hotel Operating'!$C$47*M$15</f>
      </c>
      <c r="N33" s="3178" t="e">
        <f t="array" ref="N33">'Hotel Operating'!$C$47*N$15</f>
      </c>
      <c r="O33" s="3889" t="e">
        <f t="array" ref="O33">SUM(C33:N33)</f>
      </c>
    </row>
    <row r="34" s="3154" customFormat="1" ht="15" customHeight="1">
      <c r="A34" s="1867" t="inlineStr">
        <is>
          <t xml:space="preserve">Total Operating Expenses</t>
        </is>
      </c>
      <c r="B34" s="53" t="n"/>
      <c r="C34" s="3886" t="e">
        <f t="array" ref="C34">SUM(C24:C33)</f>
      </c>
      <c r="D34" s="3886" t="e">
        <f t="array" ref="D34">SUM(D24:D33)</f>
      </c>
      <c r="E34" s="3886" t="e">
        <f t="array" ref="E34">SUM(E24:E33)</f>
      </c>
      <c r="F34" s="3886" t="e">
        <f t="array" ref="F34">SUM(F24:F33)</f>
      </c>
      <c r="G34" s="3886" t="e">
        <f t="array" ref="G34">SUM(G24:G33)</f>
      </c>
      <c r="H34" s="3886" t="e">
        <f t="array" ref="H34">SUM(H24:H33)</f>
      </c>
      <c r="I34" s="3886" t="e">
        <f t="array" ref="I34">SUM(I24:I33)</f>
      </c>
      <c r="J34" s="3886" t="e">
        <f t="array" ref="J34">SUM(J24:J33)</f>
      </c>
      <c r="K34" s="3886" t="e">
        <f t="array" ref="K34">SUM(K24:K33)</f>
      </c>
      <c r="L34" s="3886" t="e">
        <f t="array" ref="L34">SUM(L24:L33)</f>
      </c>
      <c r="M34" s="3886" t="e">
        <f t="array" ref="M34">SUM(M24:M33)</f>
      </c>
      <c r="N34" s="3886" t="e">
        <f t="array" ref="N34">SUM(N24:N33)</f>
      </c>
      <c r="O34" s="3887" t="e">
        <f t="array" ref="O34">SUM(O24:O33)</f>
      </c>
    </row>
    <row r="35" s="3154" customFormat="1" ht="15" customHeight="1">
      <c r="A35" s="99" t="n"/>
      <c r="B35" s="49" t="n"/>
      <c r="C35" s="99" t="n"/>
      <c r="D35" s="99" t="n"/>
      <c r="E35" s="99" t="n"/>
      <c r="F35" s="99" t="n"/>
      <c r="G35" s="99" t="n"/>
      <c r="H35" s="99" t="n"/>
      <c r="I35" s="99" t="n"/>
      <c r="J35" s="99" t="n"/>
      <c r="K35" s="99" t="n"/>
      <c r="L35" s="99" t="n"/>
      <c r="M35" s="99" t="n"/>
      <c r="N35" s="99" t="n"/>
      <c r="O35" s="99" t="n"/>
    </row>
    <row r="36" s="3154" customFormat="1" ht="15" customHeight="1">
      <c r="A36" s="3873" t="inlineStr">
        <is>
          <t xml:space="preserve">FIXED EXPENSES</t>
        </is>
      </c>
      <c r="O36" s="3162" t="n"/>
    </row>
    <row r="37" s="3154" customFormat="1" ht="15" customHeight="1">
      <c r="A37" s="57" t="inlineStr">
        <is>
          <t xml:space="preserve">Real Estate Taxes</t>
        </is>
      </c>
      <c r="B37" s="109" t="inlineStr">
        <is>
          <t xml:space="preserve">Annual/12</t>
        </is>
      </c>
      <c r="C37" s="3165" t="n">
        <f t="array" ref="C37">'Hotel Operating'!$C$53/12</f>
        <v>6241.5</v>
      </c>
      <c r="D37" s="3165" t="n">
        <f t="array" ref="D37">'Hotel Operating'!$C$53/12</f>
        <v>6241.5</v>
      </c>
      <c r="E37" s="3165" t="n">
        <f t="array" ref="E37">'Hotel Operating'!$C$53/12</f>
        <v>6241.5</v>
      </c>
      <c r="F37" s="3165" t="n">
        <f t="array" ref="F37">'Hotel Operating'!$C$53/12</f>
        <v>6241.5</v>
      </c>
      <c r="G37" s="3165" t="n">
        <f t="array" ref="G37">'Hotel Operating'!$C$53/12</f>
        <v>6241.5</v>
      </c>
      <c r="H37" s="3165" t="n">
        <f t="array" ref="H37">'Hotel Operating'!$C$53/12</f>
        <v>6241.5</v>
      </c>
      <c r="I37" s="3165" t="n">
        <f t="array" ref="I37">'Hotel Operating'!$C$53/12</f>
        <v>6241.5</v>
      </c>
      <c r="J37" s="3165" t="n">
        <f t="array" ref="J37">'Hotel Operating'!$C$53/12</f>
        <v>6241.5</v>
      </c>
      <c r="K37" s="3165" t="n">
        <f t="array" ref="K37">'Hotel Operating'!$C$53/12</f>
        <v>6241.5</v>
      </c>
      <c r="L37" s="3165" t="n">
        <f t="array" ref="L37">'Hotel Operating'!$C$53/12</f>
        <v>6241.5</v>
      </c>
      <c r="M37" s="3165" t="n">
        <f t="array" ref="M37">'Hotel Operating'!$C$53/12</f>
        <v>6241.5</v>
      </c>
      <c r="N37" s="3165" t="n">
        <f t="array" ref="N37">'Hotel Operating'!$C$53/12</f>
        <v>6241.5</v>
      </c>
      <c r="O37" s="3888" t="n">
        <f t="array" ref="O37">SUM(C37:N37)</f>
        <v>74898</v>
      </c>
    </row>
    <row r="38" s="3154" customFormat="1" ht="15" customHeight="1">
      <c r="A38" s="64" t="inlineStr">
        <is>
          <t xml:space="preserve">Insurance</t>
        </is>
      </c>
      <c r="B38" s="111" t="inlineStr">
        <is>
          <t xml:space="preserve">Annual/12</t>
        </is>
      </c>
      <c r="C38" s="3171" t="n">
        <f t="array" ref="C38">'Hotel Operating'!$C$55/12</f>
        <v>4258.333333333333</v>
      </c>
      <c r="D38" s="3171" t="n">
        <f t="array" ref="D38">'Hotel Operating'!$C$55/12</f>
        <v>4258.333333333333</v>
      </c>
      <c r="E38" s="3171" t="n">
        <f t="array" ref="E38">'Hotel Operating'!$C$55/12</f>
        <v>4258.333333333333</v>
      </c>
      <c r="F38" s="3171" t="n">
        <f t="array" ref="F38">'Hotel Operating'!$C$55/12</f>
        <v>4258.333333333333</v>
      </c>
      <c r="G38" s="3171" t="n">
        <f t="array" ref="G38">'Hotel Operating'!$C$55/12</f>
        <v>4258.333333333333</v>
      </c>
      <c r="H38" s="3171" t="n">
        <f t="array" ref="H38">'Hotel Operating'!$C$55/12</f>
        <v>4258.333333333333</v>
      </c>
      <c r="I38" s="3171" t="n">
        <f t="array" ref="I38">'Hotel Operating'!$C$55/12</f>
        <v>4258.333333333333</v>
      </c>
      <c r="J38" s="3171" t="n">
        <f t="array" ref="J38">'Hotel Operating'!$C$55/12</f>
        <v>4258.333333333333</v>
      </c>
      <c r="K38" s="3171" t="n">
        <f t="array" ref="K38">'Hotel Operating'!$C$55/12</f>
        <v>4258.333333333333</v>
      </c>
      <c r="L38" s="3171" t="n">
        <f t="array" ref="L38">'Hotel Operating'!$C$55/12</f>
        <v>4258.333333333333</v>
      </c>
      <c r="M38" s="3171" t="n">
        <f t="array" ref="M38">'Hotel Operating'!$C$55/12</f>
        <v>4258.333333333333</v>
      </c>
      <c r="N38" s="3171" t="n">
        <f t="array" ref="N38">'Hotel Operating'!$C$55/12</f>
        <v>4258.333333333333</v>
      </c>
      <c r="O38" s="3197" t="n">
        <f t="array" ref="O38">SUM(C38:N38)</f>
        <v>51100.00000000001</v>
      </c>
    </row>
    <row r="39" s="3154" customFormat="1" ht="15" customHeight="1">
      <c r="A39" s="72" t="inlineStr">
        <is>
          <t xml:space="preserve">Reserves for Replacement</t>
        </is>
      </c>
      <c r="B39" s="111" t="inlineStr">
        <is>
          <t xml:space="preserve">% of Total Rev</t>
        </is>
      </c>
      <c r="C39" s="3178" t="e">
        <f t="array" ref="C39">'Hotel Operating'!$C$56*C$15</f>
      </c>
      <c r="D39" s="3178" t="e">
        <f t="array" ref="D39">'Hotel Operating'!$C$56*D$15</f>
      </c>
      <c r="E39" s="3178" t="e">
        <f t="array" ref="E39">'Hotel Operating'!$C$56*E$15</f>
      </c>
      <c r="F39" s="3178" t="e">
        <f t="array" ref="F39">'Hotel Operating'!$C$56*F$15</f>
      </c>
      <c r="G39" s="3178" t="e">
        <f t="array" ref="G39">'Hotel Operating'!$C$56*G$15</f>
      </c>
      <c r="H39" s="3178" t="e">
        <f t="array" ref="H39">'Hotel Operating'!$C$56*H$15</f>
      </c>
      <c r="I39" s="3178" t="e">
        <f t="array" ref="I39">'Hotel Operating'!$C$56*I$15</f>
      </c>
      <c r="J39" s="3178" t="e">
        <f t="array" ref="J39">'Hotel Operating'!$C$56*J$15</f>
      </c>
      <c r="K39" s="3178" t="e">
        <f t="array" ref="K39">'Hotel Operating'!$C$56*K$15</f>
      </c>
      <c r="L39" s="3178" t="e">
        <f t="array" ref="L39">'Hotel Operating'!$C$56*L$15</f>
      </c>
      <c r="M39" s="3178" t="e">
        <f t="array" ref="M39">'Hotel Operating'!$C$56*M$15</f>
      </c>
      <c r="N39" s="3178" t="e">
        <f t="array" ref="N39">'Hotel Operating'!$C$56*N$15</f>
      </c>
      <c r="O39" s="3889" t="e">
        <f t="array" ref="O39">SUM(C39:N39)</f>
      </c>
    </row>
    <row r="40" s="3154" customFormat="1" ht="15" customHeight="1">
      <c r="A40" s="1867" t="inlineStr">
        <is>
          <t xml:space="preserve">Total Fixed Expenses</t>
        </is>
      </c>
      <c r="B40" s="53" t="n"/>
      <c r="C40" s="3886" t="e">
        <f t="array" ref="C40">SUM(C37:C39)</f>
      </c>
      <c r="D40" s="3886" t="e">
        <f t="array" ref="D40">SUM(D37:D39)</f>
      </c>
      <c r="E40" s="3886" t="e">
        <f t="array" ref="E40">SUM(E37:E39)</f>
      </c>
      <c r="F40" s="3886" t="e">
        <f t="array" ref="F40">SUM(F37:F39)</f>
      </c>
      <c r="G40" s="3886" t="e">
        <f t="array" ref="G40">SUM(G37:G39)</f>
      </c>
      <c r="H40" s="3886" t="e">
        <f t="array" ref="H40">SUM(H37:H39)</f>
      </c>
      <c r="I40" s="3886" t="e">
        <f t="array" ref="I40">SUM(I37:I39)</f>
      </c>
      <c r="J40" s="3886" t="e">
        <f t="array" ref="J40">SUM(J37:J39)</f>
      </c>
      <c r="K40" s="3886" t="e">
        <f t="array" ref="K40">SUM(K37:K39)</f>
      </c>
      <c r="L40" s="3886" t="e">
        <f t="array" ref="L40">SUM(L37:L39)</f>
      </c>
      <c r="M40" s="3886" t="e">
        <f t="array" ref="M40">SUM(M37:M39)</f>
      </c>
      <c r="N40" s="3886" t="e">
        <f t="array" ref="N40">SUM(N37:N39)</f>
      </c>
      <c r="O40" s="3887" t="e">
        <f t="array" ref="O40">SUM(O37:O39)</f>
      </c>
    </row>
    <row r="41" s="3154" customFormat="1" ht="15" customHeight="1">
      <c r="A41" s="99" t="n"/>
      <c r="B41" s="50" t="n"/>
      <c r="C41" s="99" t="n"/>
      <c r="D41" s="99" t="n"/>
      <c r="E41" s="99" t="n"/>
      <c r="F41" s="99" t="n"/>
      <c r="G41" s="99" t="n"/>
      <c r="H41" s="99" t="n"/>
      <c r="I41" s="99" t="n"/>
      <c r="J41" s="99" t="n"/>
      <c r="K41" s="99" t="n"/>
      <c r="L41" s="99" t="n"/>
      <c r="M41" s="99" t="n"/>
      <c r="N41" s="99" t="n"/>
      <c r="O41" s="99" t="n"/>
    </row>
    <row r="42" s="3154" customFormat="1" ht="15" customHeight="1">
      <c r="A42" s="1872" t="inlineStr">
        <is>
          <t xml:space="preserve">NET OPERATING INCOME (NOI)</t>
        </is>
      </c>
      <c r="B42" s="53" t="n"/>
      <c r="C42" s="3890" t="e">
        <f t="array" ref="C42">C21-C34-C40</f>
      </c>
      <c r="D42" s="3890" t="e">
        <f t="array" ref="D42">D21-D34-D40</f>
      </c>
      <c r="E42" s="3890" t="e">
        <f t="array" ref="E42">E21-E34-E40</f>
      </c>
      <c r="F42" s="3890" t="e">
        <f t="array" ref="F42">F21-F34-F40</f>
      </c>
      <c r="G42" s="3890" t="e">
        <f t="array" ref="G42">G21-G34-G40</f>
      </c>
      <c r="H42" s="3890" t="e">
        <f t="array" ref="H42">H21-H34-H40</f>
      </c>
      <c r="I42" s="3890" t="e">
        <f t="array" ref="I42">I21-I34-I40</f>
      </c>
      <c r="J42" s="3890" t="e">
        <f t="array" ref="J42">J21-J34-J40</f>
      </c>
      <c r="K42" s="3890" t="e">
        <f t="array" ref="K42">K21-K34-K40</f>
      </c>
      <c r="L42" s="3890" t="e">
        <f t="array" ref="L42">L21-L34-L40</f>
      </c>
      <c r="M42" s="3890" t="e">
        <f t="array" ref="M42">M21-M34-M40</f>
      </c>
      <c r="N42" s="3890" t="e">
        <f t="array" ref="N42">N21-N34-N40</f>
      </c>
      <c r="O42" s="3891" t="e">
        <f t="array" ref="O42">O21-O34-O40</f>
      </c>
    </row>
    <row r="43" s="3154" customFormat="1" ht="15" customHeight="1">
      <c r="A43" s="99" t="n"/>
      <c r="B43" s="49" t="n"/>
      <c r="C43" s="99" t="n"/>
      <c r="D43" s="99" t="n"/>
      <c r="E43" s="99" t="n"/>
      <c r="F43" s="99" t="n"/>
      <c r="G43" s="99" t="n"/>
      <c r="H43" s="99" t="n"/>
      <c r="I43" s="99" t="n"/>
      <c r="J43" s="99" t="n"/>
      <c r="K43" s="99" t="n"/>
      <c r="L43" s="99" t="n"/>
      <c r="M43" s="99" t="n"/>
      <c r="N43" s="99" t="n"/>
      <c r="O43" s="99" t="n"/>
    </row>
    <row r="44" s="3154" customFormat="1" ht="15" customHeight="1">
      <c r="A44" s="3873" t="inlineStr">
        <is>
          <t xml:space="preserve">DEBT SERVICE &amp; CASH FLOW</t>
        </is>
      </c>
      <c r="O44" s="3162" t="n"/>
    </row>
    <row r="45" s="3154" customFormat="1" ht="15" customHeight="1">
      <c r="A45" s="106" t="inlineStr">
        <is>
          <t xml:space="preserve">Mortgage Payment (P&amp;I)</t>
        </is>
      </c>
      <c r="B45" s="109" t="inlineStr">
        <is>
          <t xml:space="preserve">PMT formula</t>
        </is>
      </c>
      <c r="C45" s="3196" t="n">
        <f t="array" ref="C45">'Project Summary'!E35/12</f>
        <v>0</v>
      </c>
      <c r="D45" s="3196" t="n">
        <f t="array" ref="D45">'Project Summary'!E35/12</f>
        <v>0</v>
      </c>
      <c r="E45" s="3196" t="n">
        <f t="array" ref="E45">'Project Summary'!E35/12</f>
        <v>0</v>
      </c>
      <c r="F45" s="3196" t="n">
        <f t="array" ref="F45">'Project Summary'!E35/12</f>
        <v>0</v>
      </c>
      <c r="G45" s="3196" t="n">
        <f t="array" ref="G45">'Project Summary'!E35/12</f>
        <v>0</v>
      </c>
      <c r="H45" s="3196" t="n">
        <f t="array" ref="H45">'Project Summary'!E35/12</f>
        <v>0</v>
      </c>
      <c r="I45" s="3196" t="n">
        <f t="array" ref="I45">'Project Summary'!E35/12</f>
        <v>0</v>
      </c>
      <c r="J45" s="3196" t="n">
        <f t="array" ref="J45">'Project Summary'!E35/12</f>
        <v>0</v>
      </c>
      <c r="K45" s="3196" t="n">
        <f t="array" ref="K45">'Project Summary'!E35/12</f>
        <v>0</v>
      </c>
      <c r="L45" s="3196" t="n">
        <f t="array" ref="L45">'Project Summary'!E35/12</f>
        <v>0</v>
      </c>
      <c r="M45" s="3196" t="n">
        <f t="array" ref="M45">'Project Summary'!E35/12</f>
        <v>0</v>
      </c>
      <c r="N45" s="3196" t="n">
        <f t="array" ref="N45">'Project Summary'!E35/12</f>
        <v>0</v>
      </c>
      <c r="O45" s="3892" t="n">
        <f t="array" ref="O45">SUM(C45:N45)</f>
        <v>0</v>
      </c>
    </row>
    <row r="46" s="3154" customFormat="1" ht="15" customHeight="1">
      <c r="A46" s="1876" t="inlineStr">
        <is>
          <t xml:space="preserve">Cash Flow (after debt service)</t>
        </is>
      </c>
      <c r="B46" s="53" t="n"/>
      <c r="C46" s="3893" t="e">
        <f t="array" ref="C46">C42-C45</f>
      </c>
      <c r="D46" s="3893" t="e">
        <f t="array" ref="D46">D42-D45</f>
      </c>
      <c r="E46" s="3893" t="e">
        <f t="array" ref="E46">E42-E45</f>
      </c>
      <c r="F46" s="3893" t="e">
        <f t="array" ref="F46">F42-F45</f>
      </c>
      <c r="G46" s="3893" t="e">
        <f t="array" ref="G46">G42-G45</f>
      </c>
      <c r="H46" s="3893" t="e">
        <f t="array" ref="H46">H42-H45</f>
      </c>
      <c r="I46" s="3893" t="e">
        <f t="array" ref="I46">I42-I45</f>
      </c>
      <c r="J46" s="3893" t="e">
        <f t="array" ref="J46">J42-J45</f>
      </c>
      <c r="K46" s="3893" t="e">
        <f t="array" ref="K46">K42-K45</f>
      </c>
      <c r="L46" s="3893" t="e">
        <f t="array" ref="L46">L42-L45</f>
      </c>
      <c r="M46" s="3893" t="e">
        <f t="array" ref="M46">M42-M45</f>
      </c>
      <c r="N46" s="3893" t="e">
        <f t="array" ref="N46">N42-N45</f>
      </c>
      <c r="O46" s="3894" t="e">
        <f t="array" ref="O46">O42-O45</f>
      </c>
    </row>
    <row r="47" s="3154" customFormat="1" ht="15" customHeight="1">
      <c r="A47" s="57" t="inlineStr">
        <is>
          <t xml:space="preserve">Debt Service Coverage Ratio (DSCR)</t>
        </is>
      </c>
      <c r="B47" s="50" t="n"/>
      <c r="C47" s="3895" t="n">
        <f t="array" ref="C47">IFERROR(C42/C45,0)</f>
        <v>0</v>
      </c>
      <c r="D47" s="3895" t="n">
        <f t="array" ref="D47">IFERROR(D42/D45,0)</f>
        <v>0</v>
      </c>
      <c r="E47" s="3895" t="n">
        <f t="array" ref="E47">IFERROR(E42/E45,0)</f>
        <v>0</v>
      </c>
      <c r="F47" s="3895" t="n">
        <f t="array" ref="F47">IFERROR(F42/F45,0)</f>
        <v>0</v>
      </c>
      <c r="G47" s="3895" t="n">
        <f t="array" ref="G47">IFERROR(G42/G45,0)</f>
        <v>0</v>
      </c>
      <c r="H47" s="3895" t="n">
        <f t="array" ref="H47">IFERROR(H42/H45,0)</f>
        <v>0</v>
      </c>
      <c r="I47" s="3895" t="n">
        <f t="array" ref="I47">IFERROR(I42/I45,0)</f>
        <v>0</v>
      </c>
      <c r="J47" s="3895" t="n">
        <f t="array" ref="J47">IFERROR(J42/J45,0)</f>
        <v>0</v>
      </c>
      <c r="K47" s="3895" t="n">
        <f t="array" ref="K47">IFERROR(K42/K45,0)</f>
        <v>0</v>
      </c>
      <c r="L47" s="3895" t="n">
        <f t="array" ref="L47">IFERROR(L42/L45,0)</f>
        <v>0</v>
      </c>
      <c r="M47" s="3895" t="n">
        <f t="array" ref="M47">IFERROR(M42/M45,0)</f>
        <v>0</v>
      </c>
      <c r="N47" s="3895" t="n">
        <f t="array" ref="N47">IFERROR(N42/N45,0)</f>
        <v>0</v>
      </c>
      <c r="O47" s="3896" t="n">
        <f t="array" ref="O47">IFERROR(O42/O45,0)</f>
        <v>0</v>
      </c>
    </row>
    <row r="48" s="3154" customFormat="1" ht="15" customHeight="1">
      <c r="A48" s="49" t="n"/>
      <c r="B48" s="49" t="n"/>
      <c r="C48" s="49" t="n"/>
      <c r="D48" s="49" t="n"/>
      <c r="E48" s="49" t="n"/>
      <c r="F48" s="49" t="n"/>
      <c r="G48" s="49" t="n"/>
      <c r="H48" s="49" t="n"/>
      <c r="I48" s="49" t="n"/>
      <c r="J48" s="49" t="n"/>
      <c r="K48" s="49" t="n"/>
      <c r="L48" s="49" t="n"/>
      <c r="M48" s="49" t="n"/>
      <c r="N48" s="49" t="n"/>
      <c r="O48" s="49" t="n"/>
    </row>
    <row r="49" s="3154" customFormat="1" ht="15" customHeight="1">
      <c r="A49" s="3873" t="inlineStr">
        <is>
          <t xml:space="preserve">TOTAL ALL-IN PROJECT COST (Development)</t>
        </is>
      </c>
      <c r="O49" s="3162" t="n"/>
    </row>
    <row r="50" s="3154" customFormat="1" ht="15" customHeight="1">
      <c r="A50" s="57" t="inlineStr">
        <is>
          <t xml:space="preserve">Land &amp; Acquisition</t>
        </is>
      </c>
      <c r="B50" s="3163" t="n">
        <f t="array" ref="B50">'Project Summary'!C12</f>
        <v>1200000</v>
      </c>
      <c r="C50" s="82" t="n"/>
      <c r="D50" s="82" t="n"/>
      <c r="E50" s="82" t="n"/>
      <c r="F50" s="82" t="n"/>
      <c r="G50" s="82" t="n"/>
      <c r="H50" s="82" t="n"/>
      <c r="I50" s="82" t="n"/>
      <c r="J50" s="82" t="n"/>
      <c r="K50" s="82" t="n"/>
      <c r="L50" s="82" t="n"/>
      <c r="M50" s="82" t="n"/>
      <c r="N50" s="82" t="n"/>
      <c r="O50" s="82" t="n"/>
    </row>
    <row r="51" s="3154" customFormat="1" ht="15" customHeight="1">
      <c r="A51" s="64" t="inlineStr">
        <is>
          <t xml:space="preserve">Development &amp; Planning</t>
        </is>
      </c>
      <c r="B51" s="3189" t="n">
        <f t="array" ref="B51">'Project Summary'!C13</f>
        <v>0</v>
      </c>
      <c r="C51" s="50" t="n"/>
      <c r="D51" s="50" t="n"/>
      <c r="E51" s="50" t="n"/>
      <c r="F51" s="50" t="n"/>
      <c r="G51" s="50" t="n"/>
      <c r="H51" s="50" t="n"/>
      <c r="I51" s="50" t="n"/>
      <c r="J51" s="50" t="n"/>
      <c r="K51" s="50" t="n"/>
      <c r="L51" s="50" t="n"/>
      <c r="M51" s="50" t="n"/>
      <c r="N51" s="50" t="n"/>
      <c r="O51" s="50" t="n"/>
    </row>
    <row r="52" s="3154" customFormat="1" ht="15" customHeight="1">
      <c r="A52" s="64" t="inlineStr">
        <is>
          <t xml:space="preserve">Design &amp; Engineering</t>
        </is>
      </c>
      <c r="B52" s="3189" t="n">
        <f t="array" ref="B52">'Project Summary'!C14</f>
        <v>200000</v>
      </c>
      <c r="C52" s="50" t="n"/>
      <c r="D52" s="50" t="n"/>
      <c r="E52" s="50" t="n"/>
      <c r="F52" s="50" t="n"/>
      <c r="G52" s="50" t="n"/>
      <c r="H52" s="50" t="n"/>
      <c r="I52" s="50" t="n"/>
      <c r="J52" s="50" t="n"/>
      <c r="K52" s="50" t="n"/>
      <c r="L52" s="50" t="n"/>
      <c r="M52" s="50" t="n"/>
      <c r="N52" s="50" t="n"/>
      <c r="O52" s="50" t="n"/>
    </row>
    <row r="53" s="3154" customFormat="1" ht="15" customHeight="1">
      <c r="A53" s="64" t="inlineStr">
        <is>
          <t xml:space="preserve">Marketing &amp; Pre-Opening</t>
        </is>
      </c>
      <c r="B53" s="3189" t="n">
        <f t="array" ref="B53">'Project Summary'!C15</f>
        <v>270000</v>
      </c>
      <c r="C53" s="50" t="n"/>
      <c r="D53" s="50" t="n"/>
      <c r="E53" s="50" t="n"/>
      <c r="F53" s="50" t="n"/>
      <c r="G53" s="50" t="n"/>
      <c r="H53" s="50" t="n"/>
      <c r="I53" s="50" t="n"/>
      <c r="J53" s="50" t="n"/>
      <c r="K53" s="50" t="n"/>
      <c r="L53" s="50" t="n"/>
      <c r="M53" s="50" t="n"/>
      <c r="N53" s="50" t="n"/>
      <c r="O53" s="50" t="n"/>
    </row>
    <row r="54" s="3154" customFormat="1" ht="15" customHeight="1">
      <c r="A54" s="64" t="inlineStr">
        <is>
          <t xml:space="preserve">Financing</t>
        </is>
      </c>
      <c r="B54" s="3189" t="n">
        <f t="array" ref="B54">'Project Summary'!C16</f>
        <v>0</v>
      </c>
      <c r="C54" s="50" t="n"/>
      <c r="D54" s="50" t="n"/>
      <c r="E54" s="50" t="n"/>
      <c r="F54" s="50" t="n"/>
      <c r="G54" s="50" t="n"/>
      <c r="H54" s="50" t="n"/>
      <c r="I54" s="50" t="n"/>
      <c r="J54" s="50" t="n"/>
      <c r="K54" s="50" t="n"/>
      <c r="L54" s="50" t="n"/>
      <c r="M54" s="50" t="n"/>
      <c r="N54" s="50" t="n"/>
      <c r="O54" s="50" t="n"/>
    </row>
    <row r="55" s="3154" customFormat="1" ht="15" customHeight="1">
      <c r="A55" s="64" t="inlineStr">
        <is>
          <t xml:space="preserve">Construction Hard Costs (CB v1 = OFFICIAL)</t>
        </is>
      </c>
      <c r="B55" s="3189" t="n">
        <f>'Project Summary'!C17</f>
        <v>4576957.49710959</v>
      </c>
      <c r="C55" s="50" t="n"/>
      <c r="D55" s="50" t="n"/>
      <c r="E55" s="50" t="n"/>
      <c r="F55" s="50" t="n"/>
      <c r="G55" s="50" t="n"/>
      <c r="H55" s="50" t="n"/>
      <c r="I55" s="50" t="n"/>
      <c r="J55" s="50" t="n"/>
      <c r="K55" s="50" t="n"/>
      <c r="L55" s="50" t="n"/>
      <c r="M55" s="50" t="n"/>
      <c r="N55" s="50" t="n"/>
      <c r="O55" s="50" t="n"/>
    </row>
    <row r="56" s="3154" customFormat="1" ht="15" customHeight="1">
      <c r="A56" s="64" t="inlineStr">
        <is>
          <t xml:space="preserve">Construction Soft Costs</t>
        </is>
      </c>
      <c r="B56" s="3189" t="n">
        <f t="array" ref="B56">'Project Summary'!C18</f>
        <v>185000</v>
      </c>
      <c r="C56" s="50" t="n"/>
      <c r="D56" s="50" t="n"/>
      <c r="E56" s="50" t="n"/>
      <c r="F56" s="50" t="n"/>
      <c r="G56" s="50" t="n"/>
      <c r="H56" s="50" t="n"/>
      <c r="I56" s="50" t="n"/>
      <c r="J56" s="50" t="n"/>
      <c r="K56" s="50" t="n"/>
      <c r="L56" s="50" t="n"/>
      <c r="M56" s="50" t="n"/>
      <c r="N56" s="50" t="n"/>
      <c r="O56" s="50" t="n"/>
    </row>
    <row r="57" s="3154" customFormat="1" ht="15" customHeight="1">
      <c r="A57" s="72" t="inlineStr">
        <is>
          <t xml:space="preserve">Owner Direct &amp; FF&amp;E/OS&amp;E (FF&amp;E Proc = OFFICIAL)</t>
        </is>
      </c>
      <c r="B57" s="3176" t="n">
        <f>'Project Summary'!C19</f>
        <v>715620.258975</v>
      </c>
      <c r="C57" s="50" t="n"/>
      <c r="D57" s="50" t="n"/>
      <c r="E57" s="50" t="n"/>
      <c r="F57" s="50" t="n"/>
      <c r="G57" s="50" t="n"/>
      <c r="H57" s="50" t="n"/>
      <c r="I57" s="50" t="n"/>
      <c r="J57" s="50" t="n"/>
      <c r="K57" s="50" t="n"/>
      <c r="L57" s="50" t="n"/>
      <c r="M57" s="50" t="n"/>
      <c r="N57" s="50" t="n"/>
      <c r="O57" s="50" t="n"/>
    </row>
    <row r="58" s="3154" customFormat="1" ht="15" customHeight="1">
      <c r="A58" s="1872" t="inlineStr">
        <is>
          <t xml:space="preserve">TOTAL ALL-IN PROJECT COST</t>
        </is>
      </c>
      <c r="B58" s="3897" t="n">
        <f>SUM(B50:B57)</f>
        <v>7147577.75608459</v>
      </c>
      <c r="C58" s="1882" t="inlineStr">
        <is>
          <t xml:space="preserve">$/Key:</t>
        </is>
      </c>
      <c r="D58" s="3197" t="n">
        <f>B58/$B$5</f>
        <v>71475.7775608459</v>
      </c>
      <c r="E58" s="111" t="inlineStr">
        <is>
          <t xml:space="preserve">$/GSF:</t>
        </is>
      </c>
      <c r="F58" s="3898" t="n">
        <f>B58/'Assumptions'!J8</f>
        <v>393.78988757330166</v>
      </c>
      <c r="G58" s="50" t="n"/>
      <c r="H58" s="50" t="n"/>
      <c r="I58" s="50" t="n"/>
      <c r="J58" s="50" t="n"/>
      <c r="K58" s="50" t="n"/>
      <c r="L58" s="50" t="n"/>
      <c r="M58" s="50" t="n"/>
      <c r="N58" s="50" t="n"/>
      <c r="O58" s="50" t="n"/>
    </row>
    <row r="59" s="3154" customFormat="1" ht="15" customHeight="1">
      <c r="A59" s="82" t="n"/>
      <c r="B59" s="82" t="n"/>
      <c r="C59" s="50" t="n"/>
      <c r="D59" s="50" t="n"/>
      <c r="E59" s="50" t="n"/>
      <c r="F59" s="50" t="n"/>
      <c r="G59" s="50" t="n"/>
      <c r="H59" s="50" t="n"/>
      <c r="I59" s="50" t="n"/>
      <c r="J59" s="50" t="n"/>
      <c r="K59" s="50" t="n"/>
      <c r="L59" s="50" t="n"/>
      <c r="M59" s="50" t="n"/>
      <c r="N59" s="50" t="n"/>
      <c r="O59" s="50" t="n"/>
    </row>
    <row r="60" s="3154" customFormat="1" ht="15" customHeight="1">
      <c r="A60" s="64" t="inlineStr">
        <is>
          <t xml:space="preserve">Equity (30%)</t>
        </is>
      </c>
      <c r="B60" s="3189" t="n">
        <f t="array" ref="B60">'Project Summary'!C6</f>
        <v>2144273.3268253775</v>
      </c>
      <c r="C60" s="50" t="n"/>
      <c r="D60" s="50" t="n"/>
      <c r="E60" s="50" t="n"/>
      <c r="F60" s="50" t="n"/>
      <c r="G60" s="50" t="n"/>
      <c r="H60" s="50" t="n"/>
      <c r="I60" s="50" t="n"/>
      <c r="J60" s="50" t="n"/>
      <c r="K60" s="50" t="n"/>
      <c r="L60" s="50" t="n"/>
      <c r="M60" s="50" t="n"/>
      <c r="N60" s="50" t="n"/>
      <c r="O60" s="50" t="n"/>
    </row>
    <row r="61" s="3154" customFormat="1" ht="15" customHeight="1">
      <c r="A61" s="72" t="inlineStr">
        <is>
          <t xml:space="preserve">Construction Loan (70%)</t>
        </is>
      </c>
      <c r="B61" s="3176" t="n">
        <f>'Project Summary'!C8</f>
        <v>5003304.429259213</v>
      </c>
      <c r="C61" s="50" t="n"/>
      <c r="D61" s="50" t="n"/>
      <c r="E61" s="50" t="n"/>
      <c r="F61" s="50" t="n"/>
      <c r="G61" s="50" t="n"/>
      <c r="H61" s="50" t="n"/>
      <c r="I61" s="50" t="n"/>
      <c r="J61" s="50" t="n"/>
      <c r="K61" s="50" t="n"/>
      <c r="L61" s="50" t="n"/>
      <c r="M61" s="50" t="n"/>
      <c r="N61" s="50" t="n"/>
      <c r="O61" s="50" t="n"/>
    </row>
    <row r="62" s="3154" customFormat="1" ht="15" customHeight="1">
      <c r="A62" s="1884" t="inlineStr">
        <is>
          <t xml:space="preserve">TOTAL SOURCES (should = Uses)</t>
        </is>
      </c>
      <c r="B62" s="3899" t="n">
        <f t="array" ref="B62">B61+B60</f>
        <v>7147577.75608459</v>
      </c>
      <c r="C62" s="81" t="n"/>
      <c r="D62" s="50" t="n"/>
      <c r="E62" s="50" t="n"/>
      <c r="F62" s="50" t="n"/>
      <c r="G62" s="50" t="n"/>
      <c r="H62" s="50" t="n"/>
      <c r="I62" s="50" t="n"/>
      <c r="J62" s="50" t="n"/>
      <c r="K62" s="50" t="n"/>
      <c r="L62" s="50" t="n"/>
      <c r="M62" s="50" t="n"/>
      <c r="N62" s="50" t="n"/>
      <c r="O62" s="50" t="n"/>
    </row>
  </sheetData>
  <mergeCells>
    <mergeCell ref="A2:O2"/>
    <mergeCell ref="A36:O36"/>
    <mergeCell ref="A49:O49"/>
    <mergeCell ref="A44:O44"/>
    <mergeCell ref="A1:O1"/>
    <mergeCell ref="A23:O23"/>
    <mergeCell ref="A18:O18"/>
    <mergeCell ref="A4:O4"/>
  </mergeCells>
  <conditionalFormatting sqref="B5:B11 B50:B58 B60:B62 C14:O14 C16:O16 C19:O21 C24:O34 C37:O40 C42:O42 C45:O46 D58:D58 F58:F58 O15:O15">
    <cfRule type="cellIs" dxfId="0" priority="1" stopIfTrue="1" operator="lessThan">
      <formula>0</formula>
    </cfRule>
  </conditionalFormatting>
  <pageMargins left="0.7" right="0.7" top="0.75" bottom="0.75" header="0.3" footer="0.3"/>
</worksheet>
</file>

<file path=xl/worksheets/sheet11.xml><?xml version="1.0" encoding="utf-8"?>
<worksheet xmlns="http://schemas.openxmlformats.org/spreadsheetml/2006/main">
  <sheetViews>
    <sheetView showGridLines="0" workbookViewId="0"/>
  </sheetViews>
  <sheetFormatPr baseColWidth="8" defaultColWidth="9" defaultRowHeight="15"/>
  <cols>
    <col min="1" max="2" width="13.85159969329834" style="3136" customWidth="1"/>
    <col min="3" max="5" width="9" style="3136" customWidth="1"/>
    <col min="6" max="16384" width="9" style="3136" customWidth="1"/>
  </cols>
  <sheetData>
    <row r="1" s="3154" customFormat="1" ht="15" customHeight="1">
      <c r="A1" s="50" t="n"/>
      <c r="B1" s="50" t="n"/>
      <c r="C1" s="1167" t="n"/>
      <c r="D1" s="1167" t="n"/>
      <c r="E1" s="1167" t="n"/>
    </row>
    <row r="2" s="3154" customFormat="1" ht="15" customHeight="1">
      <c r="A2" s="50" t="n"/>
      <c r="B2" s="50" t="n"/>
      <c r="C2" s="1167" t="n"/>
      <c r="D2" s="1167" t="n"/>
      <c r="E2" s="1167" t="n"/>
    </row>
    <row r="3" s="3154" customFormat="1" ht="15" customHeight="1">
      <c r="A3" s="50" t="n"/>
      <c r="B3" s="50" t="n"/>
      <c r="C3" s="1167" t="n"/>
      <c r="D3" s="1167" t="n"/>
      <c r="E3" s="1167" t="n"/>
    </row>
    <row r="4" s="3154" customFormat="1" ht="15" customHeight="1">
      <c r="A4" s="113" t="inlineStr">
        <is>
          <t xml:space="preserve">ADR</t>
        </is>
      </c>
      <c r="B4" s="3900" t="n">
        <f t="array" ref="B4">'Hotel Operating'!E12</f>
        <v>80.808</v>
      </c>
      <c r="C4" s="1167" t="n"/>
      <c r="D4" s="1167" t="n"/>
      <c r="E4" s="1167" t="n"/>
    </row>
    <row r="5" s="3154" customFormat="1" ht="15" customHeight="1">
      <c r="A5" s="113" t="inlineStr">
        <is>
          <t xml:space="preserve">Occupancy</t>
        </is>
      </c>
      <c r="B5" s="3194" t="n">
        <f t="array" ref="B5">'Hotel Operating'!E11</f>
        <v>0.72</v>
      </c>
      <c r="C5" s="1167" t="n"/>
      <c r="D5" s="1167" t="n"/>
      <c r="E5" s="1167" t="n"/>
    </row>
    <row r="6" s="3154" customFormat="1" ht="15" customHeight="1">
      <c r="A6" s="113" t="inlineStr">
        <is>
          <t xml:space="preserve">Total Revenue</t>
        </is>
      </c>
      <c r="B6" s="3901" t="e">
        <f t="array" ref="B6">'Hotel Operating'!E25</f>
      </c>
      <c r="C6" s="1167" t="n"/>
      <c r="D6" s="1167" t="n"/>
      <c r="E6" s="1167" t="n"/>
    </row>
    <row r="7" s="3154" customFormat="1" ht="15" customHeight="1">
      <c r="A7" s="50" t="n"/>
      <c r="B7" s="50" t="n"/>
      <c r="C7" s="1167" t="n"/>
      <c r="D7" s="1167" t="n"/>
      <c r="E7" s="1167" t="n"/>
    </row>
    <row r="8" s="3154" customFormat="1" ht="15" customHeight="1">
      <c r="A8" s="113" t="inlineStr">
        <is>
          <t xml:space="preserve">Total Expenses</t>
        </is>
      </c>
      <c r="B8" s="50" t="e">
        <f t="array" ref="B8">'Hotel Operating'!E32+'Hotel Operating'!E43+'Hotel Operating'!E48+'Hotel Operating'!E57</f>
      </c>
      <c r="C8" s="1167" t="n"/>
      <c r="D8" s="1167" t="n"/>
      <c r="E8" s="1167" t="n"/>
    </row>
    <row r="9" s="3154" customFormat="1" ht="15" customHeight="1">
      <c r="A9" s="50" t="n"/>
      <c r="B9" s="50" t="n"/>
      <c r="C9" s="1167" t="n"/>
      <c r="D9" s="1167" t="n"/>
      <c r="E9" s="1167" t="n"/>
    </row>
    <row r="10" s="3154" customFormat="1" ht="15" customHeight="1">
      <c r="A10" s="113" t="inlineStr">
        <is>
          <t xml:space="preserve">NOI</t>
        </is>
      </c>
      <c r="B10" s="3901" t="e">
        <f t="array" ref="B10">B6-B8</f>
      </c>
      <c r="C10" s="1167" t="n"/>
      <c r="D10" s="1167" t="n"/>
      <c r="E10" s="1167" t="n"/>
    </row>
  </sheetData>
  <pageMargins left="0.7" right="0.7" top="0.75" bottom="0.75" header="0.3" footer="0.3"/>
</worksheet>
</file>

<file path=xl/worksheets/sheet12.xml><?xml version="1.0" encoding="utf-8"?>
<worksheet xmlns="http://schemas.openxmlformats.org/spreadsheetml/2006/main">
  <sheetViews>
    <sheetView showGridLines="0" workbookViewId="0"/>
  </sheetViews>
  <sheetFormatPr baseColWidth="8" defaultColWidth="8.333330154418945" defaultRowHeight="13.5"/>
  <cols>
    <col min="1" max="1" width="15.35159969329834" style="3136" customWidth="1"/>
    <col min="2" max="2" width="8.35155963897705" style="3136" customWidth="1"/>
    <col min="3" max="3" width="11.35159969329834" style="3136" customWidth="1"/>
    <col min="4" max="12" width="9.85155963897705" style="3136" customWidth="1"/>
    <col min="13" max="51" width="8.35155963897705" style="3136" customWidth="1"/>
    <col min="52" max="16384" width="8.35155963897705" style="3136" customWidth="1"/>
  </cols>
  <sheetData>
    <row r="1" s="3154" customFormat="1" ht="19.5" customHeight="1">
      <c r="A1" s="1890" t="inlineStr">
        <is>
          <t xml:space="preserve">PROJECT COST OUTFLOWS</t>
        </is>
      </c>
      <c r="B1" s="153" t="n"/>
      <c r="C1" s="153" t="n"/>
      <c r="D1" s="153" t="n"/>
      <c r="E1" s="153" t="n"/>
      <c r="F1" s="153" t="n"/>
      <c r="G1" s="153" t="n"/>
      <c r="H1" s="153" t="n"/>
      <c r="I1" s="153" t="n"/>
      <c r="J1" s="153" t="n"/>
      <c r="K1" s="538" t="n"/>
      <c r="L1" s="1891" t="inlineStr">
        <is>
          <t xml:space="preserve">MODEL REVISED: Mar 25, 2025</t>
        </is>
      </c>
      <c r="M1" s="1892" t="inlineStr">
        <is>
          <t xml:space="preserve">HIDE</t>
        </is>
      </c>
      <c r="N1" s="11" t="n"/>
      <c r="O1" s="11" t="n">
        <f t="array" ref="O1">S3</f>
        <v>10</v>
      </c>
      <c r="P1" s="3902" t="n">
        <f t="array" ref="P1">VLOOKUP($O$1,$O$9:$AY$44,P8+1,0)/100</f>
        <v>0.024</v>
      </c>
      <c r="Q1" s="3902" t="n">
        <f t="array" ref="Q1">VLOOKUP($O$1,$O$9:$AY$44,Q8+1,0)/100</f>
        <v>0.07200000000000001</v>
      </c>
      <c r="R1" s="3902" t="n">
        <f t="array" ref="R1">VLOOKUP($O$1,$O$9:$AY$44,R8+1,0)/100</f>
        <v>0.11</v>
      </c>
      <c r="S1" s="3902" t="n">
        <f t="array" ref="S1">VLOOKUP($O$1,$O$9:$AY$44,S8+1,0)/100</f>
        <v>0.139</v>
      </c>
      <c r="T1" s="3902" t="n">
        <f t="array" ref="T1">VLOOKUP($O$1,$O$9:$AY$44,T8+1,0)/100</f>
        <v>0.155</v>
      </c>
      <c r="U1" s="3902" t="n">
        <f t="array" ref="U1">VLOOKUP($O$1,$O$9:$AY$44,U8+1,0)/100</f>
        <v>0.155</v>
      </c>
      <c r="V1" s="3902" t="n">
        <f t="array" ref="V1">VLOOKUP($O$1,$O$9:$AY$44,V8+1,0)/100</f>
        <v>0.139</v>
      </c>
      <c r="W1" s="3902" t="n">
        <f t="array" ref="W1">VLOOKUP($O$1,$O$9:$AY$44,W8+1,0)/100</f>
        <v>0.11</v>
      </c>
      <c r="X1" s="3902" t="n">
        <f t="array" ref="X1">VLOOKUP($O$1,$O$9:$AY$44,X8+1,0)/100</f>
        <v>0.07200000000000001</v>
      </c>
      <c r="Y1" s="3902" t="n">
        <f t="array" ref="Y1">VLOOKUP($O$1,$O$9:$AY$44,Y8+1,0)/100</f>
        <v>0.024</v>
      </c>
      <c r="Z1" s="3902" t="n">
        <f t="array" ref="Z1">VLOOKUP($O$1,$O$9:$AY$44,Z8+1,0)/100</f>
        <v>0</v>
      </c>
      <c r="AA1" s="3902" t="n">
        <f t="array" ref="AA1">VLOOKUP($O$1,$O$9:$AY$44,AA8+1,0)/100</f>
        <v>0</v>
      </c>
      <c r="AB1" s="3902" t="n">
        <f t="array" ref="AB1">VLOOKUP($O$1,$O$9:$AY$44,AB8+1,0)/100</f>
        <v>0</v>
      </c>
      <c r="AC1" s="3902" t="n">
        <f t="array" ref="AC1">VLOOKUP($O$1,$O$9:$AY$44,AC8+1,0)/100</f>
        <v>0</v>
      </c>
      <c r="AD1" s="3902" t="n">
        <f t="array" ref="AD1">VLOOKUP($O$1,$O$9:$AY$44,AD8+1,0)/100</f>
        <v>0</v>
      </c>
      <c r="AE1" s="3902" t="n">
        <f t="array" ref="AE1">VLOOKUP($O$1,$O$9:$AY$44,AE8+1,0)/100</f>
        <v>0</v>
      </c>
      <c r="AF1" s="3902" t="n">
        <f t="array" ref="AF1">VLOOKUP($O$1,$O$9:$AY$44,AF8+1,0)/100</f>
        <v>0</v>
      </c>
      <c r="AG1" s="3902" t="n">
        <f t="array" ref="AG1">VLOOKUP($O$1,$O$9:$AY$44,AG8+1,0)/100</f>
        <v>0</v>
      </c>
      <c r="AH1" s="11" t="n">
        <f t="array" ref="AH1">VLOOKUP($O$1,$O$9:$AY$44,AH8+1,0)/100</f>
        <v>0</v>
      </c>
      <c r="AI1" s="11" t="n">
        <f t="array" ref="AI1">VLOOKUP($O$1,$O$9:$AY$44,AI8+1,0)/100</f>
        <v>0</v>
      </c>
      <c r="AJ1" s="11" t="n">
        <f t="array" ref="AJ1">VLOOKUP($O$1,$O$9:$AY$44,AJ8+1,0)/100</f>
        <v>0</v>
      </c>
      <c r="AK1" s="11" t="n">
        <f t="array" ref="AK1">VLOOKUP($O$1,$O$9:$AY$44,AK8+1,0)/100</f>
        <v>0</v>
      </c>
      <c r="AL1" s="11" t="n">
        <f t="array" ref="AL1">VLOOKUP($O$1,$O$9:$AY$44,AL8+1,0)/100</f>
        <v>0</v>
      </c>
      <c r="AM1" s="11" t="n">
        <f t="array" ref="AM1">VLOOKUP($O$1,$O$9:$AY$44,AM8+1,0)/100</f>
        <v>0</v>
      </c>
      <c r="AN1" s="11" t="n">
        <f t="array" ref="AN1">VLOOKUP($O$1,$O$9:$AY$44,AN8+1,0)/100</f>
        <v>0</v>
      </c>
      <c r="AO1" s="11" t="n">
        <f t="array" ref="AO1">VLOOKUP($O$1,$O$9:$AY$44,AO8+1,0)/100</f>
        <v>0</v>
      </c>
      <c r="AP1" s="11" t="n">
        <f t="array" ref="AP1">VLOOKUP($O$1,$O$9:$AY$44,AP8+1,0)/100</f>
        <v>0</v>
      </c>
      <c r="AQ1" s="11" t="n">
        <f t="array" ref="AQ1">VLOOKUP($O$1,$O$9:$AY$44,AQ8+1,0)/100</f>
        <v>0</v>
      </c>
      <c r="AR1" s="11" t="n">
        <f t="array" ref="AR1">VLOOKUP($O$1,$O$9:$AY$44,AR8+1,0)/100</f>
        <v>0</v>
      </c>
      <c r="AS1" s="11" t="n">
        <f t="array" ref="AS1">VLOOKUP($O$1,$O$9:$AY$44,AS8+1,0)/100</f>
        <v>0</v>
      </c>
      <c r="AT1" s="11" t="n">
        <f t="array" ref="AT1">VLOOKUP($O$1,$O$9:$AY$44,AT8+1,0)/100</f>
        <v>0</v>
      </c>
      <c r="AU1" s="11" t="n">
        <f t="array" ref="AU1">VLOOKUP($O$1,$O$9:$AY$44,AU8+1,0)/100</f>
        <v>0</v>
      </c>
      <c r="AV1" s="11" t="n">
        <f t="array" ref="AV1">VLOOKUP($O$1,$O$9:$AY$44,AV8+1,0)/100</f>
        <v>0</v>
      </c>
      <c r="AW1" s="11" t="n">
        <f t="array" ref="AW1">VLOOKUP($O$1,$O$9:$AY$44,AW8+1,0)/100</f>
        <v>0</v>
      </c>
      <c r="AX1" s="11" t="n">
        <f t="array" ref="AX1">VLOOKUP($O$1,$O$9:$AY$44,AX8+1,0)/100</f>
        <v>0</v>
      </c>
      <c r="AY1" s="13" t="n">
        <f t="array" ref="AY1">VLOOKUP($O$1,$O$9:$AY$44,AY8+1,0)/100</f>
        <v>0</v>
      </c>
    </row>
    <row r="2" s="3154" customFormat="1" ht="17.25" customHeight="1">
      <c r="A2" s="157" t="str">
        <f t="array" ref="A2">'Assumptions'!$D$6&amp;" / "&amp;'Assumptions'!$D$7&amp;" / "&amp;'Assumptions'!$D$9</f>
        <v>INDEPENDENT (No Flag) / SLEEP SPACE — 100-KEY PREFAB (50 EP + 50 E) / Austin, TX</v>
      </c>
      <c r="B2" s="158" t="n"/>
      <c r="C2" s="158" t="n"/>
      <c r="D2" s="158" t="n"/>
      <c r="E2" s="158" t="n"/>
      <c r="F2" s="158" t="n"/>
      <c r="G2" s="158" t="n"/>
      <c r="H2" s="158" t="n"/>
      <c r="I2" s="158" t="n"/>
      <c r="J2" s="158" t="n"/>
      <c r="K2" s="158" t="n"/>
      <c r="L2" s="1894" t="n"/>
      <c r="M2" s="26" t="n"/>
      <c r="N2" s="26" t="n"/>
      <c r="O2" s="26" t="n"/>
      <c r="P2" s="26" t="n"/>
      <c r="Q2" s="26" t="n"/>
      <c r="R2" s="26" t="n"/>
      <c r="S2" s="26" t="n"/>
      <c r="T2" s="26" t="n"/>
      <c r="U2" s="26" t="n"/>
      <c r="V2" s="26" t="n"/>
      <c r="W2" s="26" t="n"/>
      <c r="X2" s="26" t="n"/>
      <c r="Y2" s="26" t="n"/>
      <c r="Z2" s="26" t="n"/>
      <c r="AA2" s="26" t="n"/>
      <c r="AB2" s="26" t="n"/>
      <c r="AC2" s="26" t="n"/>
      <c r="AD2" s="26" t="n"/>
      <c r="AE2" s="26" t="n"/>
      <c r="AF2" s="26" t="n"/>
      <c r="AG2" s="26" t="n"/>
      <c r="AH2" s="26" t="n"/>
      <c r="AI2" s="26" t="n"/>
      <c r="AJ2" s="26" t="n"/>
      <c r="AK2" s="26" t="n"/>
      <c r="AL2" s="26" t="n"/>
      <c r="AM2" s="26" t="n"/>
      <c r="AN2" s="26" t="n"/>
      <c r="AO2" s="26" t="n"/>
      <c r="AP2" s="26" t="n"/>
      <c r="AQ2" s="26" t="n"/>
      <c r="AR2" s="26" t="n"/>
      <c r="AS2" s="26" t="n"/>
      <c r="AT2" s="26" t="n"/>
      <c r="AU2" s="26" t="n"/>
      <c r="AV2" s="26" t="n"/>
      <c r="AW2" s="26" t="n"/>
      <c r="AX2" s="26" t="n"/>
      <c r="AY2" s="27" t="n"/>
    </row>
    <row r="3" s="3154" customFormat="1" ht="13.5" customHeight="1">
      <c r="A3" s="580" t="str">
        <f t="array" ref="A3">'Assumptions'!$A$3</f>
        <v>Version Notes: Added 1st round of GPM Costs from Pinkerton and Laws. We anticipate further cost savings. </v>
      </c>
      <c r="B3" s="26" t="n"/>
      <c r="C3" s="26" t="n"/>
      <c r="D3" s="26" t="n"/>
      <c r="E3" s="26" t="n"/>
      <c r="F3" s="26" t="n"/>
      <c r="G3" s="26" t="n"/>
      <c r="H3" s="26" t="n"/>
      <c r="I3" s="26" t="n"/>
      <c r="J3" s="26" t="n"/>
      <c r="K3" s="26" t="n"/>
      <c r="L3" s="26" t="n"/>
      <c r="M3" s="26" t="n"/>
      <c r="N3" s="26" t="n"/>
      <c r="O3" s="429" t="inlineStr">
        <is>
          <t xml:space="preserve">Const Start</t>
        </is>
      </c>
      <c r="P3" s="26" t="n">
        <f t="array" ref="P3">'S&amp;U-Timeline'!E26</f>
        <v>3</v>
      </c>
      <c r="Q3" s="26" t="n"/>
      <c r="R3" s="429" t="inlineStr">
        <is>
          <t xml:space="preserve">Duration</t>
        </is>
      </c>
      <c r="S3" s="26" t="n">
        <f t="array" ref="S3">P4-P3+1</f>
        <v>10</v>
      </c>
      <c r="T3" s="26" t="n"/>
      <c r="U3" s="26" t="n"/>
      <c r="V3" s="26" t="n"/>
      <c r="W3" s="26" t="n"/>
      <c r="X3" s="26" t="n"/>
      <c r="Y3" s="26" t="n"/>
      <c r="Z3" s="26" t="n"/>
      <c r="AA3" s="26" t="n"/>
      <c r="AB3" s="26" t="n"/>
      <c r="AC3" s="26" t="n"/>
      <c r="AD3" s="26" t="n"/>
      <c r="AE3" s="26" t="n"/>
      <c r="AF3" s="26" t="n"/>
      <c r="AG3" s="26" t="n"/>
      <c r="AH3" s="26" t="n"/>
      <c r="AI3" s="26" t="n"/>
      <c r="AJ3" s="26" t="n"/>
      <c r="AK3" s="26" t="n"/>
      <c r="AL3" s="26" t="n"/>
      <c r="AM3" s="26" t="n"/>
      <c r="AN3" s="26" t="n"/>
      <c r="AO3" s="26" t="n"/>
      <c r="AP3" s="26" t="n"/>
      <c r="AQ3" s="26" t="n"/>
      <c r="AR3" s="26" t="n"/>
      <c r="AS3" s="26" t="n"/>
      <c r="AT3" s="26" t="n"/>
      <c r="AU3" s="26" t="n"/>
      <c r="AV3" s="26" t="n"/>
      <c r="AW3" s="26" t="n"/>
      <c r="AX3" s="26" t="n"/>
      <c r="AY3" s="27" t="n"/>
    </row>
    <row r="4" s="3154" customFormat="1" ht="13.5" customHeight="1">
      <c r="A4" s="162" t="n"/>
      <c r="B4" s="163" t="n"/>
      <c r="C4" s="163" t="n"/>
      <c r="D4" s="163" t="n"/>
      <c r="E4" s="163" t="n"/>
      <c r="F4" s="163" t="n"/>
      <c r="G4" s="163" t="n"/>
      <c r="H4" s="163" t="n"/>
      <c r="I4" s="163" t="n"/>
      <c r="J4" s="163" t="n"/>
      <c r="K4" s="163" t="n"/>
      <c r="L4" s="1895" t="str">
        <f t="array" ref="L4">IF(SUM(D6:K6)&lt;&gt;8,"ERROR: ALL CATEGORIES NOT ALLOCATED","")</f>
      </c>
      <c r="M4" s="26" t="n"/>
      <c r="N4" s="26" t="n"/>
      <c r="O4" s="429" t="inlineStr">
        <is>
          <t xml:space="preserve">Constr End</t>
        </is>
      </c>
      <c r="P4" s="26" t="n">
        <f t="array" ref="P4">'S&amp;U-Timeline'!H26</f>
        <v>12</v>
      </c>
      <c r="Q4" s="26" t="n"/>
      <c r="R4" s="26" t="n"/>
      <c r="S4" s="26" t="n"/>
      <c r="T4" s="26" t="n"/>
      <c r="U4" s="26" t="n"/>
      <c r="V4" s="26" t="n"/>
      <c r="W4" s="26" t="n"/>
      <c r="X4" s="26" t="n"/>
      <c r="Y4" s="26" t="n"/>
      <c r="Z4" s="26" t="n"/>
      <c r="AA4" s="26" t="n"/>
      <c r="AB4" s="26" t="n"/>
      <c r="AC4" s="26" t="n"/>
      <c r="AD4" s="26" t="n"/>
      <c r="AE4" s="26" t="n"/>
      <c r="AF4" s="26" t="n"/>
      <c r="AG4" s="26" t="n"/>
      <c r="AH4" s="26" t="n"/>
      <c r="AI4" s="26" t="n"/>
      <c r="AJ4" s="26" t="n"/>
      <c r="AK4" s="26" t="n"/>
      <c r="AL4" s="26" t="n"/>
      <c r="AM4" s="26" t="n"/>
      <c r="AN4" s="26" t="n"/>
      <c r="AO4" s="26" t="n"/>
      <c r="AP4" s="26" t="n"/>
      <c r="AQ4" s="26" t="n"/>
      <c r="AR4" s="26" t="n"/>
      <c r="AS4" s="26" t="n"/>
      <c r="AT4" s="26" t="n"/>
      <c r="AU4" s="26" t="n"/>
      <c r="AV4" s="26" t="n"/>
      <c r="AW4" s="26" t="n"/>
      <c r="AX4" s="26" t="n"/>
      <c r="AY4" s="27" t="n"/>
    </row>
    <row r="5" s="3154" customFormat="1" ht="27" customHeight="1">
      <c r="A5" s="1896" t="n"/>
      <c r="B5" s="1897" t="n"/>
      <c r="C5" s="1898" t="n"/>
      <c r="D5" s="1899" t="str">
        <f t="array" ref="D5">'Cost Detail'!$N$5</f>
        <v>LAND &amp; ACQ</v>
      </c>
      <c r="E5" s="1899" t="str">
        <f t="array" ref="E5">'Cost Detail'!$N$18</f>
        <v>DEV &amp; PLANNING</v>
      </c>
      <c r="F5" s="1899" t="str">
        <f t="array" ref="F5">'Cost Detail'!$N$28</f>
        <v>ARCH &amp; ENG</v>
      </c>
      <c r="G5" s="1899" t="str">
        <f t="array" ref="G5">'Cost Detail'!$N$59</f>
        <v>MKTING</v>
      </c>
      <c r="H5" s="1899" t="str">
        <f t="array" ref="H5">'Cost Detail'!$N$69</f>
        <v>FINANCING</v>
      </c>
      <c r="I5" s="1899" t="str">
        <f t="array" ref="I5">'Cost Detail'!$N$83</f>
        <v>HARD COSTS</v>
      </c>
      <c r="J5" s="1899" t="str">
        <f t="array" ref="J5">'Cost Detail'!$N$144</f>
        <v>HOTEL DIRECT</v>
      </c>
      <c r="K5" s="1899" t="str">
        <f t="array" ref="K5">'Cost Detail'!$N$110</f>
        <v>SOFT COSTS</v>
      </c>
      <c r="L5" s="1900" t="n"/>
      <c r="M5" s="25" t="n"/>
      <c r="N5" s="26" t="n"/>
      <c r="O5" s="26" t="n"/>
      <c r="P5" s="26" t="n"/>
      <c r="Q5" s="26" t="n"/>
      <c r="R5" s="26" t="n"/>
      <c r="S5" s="26" t="n"/>
      <c r="T5" s="26" t="n"/>
      <c r="U5" s="26" t="n"/>
      <c r="V5" s="26" t="n"/>
      <c r="W5" s="26" t="n"/>
      <c r="X5" s="26" t="n"/>
      <c r="Y5" s="26" t="n"/>
      <c r="Z5" s="26" t="n"/>
      <c r="AA5" s="26" t="n"/>
      <c r="AB5" s="26" t="n"/>
      <c r="AC5" s="26" t="n"/>
      <c r="AD5" s="26" t="n"/>
      <c r="AE5" s="26" t="n"/>
      <c r="AF5" s="26" t="n"/>
      <c r="AG5" s="26" t="n"/>
      <c r="AH5" s="26" t="n"/>
      <c r="AI5" s="26" t="n"/>
      <c r="AJ5" s="26" t="n"/>
      <c r="AK5" s="26" t="n"/>
      <c r="AL5" s="26" t="n"/>
      <c r="AM5" s="26" t="n"/>
      <c r="AN5" s="26" t="n"/>
      <c r="AO5" s="26" t="n"/>
      <c r="AP5" s="26" t="n"/>
      <c r="AQ5" s="26" t="n"/>
      <c r="AR5" s="26" t="n"/>
      <c r="AS5" s="26" t="n"/>
      <c r="AT5" s="26" t="n"/>
      <c r="AU5" s="26" t="n"/>
      <c r="AV5" s="26" t="n"/>
      <c r="AW5" s="26" t="n"/>
      <c r="AX5" s="26" t="n"/>
      <c r="AY5" s="27" t="n"/>
    </row>
    <row r="6" s="3154" customFormat="1" ht="13.5" customHeight="1">
      <c r="A6" s="525" t="inlineStr">
        <is>
          <t xml:space="preserve">ACTIVITY</t>
        </is>
      </c>
      <c r="B6" s="1901" t="inlineStr">
        <is>
          <t xml:space="preserve">P-MTH</t>
        </is>
      </c>
      <c r="C6" s="1902" t="inlineStr">
        <is>
          <t xml:space="preserve">C-MTH</t>
        </is>
      </c>
      <c r="D6" s="3903" t="n">
        <f t="array" ref="D6">SUM(D7:D66)</f>
        <v>1</v>
      </c>
      <c r="E6" s="3903" t="n">
        <f t="array" ref="E6">SUM(E7:E66)</f>
        <v>1</v>
      </c>
      <c r="F6" s="3903" t="n">
        <f t="array" ref="F6">SUM(F7:F66)</f>
        <v>1</v>
      </c>
      <c r="G6" s="3903" t="n">
        <f t="array" ref="G6">SUM(G7:G66)</f>
        <v>1</v>
      </c>
      <c r="H6" s="3903" t="n">
        <f t="array" ref="H6">SUM(H7:H66)</f>
        <v>1</v>
      </c>
      <c r="I6" s="3903" t="n">
        <f t="array" ref="I6">SUM(I7:I66)</f>
        <v>1</v>
      </c>
      <c r="J6" s="3903" t="n">
        <f t="array" ref="J6">SUM(J7:J66)</f>
        <v>1</v>
      </c>
      <c r="K6" s="3903" t="n">
        <f t="array" ref="K6">SUM(K7:K66)</f>
        <v>1</v>
      </c>
      <c r="L6" s="3904" t="n"/>
      <c r="M6" s="25" t="n"/>
      <c r="N6" s="26" t="n"/>
      <c r="O6" s="429" t="inlineStr">
        <is>
          <t xml:space="preserve">S-Curve Table</t>
        </is>
      </c>
      <c r="P6" s="26" t="n"/>
      <c r="Q6" s="26" t="n"/>
      <c r="R6" s="26" t="n"/>
      <c r="S6" s="26" t="n"/>
      <c r="T6" s="26" t="n"/>
      <c r="U6" s="26" t="n"/>
      <c r="V6" s="26" t="n"/>
      <c r="W6" s="26" t="n"/>
      <c r="X6" s="26" t="n"/>
      <c r="Y6" s="26" t="n"/>
      <c r="Z6" s="26" t="n"/>
      <c r="AA6" s="26" t="n"/>
      <c r="AB6" s="26" t="n"/>
      <c r="AC6" s="26" t="n"/>
      <c r="AD6" s="26" t="n"/>
      <c r="AE6" s="26" t="n"/>
      <c r="AF6" s="26" t="n"/>
      <c r="AG6" s="26" t="n"/>
      <c r="AH6" s="26" t="n"/>
      <c r="AI6" s="26" t="n"/>
      <c r="AJ6" s="26" t="n"/>
      <c r="AK6" s="26" t="n"/>
      <c r="AL6" s="26" t="n"/>
      <c r="AM6" s="26" t="n"/>
      <c r="AN6" s="26" t="n"/>
      <c r="AO6" s="26" t="n"/>
      <c r="AP6" s="26" t="n"/>
      <c r="AQ6" s="26" t="n"/>
      <c r="AR6" s="26" t="n"/>
      <c r="AS6" s="26" t="n"/>
      <c r="AT6" s="26" t="n"/>
      <c r="AU6" s="26" t="n"/>
      <c r="AV6" s="26" t="n"/>
      <c r="AW6" s="26" t="n"/>
      <c r="AX6" s="26" t="n"/>
      <c r="AY6" s="27" t="n"/>
    </row>
    <row r="7" s="3154" customFormat="1" ht="13.5" customHeight="1">
      <c r="A7" s="1905" t="str">
        <f t="array" ref="A7">'S&amp;U-Timeline'!T9</f>
        <v>Pre-Development</v>
      </c>
      <c r="B7" s="1906" t="n">
        <f t="array" ref="B7">'S&amp;U-Timeline'!P9</f>
        <v>0</v>
      </c>
      <c r="C7" s="3905" t="n">
        <f t="array" ref="C7">'S&amp;U-Timeline'!R9</f>
        <v>46113</v>
      </c>
      <c r="D7" s="1908" t="n">
        <v>0.9399999999999999</v>
      </c>
      <c r="E7" s="1908" t="n">
        <v>0.1</v>
      </c>
      <c r="F7" s="1908" t="n">
        <v>0.2</v>
      </c>
      <c r="G7" s="1908" t="n"/>
      <c r="H7" s="1908" t="n"/>
      <c r="I7" s="1908" t="n"/>
      <c r="J7" s="1908" t="n"/>
      <c r="K7" s="1908" t="n"/>
      <c r="L7" s="1909" t="n"/>
      <c r="M7" s="38" t="str">
        <f t="array" ref="M7">IF(SUM(D7:L7)=0,"HIDE","")</f>
      </c>
      <c r="N7" s="26" t="n"/>
      <c r="O7" s="429" t="inlineStr">
        <is>
          <t xml:space="preserve">Const.</t>
        </is>
      </c>
      <c r="P7" s="429" t="inlineStr">
        <is>
          <t xml:space="preserve">ALLOCATION PER MONTH (PERCENTAGES)</t>
        </is>
      </c>
      <c r="Q7" s="26" t="n"/>
      <c r="R7" s="26" t="n"/>
      <c r="S7" s="26" t="n"/>
      <c r="T7" s="26" t="n"/>
      <c r="U7" s="26" t="n"/>
      <c r="V7" s="26" t="n"/>
      <c r="W7" s="26" t="n"/>
      <c r="X7" s="26" t="n"/>
      <c r="Y7" s="26" t="n"/>
      <c r="Z7" s="26" t="n"/>
      <c r="AA7" s="26" t="n"/>
      <c r="AB7" s="26" t="n"/>
      <c r="AC7" s="26" t="n"/>
      <c r="AD7" s="26" t="n"/>
      <c r="AE7" s="26" t="n"/>
      <c r="AF7" s="26" t="n"/>
      <c r="AG7" s="26" t="n"/>
      <c r="AH7" s="26" t="n"/>
      <c r="AI7" s="26" t="n"/>
      <c r="AJ7" s="26" t="n"/>
      <c r="AK7" s="26" t="n"/>
      <c r="AL7" s="26" t="n"/>
      <c r="AM7" s="26" t="n"/>
      <c r="AN7" s="26" t="n"/>
      <c r="AO7" s="26" t="n"/>
      <c r="AP7" s="26" t="n"/>
      <c r="AQ7" s="26" t="n"/>
      <c r="AR7" s="26" t="n"/>
      <c r="AS7" s="26" t="n"/>
      <c r="AT7" s="26" t="n"/>
      <c r="AU7" s="26" t="n"/>
      <c r="AV7" s="26" t="n"/>
      <c r="AW7" s="26" t="n"/>
      <c r="AX7" s="26" t="n"/>
      <c r="AY7" s="27" t="n"/>
    </row>
    <row r="8" s="3154" customFormat="1" ht="13.5" customHeight="1">
      <c r="A8" s="1910" t="e">
        <f t="array" ref="A8">'S&amp;U-Timeline'!T10</f>
      </c>
      <c r="B8" s="179" t="e">
        <f t="array" ref="B8">'S&amp;U-Timeline'!P10</f>
      </c>
      <c r="C8" s="3906" t="e">
        <f t="array" ref="C8">'S&amp;U-Timeline'!R10</f>
      </c>
      <c r="D8" s="1912" t="n"/>
      <c r="E8" s="1912" t="n"/>
      <c r="F8" s="1912" t="n">
        <v>0.2</v>
      </c>
      <c r="G8" s="1912" t="n"/>
      <c r="H8" s="1912" t="n"/>
      <c r="I8" s="1912" t="n"/>
      <c r="J8" s="1912" t="n"/>
      <c r="K8" s="1912" t="n"/>
      <c r="L8" s="1913" t="n"/>
      <c r="M8" s="38" t="str">
        <f t="array" ref="M8">IF(SUM(D8:L8)=0,"HIDE","")</f>
      </c>
      <c r="N8" s="26" t="n"/>
      <c r="O8" s="429" t="inlineStr">
        <is>
          <t xml:space="preserve">Duration</t>
        </is>
      </c>
      <c r="P8" s="26" t="n">
        <v>1</v>
      </c>
      <c r="Q8" s="26" t="n">
        <v>2</v>
      </c>
      <c r="R8" s="26" t="n">
        <v>3</v>
      </c>
      <c r="S8" s="26" t="n">
        <v>4</v>
      </c>
      <c r="T8" s="26" t="n">
        <v>5</v>
      </c>
      <c r="U8" s="26" t="n">
        <v>6</v>
      </c>
      <c r="V8" s="26" t="n">
        <v>7</v>
      </c>
      <c r="W8" s="26" t="n">
        <v>8</v>
      </c>
      <c r="X8" s="26" t="n">
        <v>9</v>
      </c>
      <c r="Y8" s="26" t="n">
        <v>10</v>
      </c>
      <c r="Z8" s="26" t="n">
        <v>11</v>
      </c>
      <c r="AA8" s="26" t="n">
        <v>12</v>
      </c>
      <c r="AB8" s="26" t="n">
        <v>13</v>
      </c>
      <c r="AC8" s="26" t="n">
        <v>14</v>
      </c>
      <c r="AD8" s="26" t="n">
        <v>15</v>
      </c>
      <c r="AE8" s="26" t="n">
        <v>16</v>
      </c>
      <c r="AF8" s="26" t="n">
        <v>17</v>
      </c>
      <c r="AG8" s="26" t="n">
        <v>18</v>
      </c>
      <c r="AH8" s="26" t="n">
        <v>19</v>
      </c>
      <c r="AI8" s="26" t="n">
        <v>20</v>
      </c>
      <c r="AJ8" s="26" t="n">
        <v>21</v>
      </c>
      <c r="AK8" s="26" t="n">
        <v>22</v>
      </c>
      <c r="AL8" s="26" t="n">
        <v>23</v>
      </c>
      <c r="AM8" s="26" t="n">
        <v>24</v>
      </c>
      <c r="AN8" s="26" t="n">
        <v>25</v>
      </c>
      <c r="AO8" s="26" t="n">
        <v>26</v>
      </c>
      <c r="AP8" s="26" t="n">
        <v>27</v>
      </c>
      <c r="AQ8" s="26" t="n">
        <v>28</v>
      </c>
      <c r="AR8" s="26" t="n">
        <v>29</v>
      </c>
      <c r="AS8" s="26" t="n">
        <v>30</v>
      </c>
      <c r="AT8" s="26" t="n">
        <v>31</v>
      </c>
      <c r="AU8" s="26" t="n">
        <v>32</v>
      </c>
      <c r="AV8" s="26" t="n">
        <v>33</v>
      </c>
      <c r="AW8" s="26" t="n">
        <v>34</v>
      </c>
      <c r="AX8" s="26" t="n">
        <v>35</v>
      </c>
      <c r="AY8" s="27" t="n">
        <v>36</v>
      </c>
    </row>
    <row r="9" s="3154" customFormat="1" ht="13.5" customHeight="1">
      <c r="A9" s="1910" t="e">
        <f t="array" ref="A9">'S&amp;U-Timeline'!T11</f>
      </c>
      <c r="B9" s="179" t="e">
        <f t="array" ref="B9">'S&amp;U-Timeline'!P11</f>
      </c>
      <c r="C9" s="3906" t="e">
        <f t="array" ref="C9">'S&amp;U-Timeline'!R11</f>
      </c>
      <c r="D9" s="1912" t="n"/>
      <c r="E9" s="1912" t="n"/>
      <c r="F9" s="1912" t="n">
        <v>0.2</v>
      </c>
      <c r="G9" s="1912" t="n"/>
      <c r="H9" s="1912" t="n"/>
      <c r="I9" s="1912" t="n"/>
      <c r="J9" s="1912" t="n"/>
      <c r="K9" s="1912" t="n"/>
      <c r="L9" s="1913" t="n"/>
      <c r="M9" s="38" t="str">
        <f t="array" ref="M9">IF(SUM(D9:L9)=0,"HIDE","")</f>
      </c>
      <c r="N9" s="26" t="n"/>
      <c r="O9" s="26" t="n">
        <v>1</v>
      </c>
      <c r="P9" s="26" t="n">
        <v>100</v>
      </c>
      <c r="Q9" s="26" t="n">
        <v>0</v>
      </c>
      <c r="R9" s="26" t="n">
        <v>0</v>
      </c>
      <c r="S9" s="26" t="n">
        <v>0</v>
      </c>
      <c r="T9" s="26" t="n">
        <v>0</v>
      </c>
      <c r="U9" s="26" t="n">
        <v>0</v>
      </c>
      <c r="V9" s="26" t="n">
        <v>0</v>
      </c>
      <c r="W9" s="26" t="n">
        <v>0</v>
      </c>
      <c r="X9" s="26" t="n">
        <v>0</v>
      </c>
      <c r="Y9" s="26" t="n">
        <v>0</v>
      </c>
      <c r="Z9" s="26" t="n">
        <v>0</v>
      </c>
      <c r="AA9" s="26" t="n">
        <v>0</v>
      </c>
      <c r="AB9" s="26" t="n">
        <v>0</v>
      </c>
      <c r="AC9" s="26" t="n">
        <v>0</v>
      </c>
      <c r="AD9" s="26" t="n">
        <v>0</v>
      </c>
      <c r="AE9" s="26" t="n">
        <v>0</v>
      </c>
      <c r="AF9" s="26" t="n">
        <v>0</v>
      </c>
      <c r="AG9" s="26" t="n">
        <v>0</v>
      </c>
      <c r="AH9" s="26" t="n">
        <v>0</v>
      </c>
      <c r="AI9" s="26" t="n">
        <v>0</v>
      </c>
      <c r="AJ9" s="26" t="n">
        <v>0</v>
      </c>
      <c r="AK9" s="26" t="n">
        <v>0</v>
      </c>
      <c r="AL9" s="26" t="n">
        <v>0</v>
      </c>
      <c r="AM9" s="26" t="n">
        <v>0</v>
      </c>
      <c r="AN9" s="26" t="n">
        <v>0</v>
      </c>
      <c r="AO9" s="26" t="n">
        <v>0</v>
      </c>
      <c r="AP9" s="26" t="n">
        <v>0</v>
      </c>
      <c r="AQ9" s="26" t="n">
        <v>0</v>
      </c>
      <c r="AR9" s="26" t="n">
        <v>0</v>
      </c>
      <c r="AS9" s="26" t="n">
        <v>0</v>
      </c>
      <c r="AT9" s="26" t="n">
        <v>0</v>
      </c>
      <c r="AU9" s="26" t="n">
        <v>0</v>
      </c>
      <c r="AV9" s="26" t="n">
        <v>0</v>
      </c>
      <c r="AW9" s="26" t="n">
        <v>0</v>
      </c>
      <c r="AX9" s="26" t="n">
        <v>0</v>
      </c>
      <c r="AY9" s="27" t="n">
        <v>0</v>
      </c>
    </row>
    <row r="10" s="3154" customFormat="1" ht="13.5" customHeight="1">
      <c r="A10" s="1910" t="e">
        <f t="array" ref="A10">'S&amp;U-Timeline'!T12</f>
      </c>
      <c r="B10" s="179" t="e">
        <f t="array" ref="B10">'S&amp;U-Timeline'!P12</f>
      </c>
      <c r="C10" s="3906" t="e">
        <f t="array" ref="C10">'S&amp;U-Timeline'!R12</f>
      </c>
      <c r="D10" s="1912" t="n"/>
      <c r="E10" s="1912" t="n"/>
      <c r="F10" s="1912" t="n">
        <v>0.2</v>
      </c>
      <c r="G10" s="1912" t="n"/>
      <c r="H10" s="1912" t="n">
        <v>0.25</v>
      </c>
      <c r="I10" s="1912" t="n">
        <v>0.0068</v>
      </c>
      <c r="J10" s="1912" t="n"/>
      <c r="K10" s="1912" t="n">
        <v>0.0068</v>
      </c>
      <c r="L10" s="1913" t="n"/>
      <c r="M10" s="38" t="str">
        <f t="array" ref="M10">IF(SUM(D10:L10)=0,"HIDE","")</f>
      </c>
      <c r="N10" s="26" t="n"/>
      <c r="O10" s="26" t="n">
        <v>2</v>
      </c>
      <c r="P10" s="26" t="n">
        <v>50</v>
      </c>
      <c r="Q10" s="26" t="n">
        <v>50</v>
      </c>
      <c r="R10" s="26" t="n">
        <v>0</v>
      </c>
      <c r="S10" s="26" t="n">
        <v>0</v>
      </c>
      <c r="T10" s="26" t="n">
        <v>0</v>
      </c>
      <c r="U10" s="26" t="n">
        <v>0</v>
      </c>
      <c r="V10" s="26" t="n">
        <v>0</v>
      </c>
      <c r="W10" s="26" t="n">
        <v>0</v>
      </c>
      <c r="X10" s="26" t="n">
        <v>0</v>
      </c>
      <c r="Y10" s="26" t="n">
        <v>0</v>
      </c>
      <c r="Z10" s="26" t="n">
        <v>0</v>
      </c>
      <c r="AA10" s="26" t="n">
        <v>0</v>
      </c>
      <c r="AB10" s="26" t="n">
        <v>0</v>
      </c>
      <c r="AC10" s="26" t="n">
        <v>0</v>
      </c>
      <c r="AD10" s="26" t="n">
        <v>0</v>
      </c>
      <c r="AE10" s="26" t="n">
        <v>0</v>
      </c>
      <c r="AF10" s="26" t="n">
        <v>0</v>
      </c>
      <c r="AG10" s="26" t="n">
        <v>0</v>
      </c>
      <c r="AH10" s="26" t="n">
        <v>0</v>
      </c>
      <c r="AI10" s="26" t="n">
        <v>0</v>
      </c>
      <c r="AJ10" s="26" t="n">
        <v>0</v>
      </c>
      <c r="AK10" s="26" t="n">
        <v>0</v>
      </c>
      <c r="AL10" s="26" t="n">
        <v>0</v>
      </c>
      <c r="AM10" s="26" t="n">
        <v>0</v>
      </c>
      <c r="AN10" s="26" t="n">
        <v>0</v>
      </c>
      <c r="AO10" s="26" t="n">
        <v>0</v>
      </c>
      <c r="AP10" s="26" t="n">
        <v>0</v>
      </c>
      <c r="AQ10" s="26" t="n">
        <v>0</v>
      </c>
      <c r="AR10" s="26" t="n">
        <v>0</v>
      </c>
      <c r="AS10" s="26" t="n">
        <v>0</v>
      </c>
      <c r="AT10" s="26" t="n">
        <v>0</v>
      </c>
      <c r="AU10" s="26" t="n">
        <v>0</v>
      </c>
      <c r="AV10" s="26" t="n">
        <v>0</v>
      </c>
      <c r="AW10" s="26" t="n">
        <v>0</v>
      </c>
      <c r="AX10" s="26" t="n">
        <v>0</v>
      </c>
      <c r="AY10" s="27" t="n">
        <v>0</v>
      </c>
    </row>
    <row r="11" s="3154" customFormat="1" ht="13.5" customHeight="1">
      <c r="A11" s="1910" t="e">
        <f t="array" ref="A11">'S&amp;U-Timeline'!T13</f>
      </c>
      <c r="B11" s="179" t="e">
        <f t="array" ref="B11">'S&amp;U-Timeline'!P13</f>
      </c>
      <c r="C11" s="3906" t="e">
        <f t="array" ref="C11">'S&amp;U-Timeline'!R13</f>
      </c>
      <c r="D11" s="1912" t="n"/>
      <c r="E11" s="1912" t="n"/>
      <c r="F11" s="1912" t="n">
        <v>0.1</v>
      </c>
      <c r="G11" s="1912" t="n"/>
      <c r="H11" s="1912" t="n"/>
      <c r="I11" s="1912" t="n">
        <v>0.0202</v>
      </c>
      <c r="J11" s="1912" t="n"/>
      <c r="K11" s="1912" t="n">
        <v>0.0202</v>
      </c>
      <c r="L11" s="1913" t="n"/>
      <c r="M11" s="38" t="str">
        <f t="array" ref="M11">IF(SUM(D11:L11)=0,"HIDE","")</f>
      </c>
      <c r="N11" s="26" t="n"/>
      <c r="O11" s="26" t="n">
        <v>3</v>
      </c>
      <c r="P11" s="26" t="n">
        <v>25</v>
      </c>
      <c r="Q11" s="26" t="n">
        <v>49.9</v>
      </c>
      <c r="R11" s="26" t="n">
        <v>25.1</v>
      </c>
      <c r="S11" s="26" t="n">
        <v>0</v>
      </c>
      <c r="T11" s="26" t="n">
        <v>0</v>
      </c>
      <c r="U11" s="26" t="n">
        <v>0</v>
      </c>
      <c r="V11" s="26" t="n">
        <v>0</v>
      </c>
      <c r="W11" s="26" t="n">
        <v>0</v>
      </c>
      <c r="X11" s="26" t="n">
        <v>0</v>
      </c>
      <c r="Y11" s="26" t="n">
        <v>0</v>
      </c>
      <c r="Z11" s="26" t="n">
        <v>0</v>
      </c>
      <c r="AA11" s="26" t="n">
        <v>0</v>
      </c>
      <c r="AB11" s="26" t="n">
        <v>0</v>
      </c>
      <c r="AC11" s="26" t="n">
        <v>0</v>
      </c>
      <c r="AD11" s="26" t="n">
        <v>0</v>
      </c>
      <c r="AE11" s="26" t="n">
        <v>0</v>
      </c>
      <c r="AF11" s="26" t="n">
        <v>0</v>
      </c>
      <c r="AG11" s="26" t="n">
        <v>0</v>
      </c>
      <c r="AH11" s="26" t="n">
        <v>0</v>
      </c>
      <c r="AI11" s="26" t="n">
        <v>0</v>
      </c>
      <c r="AJ11" s="26" t="n">
        <v>0</v>
      </c>
      <c r="AK11" s="26" t="n">
        <v>0</v>
      </c>
      <c r="AL11" s="26" t="n">
        <v>0</v>
      </c>
      <c r="AM11" s="26" t="n">
        <v>0</v>
      </c>
      <c r="AN11" s="26" t="n">
        <v>0</v>
      </c>
      <c r="AO11" s="26" t="n">
        <v>0</v>
      </c>
      <c r="AP11" s="26" t="n">
        <v>0</v>
      </c>
      <c r="AQ11" s="26" t="n">
        <v>0</v>
      </c>
      <c r="AR11" s="26" t="n">
        <v>0</v>
      </c>
      <c r="AS11" s="26" t="n">
        <v>0</v>
      </c>
      <c r="AT11" s="26" t="n">
        <v>0</v>
      </c>
      <c r="AU11" s="26" t="n">
        <v>0</v>
      </c>
      <c r="AV11" s="26" t="n">
        <v>0</v>
      </c>
      <c r="AW11" s="26" t="n">
        <v>0</v>
      </c>
      <c r="AX11" s="26" t="n">
        <v>0</v>
      </c>
      <c r="AY11" s="27" t="n">
        <v>0</v>
      </c>
    </row>
    <row r="12" s="3154" customFormat="1" ht="13.5" customHeight="1">
      <c r="A12" s="1910" t="e">
        <f t="array" ref="A12">'S&amp;U-Timeline'!T14</f>
      </c>
      <c r="B12" s="179" t="e">
        <f t="array" ref="B12">'S&amp;U-Timeline'!P14</f>
      </c>
      <c r="C12" s="3906" t="e">
        <f t="array" ref="C12">'S&amp;U-Timeline'!R14</f>
      </c>
      <c r="D12" s="1912" t="n">
        <v>0.02</v>
      </c>
      <c r="E12" s="1912" t="n"/>
      <c r="F12" s="1912" t="n">
        <v>0.1</v>
      </c>
      <c r="G12" s="1912" t="n"/>
      <c r="H12" s="1912" t="n"/>
      <c r="I12" s="1912" t="n">
        <v>0.033</v>
      </c>
      <c r="J12" s="1912" t="n"/>
      <c r="K12" s="1912" t="n">
        <v>0.033</v>
      </c>
      <c r="L12" s="1913" t="n"/>
      <c r="M12" s="38" t="str">
        <f t="array" ref="M12">IF(SUM(D12:L12)=0,"HIDE","")</f>
      </c>
      <c r="N12" s="26" t="n"/>
      <c r="O12" s="26" t="n">
        <v>4</v>
      </c>
      <c r="P12" s="26" t="n">
        <v>14.6</v>
      </c>
      <c r="Q12" s="26" t="n">
        <v>35.4</v>
      </c>
      <c r="R12" s="26" t="n">
        <v>35.4</v>
      </c>
      <c r="S12" s="26" t="n">
        <v>14.6</v>
      </c>
      <c r="T12" s="26" t="n">
        <v>0</v>
      </c>
      <c r="U12" s="26" t="n">
        <v>0</v>
      </c>
      <c r="V12" s="26" t="n">
        <v>0</v>
      </c>
      <c r="W12" s="26" t="n">
        <v>0</v>
      </c>
      <c r="X12" s="26" t="n">
        <v>0</v>
      </c>
      <c r="Y12" s="26" t="n">
        <v>0</v>
      </c>
      <c r="Z12" s="26" t="n">
        <v>0</v>
      </c>
      <c r="AA12" s="26" t="n">
        <v>0</v>
      </c>
      <c r="AB12" s="26" t="n">
        <v>0</v>
      </c>
      <c r="AC12" s="26" t="n">
        <v>0</v>
      </c>
      <c r="AD12" s="26" t="n">
        <v>0</v>
      </c>
      <c r="AE12" s="26" t="n">
        <v>0</v>
      </c>
      <c r="AF12" s="26" t="n">
        <v>0</v>
      </c>
      <c r="AG12" s="26" t="n">
        <v>0</v>
      </c>
      <c r="AH12" s="26" t="n">
        <v>0</v>
      </c>
      <c r="AI12" s="26" t="n">
        <v>0</v>
      </c>
      <c r="AJ12" s="26" t="n">
        <v>0</v>
      </c>
      <c r="AK12" s="26" t="n">
        <v>0</v>
      </c>
      <c r="AL12" s="26" t="n">
        <v>0</v>
      </c>
      <c r="AM12" s="26" t="n">
        <v>0</v>
      </c>
      <c r="AN12" s="26" t="n">
        <v>0</v>
      </c>
      <c r="AO12" s="26" t="n">
        <v>0</v>
      </c>
      <c r="AP12" s="26" t="n">
        <v>0</v>
      </c>
      <c r="AQ12" s="26" t="n">
        <v>0</v>
      </c>
      <c r="AR12" s="26" t="n">
        <v>0</v>
      </c>
      <c r="AS12" s="26" t="n">
        <v>0</v>
      </c>
      <c r="AT12" s="26" t="n">
        <v>0</v>
      </c>
      <c r="AU12" s="26" t="n">
        <v>0</v>
      </c>
      <c r="AV12" s="26" t="n">
        <v>0</v>
      </c>
      <c r="AW12" s="26" t="n">
        <v>0</v>
      </c>
      <c r="AX12" s="26" t="n">
        <v>0</v>
      </c>
      <c r="AY12" s="27" t="n">
        <v>0</v>
      </c>
    </row>
    <row r="13" s="3154" customFormat="1" ht="13.5" customHeight="1">
      <c r="A13" s="1910" t="e">
        <f t="array" ref="A13">'S&amp;U-Timeline'!T15</f>
      </c>
      <c r="B13" s="179" t="e">
        <f t="array" ref="B13">'S&amp;U-Timeline'!P15</f>
      </c>
      <c r="C13" s="3906" t="e">
        <f t="array" ref="C13">'S&amp;U-Timeline'!R15</f>
      </c>
      <c r="D13" s="1912" t="n"/>
      <c r="E13" s="1912" t="n">
        <f t="array" ref="E13">0.9*0.25</f>
        <v>0.225</v>
      </c>
      <c r="F13" s="1912" t="n"/>
      <c r="G13" s="1912" t="n"/>
      <c r="H13" s="1912" t="n"/>
      <c r="I13" s="1912" t="n">
        <v>0.044</v>
      </c>
      <c r="J13" s="1912" t="n"/>
      <c r="K13" s="1912" t="n">
        <v>0.044</v>
      </c>
      <c r="L13" s="1913" t="n"/>
      <c r="M13" s="38" t="str">
        <f t="array" ref="M13">IF(SUM(D13:L13)=0,"HIDE","")</f>
      </c>
      <c r="N13" s="26" t="n"/>
      <c r="O13" s="26" t="n">
        <v>5</v>
      </c>
      <c r="P13" s="26" t="n">
        <v>9.5</v>
      </c>
      <c r="Q13" s="26" t="n">
        <v>25.1</v>
      </c>
      <c r="R13" s="26" t="n">
        <v>30.9</v>
      </c>
      <c r="S13" s="26" t="n">
        <v>25</v>
      </c>
      <c r="T13" s="26" t="n">
        <v>9.5</v>
      </c>
      <c r="U13" s="26" t="n">
        <v>0</v>
      </c>
      <c r="V13" s="26" t="n">
        <v>0</v>
      </c>
      <c r="W13" s="26" t="n">
        <v>0</v>
      </c>
      <c r="X13" s="26" t="n">
        <v>0</v>
      </c>
      <c r="Y13" s="26" t="n">
        <v>0</v>
      </c>
      <c r="Z13" s="26" t="n">
        <v>0</v>
      </c>
      <c r="AA13" s="26" t="n">
        <v>0</v>
      </c>
      <c r="AB13" s="26" t="n">
        <v>0</v>
      </c>
      <c r="AC13" s="26" t="n">
        <v>0</v>
      </c>
      <c r="AD13" s="26" t="n">
        <v>0</v>
      </c>
      <c r="AE13" s="26" t="n">
        <v>0</v>
      </c>
      <c r="AF13" s="26" t="n">
        <v>0</v>
      </c>
      <c r="AG13" s="26" t="n">
        <v>0</v>
      </c>
      <c r="AH13" s="26" t="n">
        <v>0</v>
      </c>
      <c r="AI13" s="26" t="n">
        <v>0</v>
      </c>
      <c r="AJ13" s="26" t="n">
        <v>0</v>
      </c>
      <c r="AK13" s="26" t="n">
        <v>0</v>
      </c>
      <c r="AL13" s="26" t="n">
        <v>0</v>
      </c>
      <c r="AM13" s="26" t="n">
        <v>0</v>
      </c>
      <c r="AN13" s="26" t="n">
        <v>0</v>
      </c>
      <c r="AO13" s="26" t="n">
        <v>0</v>
      </c>
      <c r="AP13" s="26" t="n">
        <v>0</v>
      </c>
      <c r="AQ13" s="26" t="n">
        <v>0</v>
      </c>
      <c r="AR13" s="26" t="n">
        <v>0</v>
      </c>
      <c r="AS13" s="26" t="n">
        <v>0</v>
      </c>
      <c r="AT13" s="26" t="n">
        <v>0</v>
      </c>
      <c r="AU13" s="26" t="n">
        <v>0</v>
      </c>
      <c r="AV13" s="26" t="n">
        <v>0</v>
      </c>
      <c r="AW13" s="26" t="n">
        <v>0</v>
      </c>
      <c r="AX13" s="26" t="n">
        <v>0</v>
      </c>
      <c r="AY13" s="27" t="n">
        <v>0</v>
      </c>
    </row>
    <row r="14" s="3154" customFormat="1" ht="13.5" customHeight="1">
      <c r="A14" s="1910" t="e">
        <f t="array" ref="A14">'S&amp;U-Timeline'!T16</f>
      </c>
      <c r="B14" s="179" t="e">
        <f t="array" ref="B14">'S&amp;U-Timeline'!P16</f>
      </c>
      <c r="C14" s="3906" t="e">
        <f t="array" ref="C14">'S&amp;U-Timeline'!R16</f>
      </c>
      <c r="D14" s="1912" t="n"/>
      <c r="E14" s="1912" t="n"/>
      <c r="F14" s="1912" t="n"/>
      <c r="G14" s="1912" t="n"/>
      <c r="H14" s="1912" t="n"/>
      <c r="I14" s="1912" t="n">
        <v>0.057</v>
      </c>
      <c r="J14" s="1912" t="n"/>
      <c r="K14" s="1912" t="n">
        <v>0.057</v>
      </c>
      <c r="L14" s="1913" t="n"/>
      <c r="M14" s="38" t="str">
        <f t="array" ref="M14">IF(SUM(D14:L14)=0,"HIDE","")</f>
      </c>
      <c r="N14" s="26" t="n"/>
      <c r="O14" s="26" t="n">
        <v>6</v>
      </c>
      <c r="P14" s="26" t="n">
        <v>6.7</v>
      </c>
      <c r="Q14" s="26" t="n">
        <v>18.3</v>
      </c>
      <c r="R14" s="26" t="n">
        <v>25</v>
      </c>
      <c r="S14" s="26" t="n">
        <v>25</v>
      </c>
      <c r="T14" s="26" t="n">
        <v>18.3</v>
      </c>
      <c r="U14" s="26" t="n">
        <v>6.7</v>
      </c>
      <c r="V14" s="26" t="n">
        <v>0</v>
      </c>
      <c r="W14" s="26" t="n">
        <v>0</v>
      </c>
      <c r="X14" s="26" t="n">
        <v>0</v>
      </c>
      <c r="Y14" s="26" t="n">
        <v>0</v>
      </c>
      <c r="Z14" s="26" t="n">
        <v>0</v>
      </c>
      <c r="AA14" s="26" t="n">
        <v>0</v>
      </c>
      <c r="AB14" s="26" t="n">
        <v>0</v>
      </c>
      <c r="AC14" s="26" t="n">
        <v>0</v>
      </c>
      <c r="AD14" s="26" t="n">
        <v>0</v>
      </c>
      <c r="AE14" s="26" t="n">
        <v>0</v>
      </c>
      <c r="AF14" s="26" t="n">
        <v>0</v>
      </c>
      <c r="AG14" s="26" t="n">
        <v>0</v>
      </c>
      <c r="AH14" s="26" t="n">
        <v>0</v>
      </c>
      <c r="AI14" s="26" t="n">
        <v>0</v>
      </c>
      <c r="AJ14" s="26" t="n">
        <v>0</v>
      </c>
      <c r="AK14" s="26" t="n">
        <v>0</v>
      </c>
      <c r="AL14" s="26" t="n">
        <v>0</v>
      </c>
      <c r="AM14" s="26" t="n">
        <v>0</v>
      </c>
      <c r="AN14" s="26" t="n">
        <v>0</v>
      </c>
      <c r="AO14" s="26" t="n">
        <v>0</v>
      </c>
      <c r="AP14" s="26" t="n">
        <v>0</v>
      </c>
      <c r="AQ14" s="26" t="n">
        <v>0</v>
      </c>
      <c r="AR14" s="26" t="n">
        <v>0</v>
      </c>
      <c r="AS14" s="26" t="n">
        <v>0</v>
      </c>
      <c r="AT14" s="26" t="n">
        <v>0</v>
      </c>
      <c r="AU14" s="26" t="n">
        <v>0</v>
      </c>
      <c r="AV14" s="26" t="n">
        <v>0</v>
      </c>
      <c r="AW14" s="26" t="n">
        <v>0</v>
      </c>
      <c r="AX14" s="26" t="n">
        <v>0</v>
      </c>
      <c r="AY14" s="27" t="n">
        <v>0</v>
      </c>
    </row>
    <row r="15" s="3154" customFormat="1" ht="13.5" customHeight="1">
      <c r="A15" s="1910" t="e">
        <f t="array" ref="A15">'S&amp;U-Timeline'!T17</f>
      </c>
      <c r="B15" s="179" t="e">
        <f t="array" ref="B15">'S&amp;U-Timeline'!P17</f>
      </c>
      <c r="C15" s="3906" t="e">
        <f t="array" ref="C15">'S&amp;U-Timeline'!R17</f>
      </c>
      <c r="D15" s="1912" t="n"/>
      <c r="E15" s="1912" t="n"/>
      <c r="F15" s="1912" t="n"/>
      <c r="G15" s="1912" t="n"/>
      <c r="H15" s="1912" t="n"/>
      <c r="I15" s="1912" t="n">
        <v>0.08</v>
      </c>
      <c r="J15" s="1912" t="n"/>
      <c r="K15" s="1912" t="n">
        <v>0.08</v>
      </c>
      <c r="L15" s="1913" t="n"/>
      <c r="M15" s="38" t="str">
        <f t="array" ref="M15">IF(SUM(D15:L15)=0,"HIDE","")</f>
      </c>
      <c r="N15" s="26" t="n"/>
      <c r="O15" s="26" t="n">
        <v>7</v>
      </c>
      <c r="P15" s="26" t="n">
        <v>4.9</v>
      </c>
      <c r="Q15" s="26" t="n">
        <v>13.7</v>
      </c>
      <c r="R15" s="26" t="n">
        <v>19.9</v>
      </c>
      <c r="S15" s="26" t="n">
        <v>22.1</v>
      </c>
      <c r="T15" s="26" t="n">
        <v>20</v>
      </c>
      <c r="U15" s="26" t="n">
        <v>14.1</v>
      </c>
      <c r="V15" s="26" t="n">
        <v>5.3</v>
      </c>
      <c r="W15" s="26" t="n">
        <v>0</v>
      </c>
      <c r="X15" s="26" t="n">
        <v>0</v>
      </c>
      <c r="Y15" s="26" t="n">
        <v>0</v>
      </c>
      <c r="Z15" s="26" t="n">
        <v>0</v>
      </c>
      <c r="AA15" s="26" t="n">
        <v>0</v>
      </c>
      <c r="AB15" s="26" t="n">
        <v>0</v>
      </c>
      <c r="AC15" s="26" t="n">
        <v>0</v>
      </c>
      <c r="AD15" s="26" t="n">
        <v>0</v>
      </c>
      <c r="AE15" s="26" t="n">
        <v>0</v>
      </c>
      <c r="AF15" s="26" t="n">
        <v>0</v>
      </c>
      <c r="AG15" s="26" t="n">
        <v>0</v>
      </c>
      <c r="AH15" s="26" t="n">
        <v>0</v>
      </c>
      <c r="AI15" s="26" t="n">
        <v>0</v>
      </c>
      <c r="AJ15" s="26" t="n">
        <v>0</v>
      </c>
      <c r="AK15" s="26" t="n">
        <v>0</v>
      </c>
      <c r="AL15" s="26" t="n">
        <v>0</v>
      </c>
      <c r="AM15" s="26" t="n">
        <v>0</v>
      </c>
      <c r="AN15" s="26" t="n">
        <v>0</v>
      </c>
      <c r="AO15" s="26" t="n">
        <v>0</v>
      </c>
      <c r="AP15" s="26" t="n">
        <v>0</v>
      </c>
      <c r="AQ15" s="26" t="n">
        <v>0</v>
      </c>
      <c r="AR15" s="26" t="n">
        <v>0</v>
      </c>
      <c r="AS15" s="26" t="n">
        <v>0</v>
      </c>
      <c r="AT15" s="26" t="n">
        <v>0</v>
      </c>
      <c r="AU15" s="26" t="n">
        <v>0</v>
      </c>
      <c r="AV15" s="26" t="n">
        <v>0</v>
      </c>
      <c r="AW15" s="26" t="n">
        <v>0</v>
      </c>
      <c r="AX15" s="26" t="n">
        <v>0</v>
      </c>
      <c r="AY15" s="27" t="n">
        <v>0</v>
      </c>
    </row>
    <row r="16" s="3154" customFormat="1" ht="13.5" customHeight="1">
      <c r="A16" s="1910" t="e">
        <f t="array" ref="A16">'S&amp;U-Timeline'!T18</f>
      </c>
      <c r="B16" s="179" t="e">
        <f t="array" ref="B16">'S&amp;U-Timeline'!P18</f>
      </c>
      <c r="C16" s="3906" t="e">
        <f t="array" ref="C16">'S&amp;U-Timeline'!R18</f>
      </c>
      <c r="D16" s="1912" t="n"/>
      <c r="E16" s="1912" t="n">
        <f t="array" ref="E16">0.9*0.25</f>
        <v>0.225</v>
      </c>
      <c r="F16" s="1912" t="n"/>
      <c r="G16" s="1912" t="n"/>
      <c r="H16" s="1912" t="n"/>
      <c r="I16" s="1912" t="n">
        <v>0.074</v>
      </c>
      <c r="J16" s="1912" t="n"/>
      <c r="K16" s="1912" t="n">
        <v>0.074</v>
      </c>
      <c r="L16" s="1913" t="n"/>
      <c r="M16" s="38" t="str">
        <f t="array" ref="M16">IF(SUM(D16:L16)=0,"HIDE","")</f>
      </c>
      <c r="N16" s="26" t="n"/>
      <c r="O16" s="26" t="n">
        <v>8</v>
      </c>
      <c r="P16" s="26" t="n">
        <v>3.8</v>
      </c>
      <c r="Q16" s="26" t="n">
        <v>10.8</v>
      </c>
      <c r="R16" s="26" t="n">
        <v>15.9</v>
      </c>
      <c r="S16" s="26" t="n">
        <v>19.5</v>
      </c>
      <c r="T16" s="26" t="n">
        <v>19.1</v>
      </c>
      <c r="U16" s="26" t="n">
        <v>16.3</v>
      </c>
      <c r="V16" s="26" t="n">
        <v>10.8</v>
      </c>
      <c r="W16" s="26" t="n">
        <v>3.8</v>
      </c>
      <c r="X16" s="26" t="n">
        <v>0</v>
      </c>
      <c r="Y16" s="26" t="n">
        <v>0</v>
      </c>
      <c r="Z16" s="26" t="n">
        <v>0</v>
      </c>
      <c r="AA16" s="26" t="n">
        <v>0</v>
      </c>
      <c r="AB16" s="26" t="n">
        <v>0</v>
      </c>
      <c r="AC16" s="26" t="n">
        <v>0</v>
      </c>
      <c r="AD16" s="26" t="n">
        <v>0</v>
      </c>
      <c r="AE16" s="26" t="n">
        <v>0</v>
      </c>
      <c r="AF16" s="26" t="n">
        <v>0</v>
      </c>
      <c r="AG16" s="26" t="n">
        <v>0</v>
      </c>
      <c r="AH16" s="26" t="n">
        <v>0</v>
      </c>
      <c r="AI16" s="26" t="n">
        <v>0</v>
      </c>
      <c r="AJ16" s="26" t="n">
        <v>0</v>
      </c>
      <c r="AK16" s="26" t="n">
        <v>0</v>
      </c>
      <c r="AL16" s="26" t="n">
        <v>0</v>
      </c>
      <c r="AM16" s="26" t="n">
        <v>0</v>
      </c>
      <c r="AN16" s="26" t="n">
        <v>0</v>
      </c>
      <c r="AO16" s="26" t="n">
        <v>0</v>
      </c>
      <c r="AP16" s="26" t="n">
        <v>0</v>
      </c>
      <c r="AQ16" s="26" t="n">
        <v>0</v>
      </c>
      <c r="AR16" s="26" t="n">
        <v>0</v>
      </c>
      <c r="AS16" s="26" t="n">
        <v>0</v>
      </c>
      <c r="AT16" s="26" t="n">
        <v>0</v>
      </c>
      <c r="AU16" s="26" t="n">
        <v>0</v>
      </c>
      <c r="AV16" s="26" t="n">
        <v>0</v>
      </c>
      <c r="AW16" s="26" t="n">
        <v>0</v>
      </c>
      <c r="AX16" s="26" t="n">
        <v>0</v>
      </c>
      <c r="AY16" s="27" t="n">
        <v>0</v>
      </c>
    </row>
    <row r="17" s="3154" customFormat="1" ht="13.5" customHeight="1">
      <c r="A17" s="1910" t="e">
        <f t="array" ref="A17">'S&amp;U-Timeline'!T19</f>
      </c>
      <c r="B17" s="179" t="e">
        <f t="array" ref="B17">'S&amp;U-Timeline'!P19</f>
      </c>
      <c r="C17" s="3906" t="e">
        <f t="array" ref="C17">'S&amp;U-Timeline'!R19</f>
      </c>
      <c r="D17" s="1912" t="n"/>
      <c r="E17" s="1912" t="n"/>
      <c r="F17" s="1912" t="n"/>
      <c r="G17" s="1912" t="n"/>
      <c r="H17" s="1912" t="n"/>
      <c r="I17" s="1912" t="n">
        <v>0.079</v>
      </c>
      <c r="J17" s="1912" t="n">
        <v>0.3</v>
      </c>
      <c r="K17" s="1912" t="n">
        <v>0.079</v>
      </c>
      <c r="L17" s="1913" t="n"/>
      <c r="M17" s="38" t="str">
        <f t="array" ref="M17">IF(SUM(D17:L17)=0,"HIDE","")</f>
      </c>
      <c r="N17" s="26" t="n"/>
      <c r="O17" s="26" t="n">
        <v>9</v>
      </c>
      <c r="P17" s="26" t="n">
        <v>3</v>
      </c>
      <c r="Q17" s="26" t="n">
        <v>8.699999999999999</v>
      </c>
      <c r="R17" s="26" t="n">
        <v>13.3</v>
      </c>
      <c r="S17" s="26" t="n">
        <v>16.3</v>
      </c>
      <c r="T17" s="26" t="n">
        <v>17.4</v>
      </c>
      <c r="U17" s="26" t="n">
        <v>16.3</v>
      </c>
      <c r="V17" s="26" t="n">
        <v>13.3</v>
      </c>
      <c r="W17" s="26" t="n">
        <v>8.699999999999999</v>
      </c>
      <c r="X17" s="26" t="n">
        <v>3</v>
      </c>
      <c r="Y17" s="26" t="n">
        <v>0</v>
      </c>
      <c r="Z17" s="26" t="n">
        <v>0</v>
      </c>
      <c r="AA17" s="26" t="n">
        <v>0</v>
      </c>
      <c r="AB17" s="26" t="n">
        <v>0</v>
      </c>
      <c r="AC17" s="26" t="n">
        <v>0</v>
      </c>
      <c r="AD17" s="26" t="n">
        <v>0</v>
      </c>
      <c r="AE17" s="26" t="n">
        <v>0</v>
      </c>
      <c r="AF17" s="26" t="n">
        <v>0</v>
      </c>
      <c r="AG17" s="26" t="n">
        <v>0</v>
      </c>
      <c r="AH17" s="26" t="n">
        <v>0</v>
      </c>
      <c r="AI17" s="26" t="n">
        <v>0</v>
      </c>
      <c r="AJ17" s="26" t="n">
        <v>0</v>
      </c>
      <c r="AK17" s="26" t="n">
        <v>0</v>
      </c>
      <c r="AL17" s="26" t="n">
        <v>0</v>
      </c>
      <c r="AM17" s="26" t="n">
        <v>0</v>
      </c>
      <c r="AN17" s="26" t="n">
        <v>0</v>
      </c>
      <c r="AO17" s="26" t="n">
        <v>0</v>
      </c>
      <c r="AP17" s="26" t="n">
        <v>0</v>
      </c>
      <c r="AQ17" s="26" t="n">
        <v>0</v>
      </c>
      <c r="AR17" s="26" t="n">
        <v>0</v>
      </c>
      <c r="AS17" s="26" t="n">
        <v>0</v>
      </c>
      <c r="AT17" s="26" t="n">
        <v>0</v>
      </c>
      <c r="AU17" s="26" t="n">
        <v>0</v>
      </c>
      <c r="AV17" s="26" t="n">
        <v>0</v>
      </c>
      <c r="AW17" s="26" t="n">
        <v>0</v>
      </c>
      <c r="AX17" s="26" t="n">
        <v>0</v>
      </c>
      <c r="AY17" s="27" t="n">
        <v>0</v>
      </c>
    </row>
    <row r="18" s="3154" customFormat="1" ht="13.5" customHeight="1">
      <c r="A18" s="1910" t="e">
        <f t="array" ref="A18">'S&amp;U-Timeline'!T20</f>
      </c>
      <c r="B18" s="179" t="e">
        <f t="array" ref="B18">'S&amp;U-Timeline'!P20</f>
      </c>
      <c r="C18" s="3906" t="e">
        <f t="array" ref="C18">'S&amp;U-Timeline'!R20</f>
      </c>
      <c r="D18" s="1912" t="n"/>
      <c r="E18" s="1912" t="n"/>
      <c r="F18" s="1912" t="n"/>
      <c r="G18" s="1912" t="n"/>
      <c r="H18" s="1912" t="n"/>
      <c r="I18" s="1912" t="n">
        <v>0.082</v>
      </c>
      <c r="J18" s="1912" t="n"/>
      <c r="K18" s="1912" t="n">
        <v>0.082</v>
      </c>
      <c r="L18" s="1913" t="n"/>
      <c r="M18" s="38" t="str">
        <f t="array" ref="M18">IF(SUM(D18:L18)=0,"HIDE","")</f>
      </c>
      <c r="N18" s="26" t="n"/>
      <c r="O18" s="26" t="n">
        <v>10</v>
      </c>
      <c r="P18" s="26" t="n">
        <v>2.4</v>
      </c>
      <c r="Q18" s="26" t="n">
        <v>7.2</v>
      </c>
      <c r="R18" s="26" t="n">
        <v>11</v>
      </c>
      <c r="S18" s="26" t="n">
        <v>13.9</v>
      </c>
      <c r="T18" s="26" t="n">
        <v>15.5</v>
      </c>
      <c r="U18" s="26" t="n">
        <v>15.5</v>
      </c>
      <c r="V18" s="26" t="n">
        <v>13.9</v>
      </c>
      <c r="W18" s="26" t="n">
        <v>11</v>
      </c>
      <c r="X18" s="26" t="n">
        <v>7.2</v>
      </c>
      <c r="Y18" s="26" t="n">
        <v>2.4</v>
      </c>
      <c r="Z18" s="26" t="n">
        <v>0</v>
      </c>
      <c r="AA18" s="26" t="n">
        <v>0</v>
      </c>
      <c r="AB18" s="26" t="n">
        <v>0</v>
      </c>
      <c r="AC18" s="26" t="n">
        <v>0</v>
      </c>
      <c r="AD18" s="26" t="n">
        <v>0</v>
      </c>
      <c r="AE18" s="26" t="n">
        <v>0</v>
      </c>
      <c r="AF18" s="26" t="n">
        <v>0</v>
      </c>
      <c r="AG18" s="26" t="n">
        <v>0</v>
      </c>
      <c r="AH18" s="26" t="n">
        <v>0</v>
      </c>
      <c r="AI18" s="26" t="n">
        <v>0</v>
      </c>
      <c r="AJ18" s="26" t="n">
        <v>0</v>
      </c>
      <c r="AK18" s="26" t="n">
        <v>0</v>
      </c>
      <c r="AL18" s="26" t="n">
        <v>0</v>
      </c>
      <c r="AM18" s="26" t="n">
        <v>0</v>
      </c>
      <c r="AN18" s="26" t="n">
        <v>0</v>
      </c>
      <c r="AO18" s="26" t="n">
        <v>0</v>
      </c>
      <c r="AP18" s="26" t="n">
        <v>0</v>
      </c>
      <c r="AQ18" s="26" t="n">
        <v>0</v>
      </c>
      <c r="AR18" s="26" t="n">
        <v>0</v>
      </c>
      <c r="AS18" s="26" t="n">
        <v>0</v>
      </c>
      <c r="AT18" s="26" t="n">
        <v>0</v>
      </c>
      <c r="AU18" s="26" t="n">
        <v>0</v>
      </c>
      <c r="AV18" s="26" t="n">
        <v>0</v>
      </c>
      <c r="AW18" s="26" t="n">
        <v>0</v>
      </c>
      <c r="AX18" s="26" t="n">
        <v>0</v>
      </c>
      <c r="AY18" s="27" t="n">
        <v>0</v>
      </c>
    </row>
    <row r="19" s="3154" customFormat="1" ht="13.5" customHeight="1">
      <c r="A19" s="1910" t="e">
        <f t="array" ref="A19">'S&amp;U-Timeline'!T21</f>
      </c>
      <c r="B19" s="179" t="e">
        <f t="array" ref="B19">'S&amp;U-Timeline'!P21</f>
      </c>
      <c r="C19" s="3906" t="e">
        <f t="array" ref="C19">'S&amp;U-Timeline'!R21</f>
      </c>
      <c r="D19" s="1912" t="n"/>
      <c r="E19" s="1912" t="n"/>
      <c r="F19" s="1912" t="n"/>
      <c r="G19" s="1912" t="n"/>
      <c r="H19" s="1912" t="n"/>
      <c r="I19" s="1912" t="n">
        <v>0.08799999999999999</v>
      </c>
      <c r="J19" s="1912" t="n"/>
      <c r="K19" s="1912" t="n">
        <v>0.08799999999999999</v>
      </c>
      <c r="L19" s="1913" t="n"/>
      <c r="M19" s="38" t="str">
        <f t="array" ref="M19">IF(SUM(D19:L19)=0,"HIDE","")</f>
      </c>
      <c r="N19" s="26" t="n"/>
      <c r="O19" s="26" t="n">
        <v>11</v>
      </c>
      <c r="P19" s="26" t="n">
        <v>2</v>
      </c>
      <c r="Q19" s="26" t="n">
        <v>5.9</v>
      </c>
      <c r="R19" s="26" t="n">
        <v>9.4</v>
      </c>
      <c r="S19" s="26" t="n">
        <v>11.9</v>
      </c>
      <c r="T19" s="26" t="n">
        <v>13.7</v>
      </c>
      <c r="U19" s="26" t="n">
        <v>14.2</v>
      </c>
      <c r="V19" s="26" t="n">
        <v>13.5</v>
      </c>
      <c r="W19" s="26" t="n">
        <v>12.2</v>
      </c>
      <c r="X19" s="26" t="n">
        <v>9.300000000000001</v>
      </c>
      <c r="Y19" s="26" t="n">
        <v>5.8</v>
      </c>
      <c r="Z19" s="26" t="n">
        <v>2.1</v>
      </c>
      <c r="AA19" s="26" t="n">
        <v>0</v>
      </c>
      <c r="AB19" s="26" t="n">
        <v>0</v>
      </c>
      <c r="AC19" s="26" t="n">
        <v>0</v>
      </c>
      <c r="AD19" s="26" t="n">
        <v>0</v>
      </c>
      <c r="AE19" s="26" t="n">
        <v>0</v>
      </c>
      <c r="AF19" s="26" t="n">
        <v>0</v>
      </c>
      <c r="AG19" s="26" t="n">
        <v>0</v>
      </c>
      <c r="AH19" s="26" t="n">
        <v>0</v>
      </c>
      <c r="AI19" s="26" t="n">
        <v>0</v>
      </c>
      <c r="AJ19" s="26" t="n">
        <v>0</v>
      </c>
      <c r="AK19" s="26" t="n">
        <v>0</v>
      </c>
      <c r="AL19" s="26" t="n">
        <v>0</v>
      </c>
      <c r="AM19" s="26" t="n">
        <v>0</v>
      </c>
      <c r="AN19" s="26" t="n">
        <v>0</v>
      </c>
      <c r="AO19" s="26" t="n">
        <v>0</v>
      </c>
      <c r="AP19" s="26" t="n">
        <v>0</v>
      </c>
      <c r="AQ19" s="26" t="n">
        <v>0</v>
      </c>
      <c r="AR19" s="26" t="n">
        <v>0</v>
      </c>
      <c r="AS19" s="26" t="n">
        <v>0</v>
      </c>
      <c r="AT19" s="26" t="n">
        <v>0</v>
      </c>
      <c r="AU19" s="26" t="n">
        <v>0</v>
      </c>
      <c r="AV19" s="26" t="n">
        <v>0</v>
      </c>
      <c r="AW19" s="26" t="n">
        <v>0</v>
      </c>
      <c r="AX19" s="26" t="n">
        <v>0</v>
      </c>
      <c r="AY19" s="27" t="n">
        <v>0</v>
      </c>
    </row>
    <row r="20" s="3154" customFormat="1" ht="13.5" customHeight="1">
      <c r="A20" s="1910" t="e">
        <f t="array" ref="A20">'S&amp;U-Timeline'!T22</f>
      </c>
      <c r="B20" s="179" t="e">
        <f t="array" ref="B20">'S&amp;U-Timeline'!P22</f>
      </c>
      <c r="C20" s="3906" t="e">
        <f t="array" ref="C20">'S&amp;U-Timeline'!R22</f>
      </c>
      <c r="D20" s="1912" t="n"/>
      <c r="E20" s="1912" t="n"/>
      <c r="F20" s="1912" t="n"/>
      <c r="G20" s="1912" t="n"/>
      <c r="H20" s="1912" t="n"/>
      <c r="I20" s="1912" t="n">
        <v>0.081</v>
      </c>
      <c r="J20" s="1912" t="n"/>
      <c r="K20" s="1912" t="n">
        <v>0.081</v>
      </c>
      <c r="L20" s="1913" t="n"/>
      <c r="M20" s="38" t="str">
        <f t="array" ref="M20">IF(SUM(D20:L20)=0,"HIDE","")</f>
      </c>
      <c r="N20" s="26" t="n"/>
      <c r="O20" s="26" t="n">
        <v>12</v>
      </c>
      <c r="P20" s="26" t="n">
        <v>1.7</v>
      </c>
      <c r="Q20" s="26" t="n">
        <v>5</v>
      </c>
      <c r="R20" s="26" t="n">
        <v>7.9</v>
      </c>
      <c r="S20" s="26" t="n">
        <v>8.9</v>
      </c>
      <c r="T20" s="26" t="n">
        <v>13.6</v>
      </c>
      <c r="U20" s="26" t="n">
        <v>12.9</v>
      </c>
      <c r="V20" s="26" t="n">
        <v>12.9</v>
      </c>
      <c r="W20" s="26" t="n">
        <v>12.1</v>
      </c>
      <c r="X20" s="26" t="n">
        <v>10.7</v>
      </c>
      <c r="Y20" s="26" t="n">
        <v>7.6</v>
      </c>
      <c r="Z20" s="26" t="n">
        <v>5</v>
      </c>
      <c r="AA20" s="26" t="n">
        <v>1.7</v>
      </c>
      <c r="AB20" s="26" t="n">
        <v>0</v>
      </c>
      <c r="AC20" s="26" t="n">
        <v>0</v>
      </c>
      <c r="AD20" s="26" t="n">
        <v>0</v>
      </c>
      <c r="AE20" s="26" t="n">
        <v>0</v>
      </c>
      <c r="AF20" s="26" t="n">
        <v>0</v>
      </c>
      <c r="AG20" s="26" t="n">
        <v>0</v>
      </c>
      <c r="AH20" s="26" t="n">
        <v>0</v>
      </c>
      <c r="AI20" s="26" t="n">
        <v>0</v>
      </c>
      <c r="AJ20" s="26" t="n">
        <v>0</v>
      </c>
      <c r="AK20" s="26" t="n">
        <v>0</v>
      </c>
      <c r="AL20" s="26" t="n">
        <v>0</v>
      </c>
      <c r="AM20" s="26" t="n">
        <v>0</v>
      </c>
      <c r="AN20" s="26" t="n">
        <v>0</v>
      </c>
      <c r="AO20" s="26" t="n">
        <v>0</v>
      </c>
      <c r="AP20" s="26" t="n">
        <v>0</v>
      </c>
      <c r="AQ20" s="26" t="n">
        <v>0</v>
      </c>
      <c r="AR20" s="26" t="n">
        <v>0</v>
      </c>
      <c r="AS20" s="26" t="n">
        <v>0</v>
      </c>
      <c r="AT20" s="26" t="n">
        <v>0</v>
      </c>
      <c r="AU20" s="26" t="n">
        <v>0</v>
      </c>
      <c r="AV20" s="26" t="n">
        <v>0</v>
      </c>
      <c r="AW20" s="26" t="n">
        <v>0</v>
      </c>
      <c r="AX20" s="26" t="n">
        <v>0</v>
      </c>
      <c r="AY20" s="27" t="n">
        <v>0</v>
      </c>
    </row>
    <row r="21" s="3154" customFormat="1" ht="13.5" customHeight="1">
      <c r="A21" s="1910" t="e">
        <f t="array" ref="A21">'S&amp;U-Timeline'!T23</f>
      </c>
      <c r="B21" s="179" t="e">
        <f t="array" ref="B21">'S&amp;U-Timeline'!P23</f>
      </c>
      <c r="C21" s="3906" t="e">
        <f t="array" ref="C21">'S&amp;U-Timeline'!R23</f>
      </c>
      <c r="D21" s="1912" t="n"/>
      <c r="E21" s="1912" t="n"/>
      <c r="F21" s="1912" t="n"/>
      <c r="G21" s="1912" t="n">
        <v>0.05</v>
      </c>
      <c r="H21" s="1912" t="n">
        <v>0.02</v>
      </c>
      <c r="I21" s="1912" t="n">
        <v>0.076</v>
      </c>
      <c r="J21" s="1912" t="n"/>
      <c r="K21" s="1912" t="n">
        <v>0.076</v>
      </c>
      <c r="L21" s="1913" t="n"/>
      <c r="M21" s="38" t="str">
        <f t="array" ref="M21">IF(SUM(D21:L21)=0,"HIDE","")</f>
      </c>
      <c r="N21" s="26" t="n"/>
      <c r="O21" s="26" t="n">
        <v>13</v>
      </c>
      <c r="P21" s="26" t="n">
        <v>1.4</v>
      </c>
      <c r="Q21" s="26" t="n">
        <v>4.3</v>
      </c>
      <c r="R21" s="26" t="n">
        <v>6.9</v>
      </c>
      <c r="S21" s="26" t="n">
        <v>9</v>
      </c>
      <c r="T21" s="26" t="n">
        <v>10.6</v>
      </c>
      <c r="U21" s="26" t="n">
        <v>11.7</v>
      </c>
      <c r="V21" s="26" t="n">
        <v>12</v>
      </c>
      <c r="W21" s="26" t="n">
        <v>11.7</v>
      </c>
      <c r="X21" s="26" t="n">
        <v>10.7</v>
      </c>
      <c r="Y21" s="26" t="n">
        <v>9.1</v>
      </c>
      <c r="Z21" s="26" t="n">
        <v>3.8</v>
      </c>
      <c r="AA21" s="26" t="n">
        <v>7.3</v>
      </c>
      <c r="AB21" s="26" t="n">
        <v>1.5</v>
      </c>
      <c r="AC21" s="26" t="n">
        <v>0</v>
      </c>
      <c r="AD21" s="26" t="n">
        <v>0</v>
      </c>
      <c r="AE21" s="26" t="n">
        <v>0</v>
      </c>
      <c r="AF21" s="26" t="n">
        <v>0</v>
      </c>
      <c r="AG21" s="26" t="n">
        <v>0</v>
      </c>
      <c r="AH21" s="26" t="n">
        <v>0</v>
      </c>
      <c r="AI21" s="26" t="n">
        <v>0</v>
      </c>
      <c r="AJ21" s="26" t="n">
        <v>0</v>
      </c>
      <c r="AK21" s="26" t="n">
        <v>0</v>
      </c>
      <c r="AL21" s="26" t="n">
        <v>0</v>
      </c>
      <c r="AM21" s="26" t="n">
        <v>0</v>
      </c>
      <c r="AN21" s="26" t="n">
        <v>0</v>
      </c>
      <c r="AO21" s="26" t="n">
        <v>0</v>
      </c>
      <c r="AP21" s="26" t="n">
        <v>0</v>
      </c>
      <c r="AQ21" s="26" t="n">
        <v>0</v>
      </c>
      <c r="AR21" s="26" t="n">
        <v>0</v>
      </c>
      <c r="AS21" s="26" t="n">
        <v>0</v>
      </c>
      <c r="AT21" s="26" t="n">
        <v>0</v>
      </c>
      <c r="AU21" s="26" t="n">
        <v>0</v>
      </c>
      <c r="AV21" s="26" t="n">
        <v>0</v>
      </c>
      <c r="AW21" s="26" t="n">
        <v>0</v>
      </c>
      <c r="AX21" s="26" t="n">
        <v>0</v>
      </c>
      <c r="AY21" s="27" t="n">
        <v>0</v>
      </c>
    </row>
    <row r="22" s="3154" customFormat="1" ht="13.5" customHeight="1">
      <c r="A22" s="1910" t="e">
        <f t="array" ref="A22">'S&amp;U-Timeline'!T24</f>
      </c>
      <c r="B22" s="179" t="e">
        <f t="array" ref="B22">'S&amp;U-Timeline'!P24</f>
      </c>
      <c r="C22" s="3906" t="e">
        <f t="array" ref="C22">'S&amp;U-Timeline'!R24</f>
      </c>
      <c r="D22" s="1912" t="n"/>
      <c r="E22" s="1912" t="n"/>
      <c r="F22" s="1912" t="n"/>
      <c r="G22" s="1912" t="n">
        <v>0.05</v>
      </c>
      <c r="H22" s="1912" t="n">
        <v>0.03</v>
      </c>
      <c r="I22" s="1912" t="n">
        <v>0.07099999999999999</v>
      </c>
      <c r="J22" s="1912" t="n"/>
      <c r="K22" s="1912" t="n">
        <v>0.07099999999999999</v>
      </c>
      <c r="L22" s="1913" t="n"/>
      <c r="M22" s="38" t="str">
        <f t="array" ref="M22">IF(SUM(D22:L22)=0,"HIDE","")</f>
      </c>
      <c r="N22" s="26" t="n"/>
      <c r="O22" s="26" t="n">
        <v>14</v>
      </c>
      <c r="P22" s="26" t="n">
        <v>1.2</v>
      </c>
      <c r="Q22" s="26" t="n">
        <v>3.8</v>
      </c>
      <c r="R22" s="26" t="n">
        <v>5.7</v>
      </c>
      <c r="S22" s="26" t="n">
        <v>8.199999999999999</v>
      </c>
      <c r="T22" s="26" t="n">
        <v>9.4</v>
      </c>
      <c r="U22" s="26" t="n">
        <v>10.6</v>
      </c>
      <c r="V22" s="26" t="n">
        <v>11.1</v>
      </c>
      <c r="W22" s="26" t="n">
        <v>11.2</v>
      </c>
      <c r="X22" s="26" t="n">
        <v>10.6</v>
      </c>
      <c r="Y22" s="26" t="n">
        <v>9.4</v>
      </c>
      <c r="Z22" s="26" t="n">
        <v>7.9</v>
      </c>
      <c r="AA22" s="26" t="n">
        <v>6</v>
      </c>
      <c r="AB22" s="26" t="n">
        <v>3.7</v>
      </c>
      <c r="AC22" s="26" t="n">
        <v>1.2</v>
      </c>
      <c r="AD22" s="26" t="n">
        <v>0</v>
      </c>
      <c r="AE22" s="26" t="n">
        <v>0</v>
      </c>
      <c r="AF22" s="26" t="n">
        <v>0</v>
      </c>
      <c r="AG22" s="26" t="n">
        <v>0</v>
      </c>
      <c r="AH22" s="26" t="n">
        <v>0</v>
      </c>
      <c r="AI22" s="26" t="n">
        <v>0</v>
      </c>
      <c r="AJ22" s="26" t="n">
        <v>0</v>
      </c>
      <c r="AK22" s="26" t="n">
        <v>0</v>
      </c>
      <c r="AL22" s="26" t="n">
        <v>0</v>
      </c>
      <c r="AM22" s="26" t="n">
        <v>0</v>
      </c>
      <c r="AN22" s="26" t="n">
        <v>0</v>
      </c>
      <c r="AO22" s="26" t="n">
        <v>0</v>
      </c>
      <c r="AP22" s="26" t="n">
        <v>0</v>
      </c>
      <c r="AQ22" s="26" t="n">
        <v>0</v>
      </c>
      <c r="AR22" s="26" t="n">
        <v>0</v>
      </c>
      <c r="AS22" s="26" t="n">
        <v>0</v>
      </c>
      <c r="AT22" s="26" t="n">
        <v>0</v>
      </c>
      <c r="AU22" s="26" t="n">
        <v>0</v>
      </c>
      <c r="AV22" s="26" t="n">
        <v>0</v>
      </c>
      <c r="AW22" s="26" t="n">
        <v>0</v>
      </c>
      <c r="AX22" s="26" t="n">
        <v>0</v>
      </c>
      <c r="AY22" s="27" t="n">
        <v>0</v>
      </c>
    </row>
    <row r="23" s="3154" customFormat="1" ht="13.5" customHeight="1">
      <c r="A23" s="1910" t="e">
        <f t="array" ref="A23">'S&amp;U-Timeline'!T25</f>
      </c>
      <c r="B23" s="179" t="e">
        <f t="array" ref="B23">'S&amp;U-Timeline'!P25</f>
      </c>
      <c r="C23" s="3906" t="e">
        <f t="array" ref="C23">'S&amp;U-Timeline'!R25</f>
      </c>
      <c r="D23" s="1912" t="n"/>
      <c r="E23" s="1912" t="n"/>
      <c r="F23" s="1912" t="n"/>
      <c r="G23" s="1912" t="n">
        <v>0.1</v>
      </c>
      <c r="H23" s="1912" t="n">
        <v>0.05</v>
      </c>
      <c r="I23" s="1912" t="n">
        <v>0.063</v>
      </c>
      <c r="J23" s="1912" t="n">
        <v>0.1</v>
      </c>
      <c r="K23" s="1912" t="n">
        <v>0.063</v>
      </c>
      <c r="L23" s="1913" t="n"/>
      <c r="M23" s="38" t="str">
        <f t="array" ref="M23">IF(SUM(D23:L23)=0,"HIDE","")</f>
      </c>
      <c r="N23" s="26" t="n"/>
      <c r="O23" s="26" t="n">
        <v>15</v>
      </c>
      <c r="P23" s="26" t="n">
        <v>1.1</v>
      </c>
      <c r="Q23" s="26" t="n">
        <v>3.2</v>
      </c>
      <c r="R23" s="26" t="n">
        <v>5.3</v>
      </c>
      <c r="S23" s="26" t="n">
        <v>6.9</v>
      </c>
      <c r="T23" s="26" t="n">
        <v>8.5</v>
      </c>
      <c r="U23" s="26" t="n">
        <v>9.5</v>
      </c>
      <c r="V23" s="26" t="n">
        <v>10.3</v>
      </c>
      <c r="W23" s="26" t="n">
        <v>10.4</v>
      </c>
      <c r="X23" s="26" t="n">
        <v>10.3</v>
      </c>
      <c r="Y23" s="26" t="n">
        <v>9.5</v>
      </c>
      <c r="Z23" s="26" t="n">
        <v>8.5</v>
      </c>
      <c r="AA23" s="26" t="n">
        <v>7</v>
      </c>
      <c r="AB23" s="26" t="n">
        <v>5.2</v>
      </c>
      <c r="AC23" s="26" t="n">
        <v>3</v>
      </c>
      <c r="AD23" s="26" t="n">
        <v>1.3</v>
      </c>
      <c r="AE23" s="26" t="n">
        <v>0</v>
      </c>
      <c r="AF23" s="26" t="n">
        <v>0</v>
      </c>
      <c r="AG23" s="26" t="n">
        <v>0</v>
      </c>
      <c r="AH23" s="26" t="n">
        <v>0</v>
      </c>
      <c r="AI23" s="26" t="n">
        <v>0</v>
      </c>
      <c r="AJ23" s="26" t="n">
        <v>0</v>
      </c>
      <c r="AK23" s="26" t="n">
        <v>0</v>
      </c>
      <c r="AL23" s="26" t="n">
        <v>0</v>
      </c>
      <c r="AM23" s="26" t="n">
        <v>0</v>
      </c>
      <c r="AN23" s="26" t="n">
        <v>0</v>
      </c>
      <c r="AO23" s="26" t="n">
        <v>0</v>
      </c>
      <c r="AP23" s="26" t="n">
        <v>0</v>
      </c>
      <c r="AQ23" s="26" t="n">
        <v>0</v>
      </c>
      <c r="AR23" s="26" t="n">
        <v>0</v>
      </c>
      <c r="AS23" s="26" t="n">
        <v>0</v>
      </c>
      <c r="AT23" s="26" t="n">
        <v>0</v>
      </c>
      <c r="AU23" s="26" t="n">
        <v>0</v>
      </c>
      <c r="AV23" s="26" t="n">
        <v>0</v>
      </c>
      <c r="AW23" s="26" t="n">
        <v>0</v>
      </c>
      <c r="AX23" s="26" t="n">
        <v>0</v>
      </c>
      <c r="AY23" s="27" t="n">
        <v>0</v>
      </c>
    </row>
    <row r="24" s="3154" customFormat="1" ht="13.5" customHeight="1">
      <c r="A24" s="1910" t="e">
        <f t="array" ref="A24">'S&amp;U-Timeline'!T26</f>
      </c>
      <c r="B24" s="179" t="e">
        <f t="array" ref="B24">'S&amp;U-Timeline'!P26</f>
      </c>
      <c r="C24" s="3906" t="e">
        <f t="array" ref="C24">'S&amp;U-Timeline'!R26</f>
      </c>
      <c r="D24" s="1912" t="n">
        <v>0.02</v>
      </c>
      <c r="E24" s="1912" t="n"/>
      <c r="F24" s="1912" t="n"/>
      <c r="G24" s="1912" t="n">
        <v>0.1</v>
      </c>
      <c r="H24" s="1912" t="n">
        <v>0.06</v>
      </c>
      <c r="I24" s="1912" t="n">
        <v>0.056</v>
      </c>
      <c r="J24" s="1912" t="n">
        <v>0.1</v>
      </c>
      <c r="K24" s="1912" t="n">
        <v>0.056</v>
      </c>
      <c r="L24" s="1913" t="n"/>
      <c r="M24" s="38" t="str">
        <f t="array" ref="M24">IF(SUM(D24:L24)=0,"HIDE","")</f>
      </c>
      <c r="N24" s="26" t="n"/>
      <c r="O24" s="26" t="n">
        <v>16</v>
      </c>
      <c r="P24" s="26" t="n">
        <v>0.96</v>
      </c>
      <c r="Q24" s="26" t="n">
        <v>2.84</v>
      </c>
      <c r="R24" s="26" t="n">
        <v>4.7</v>
      </c>
      <c r="S24" s="26" t="n">
        <v>6.2</v>
      </c>
      <c r="T24" s="26" t="n">
        <v>7.6</v>
      </c>
      <c r="U24" s="26" t="n">
        <v>7.8</v>
      </c>
      <c r="V24" s="26" t="n">
        <v>10.2</v>
      </c>
      <c r="W24" s="26" t="n">
        <v>9.699999999999999</v>
      </c>
      <c r="X24" s="26" t="n">
        <v>9.699999999999999</v>
      </c>
      <c r="Y24" s="26" t="n">
        <v>9.5</v>
      </c>
      <c r="Z24" s="26" t="n">
        <v>8.6</v>
      </c>
      <c r="AA24" s="26" t="n">
        <v>7.6</v>
      </c>
      <c r="AB24" s="26" t="n">
        <v>6.2</v>
      </c>
      <c r="AC24" s="26" t="n">
        <v>3.2</v>
      </c>
      <c r="AD24" s="26" t="n">
        <v>4.3</v>
      </c>
      <c r="AE24" s="26" t="n">
        <v>0.9</v>
      </c>
      <c r="AF24" s="26" t="n">
        <v>0</v>
      </c>
      <c r="AG24" s="26" t="n">
        <v>0</v>
      </c>
      <c r="AH24" s="26" t="n">
        <v>0</v>
      </c>
      <c r="AI24" s="26" t="n">
        <v>0</v>
      </c>
      <c r="AJ24" s="26" t="n">
        <v>0</v>
      </c>
      <c r="AK24" s="26" t="n">
        <v>0</v>
      </c>
      <c r="AL24" s="26" t="n">
        <v>0</v>
      </c>
      <c r="AM24" s="26" t="n">
        <v>0</v>
      </c>
      <c r="AN24" s="26" t="n">
        <v>0</v>
      </c>
      <c r="AO24" s="26" t="n">
        <v>0</v>
      </c>
      <c r="AP24" s="26" t="n">
        <v>0</v>
      </c>
      <c r="AQ24" s="26" t="n">
        <v>0</v>
      </c>
      <c r="AR24" s="26" t="n">
        <v>0</v>
      </c>
      <c r="AS24" s="26" t="n">
        <v>0</v>
      </c>
      <c r="AT24" s="26" t="n">
        <v>0</v>
      </c>
      <c r="AU24" s="26" t="n">
        <v>0</v>
      </c>
      <c r="AV24" s="26" t="n">
        <v>0</v>
      </c>
      <c r="AW24" s="26" t="n">
        <v>0</v>
      </c>
      <c r="AX24" s="26" t="n">
        <v>0</v>
      </c>
      <c r="AY24" s="27" t="n">
        <v>0</v>
      </c>
    </row>
    <row r="25" s="3154" customFormat="1" ht="13.5" customHeight="1">
      <c r="A25" s="1910" t="e">
        <f t="array" ref="A25">'S&amp;U-Timeline'!T27</f>
      </c>
      <c r="B25" s="179" t="e">
        <f t="array" ref="B25">'S&amp;U-Timeline'!P27</f>
      </c>
      <c r="C25" s="3906" t="e">
        <f t="array" ref="C25">'S&amp;U-Timeline'!R27</f>
      </c>
      <c r="D25" s="1912" t="n"/>
      <c r="E25" s="1912" t="n"/>
      <c r="F25" s="1912" t="n"/>
      <c r="G25" s="1912" t="n">
        <v>0.15</v>
      </c>
      <c r="H25" s="1912" t="n">
        <v>0.07000000000000001</v>
      </c>
      <c r="I25" s="1912" t="n">
        <v>0.041</v>
      </c>
      <c r="J25" s="1912" t="n">
        <v>0.1</v>
      </c>
      <c r="K25" s="1912" t="n">
        <v>0.041</v>
      </c>
      <c r="L25" s="1913" t="n"/>
      <c r="M25" s="38" t="str">
        <f t="array" ref="M25">IF(SUM(D25:L25)=0,"HIDE","")</f>
      </c>
      <c r="N25" s="26" t="n"/>
      <c r="O25" s="26" t="n">
        <v>17</v>
      </c>
      <c r="P25" s="26" t="n">
        <v>0.85</v>
      </c>
      <c r="Q25" s="26" t="n">
        <v>2.55</v>
      </c>
      <c r="R25" s="26" t="n">
        <v>4.1</v>
      </c>
      <c r="S25" s="26" t="n">
        <v>5.6</v>
      </c>
      <c r="T25" s="26" t="n">
        <v>6.6</v>
      </c>
      <c r="U25" s="26" t="n">
        <v>8.1</v>
      </c>
      <c r="V25" s="26" t="n">
        <v>8.6</v>
      </c>
      <c r="W25" s="26" t="n">
        <v>9.1</v>
      </c>
      <c r="X25" s="26" t="n">
        <v>9.199999999999999</v>
      </c>
      <c r="Y25" s="26" t="n">
        <v>8.699999999999999</v>
      </c>
      <c r="Z25" s="26" t="n">
        <v>9</v>
      </c>
      <c r="AA25" s="26" t="n">
        <v>7.8</v>
      </c>
      <c r="AB25" s="26" t="n">
        <v>6.8</v>
      </c>
      <c r="AC25" s="26" t="n">
        <v>5.6</v>
      </c>
      <c r="AD25" s="26" t="n">
        <v>4.1</v>
      </c>
      <c r="AE25" s="26" t="n">
        <v>2.5</v>
      </c>
      <c r="AF25" s="26" t="n">
        <v>0.8</v>
      </c>
      <c r="AG25" s="26" t="n">
        <v>0</v>
      </c>
      <c r="AH25" s="26" t="n">
        <v>0</v>
      </c>
      <c r="AI25" s="26" t="n">
        <v>0</v>
      </c>
      <c r="AJ25" s="26" t="n">
        <v>0</v>
      </c>
      <c r="AK25" s="26" t="n">
        <v>0</v>
      </c>
      <c r="AL25" s="26" t="n">
        <v>0</v>
      </c>
      <c r="AM25" s="26" t="n">
        <v>0</v>
      </c>
      <c r="AN25" s="26" t="n">
        <v>0</v>
      </c>
      <c r="AO25" s="26" t="n">
        <v>0</v>
      </c>
      <c r="AP25" s="26" t="n">
        <v>0</v>
      </c>
      <c r="AQ25" s="26" t="n">
        <v>0</v>
      </c>
      <c r="AR25" s="26" t="n">
        <v>0</v>
      </c>
      <c r="AS25" s="26" t="n">
        <v>0</v>
      </c>
      <c r="AT25" s="26" t="n">
        <v>0</v>
      </c>
      <c r="AU25" s="26" t="n">
        <v>0</v>
      </c>
      <c r="AV25" s="26" t="n">
        <v>0</v>
      </c>
      <c r="AW25" s="26" t="n">
        <v>0</v>
      </c>
      <c r="AX25" s="26" t="n">
        <v>0</v>
      </c>
      <c r="AY25" s="27" t="n">
        <v>0</v>
      </c>
    </row>
    <row r="26" s="3154" customFormat="1" ht="13.5" customHeight="1">
      <c r="A26" s="1910" t="e">
        <f t="array" ref="A26">'S&amp;U-Timeline'!T28</f>
      </c>
      <c r="B26" s="179" t="e">
        <f t="array" ref="B26">'S&amp;U-Timeline'!P28</f>
      </c>
      <c r="C26" s="3906" t="e">
        <f t="array" ref="C26">'S&amp;U-Timeline'!R28</f>
      </c>
      <c r="D26" s="1912" t="n"/>
      <c r="E26" s="1912" t="n">
        <f t="array" ref="E26">0.9*0.25</f>
        <v>0.225</v>
      </c>
      <c r="F26" s="1912" t="n"/>
      <c r="G26" s="1912" t="n">
        <v>0.15</v>
      </c>
      <c r="H26" s="1912" t="n">
        <v>0.09</v>
      </c>
      <c r="I26" s="1912" t="n">
        <v>0.029</v>
      </c>
      <c r="J26" s="1912" t="n">
        <v>0.2</v>
      </c>
      <c r="K26" s="1912" t="n">
        <v>0.029</v>
      </c>
      <c r="L26" s="1913" t="n"/>
      <c r="M26" s="38" t="str">
        <f t="array" ref="M26">IF(SUM(D26:L26)=0,"HIDE","")</f>
      </c>
      <c r="N26" s="26" t="n"/>
      <c r="O26" s="26" t="n">
        <v>18</v>
      </c>
      <c r="P26" s="26" t="n">
        <v>0.76</v>
      </c>
      <c r="Q26" s="26" t="n">
        <v>2.24</v>
      </c>
      <c r="R26" s="26" t="n">
        <v>3.7</v>
      </c>
      <c r="S26" s="26" t="n">
        <v>5</v>
      </c>
      <c r="T26" s="26" t="n">
        <v>6.2</v>
      </c>
      <c r="U26" s="26" t="n">
        <v>7.1</v>
      </c>
      <c r="V26" s="26" t="n">
        <v>7.9</v>
      </c>
      <c r="W26" s="26" t="n">
        <v>8.4</v>
      </c>
      <c r="X26" s="26" t="n">
        <v>8.699999999999999</v>
      </c>
      <c r="Y26" s="26" t="n">
        <v>8.699999999999999</v>
      </c>
      <c r="Z26" s="26" t="n">
        <v>8.4</v>
      </c>
      <c r="AA26" s="26" t="n">
        <v>7.9</v>
      </c>
      <c r="AB26" s="26" t="n">
        <v>7.1</v>
      </c>
      <c r="AC26" s="26" t="n">
        <v>6.2</v>
      </c>
      <c r="AD26" s="26" t="n">
        <v>5</v>
      </c>
      <c r="AE26" s="26" t="n">
        <v>3.7</v>
      </c>
      <c r="AF26" s="26" t="n">
        <v>2.2</v>
      </c>
      <c r="AG26" s="26" t="n">
        <v>0.8</v>
      </c>
      <c r="AH26" s="26" t="n">
        <v>0</v>
      </c>
      <c r="AI26" s="26" t="n">
        <v>0</v>
      </c>
      <c r="AJ26" s="26" t="n">
        <v>0</v>
      </c>
      <c r="AK26" s="26" t="n">
        <v>0</v>
      </c>
      <c r="AL26" s="26" t="n">
        <v>0</v>
      </c>
      <c r="AM26" s="26" t="n">
        <v>0</v>
      </c>
      <c r="AN26" s="26" t="n">
        <v>0</v>
      </c>
      <c r="AO26" s="26" t="n">
        <v>0</v>
      </c>
      <c r="AP26" s="26" t="n">
        <v>0</v>
      </c>
      <c r="AQ26" s="26" t="n">
        <v>0</v>
      </c>
      <c r="AR26" s="26" t="n">
        <v>0</v>
      </c>
      <c r="AS26" s="26" t="n">
        <v>0</v>
      </c>
      <c r="AT26" s="26" t="n">
        <v>0</v>
      </c>
      <c r="AU26" s="26" t="n">
        <v>0</v>
      </c>
      <c r="AV26" s="26" t="n">
        <v>0</v>
      </c>
      <c r="AW26" s="26" t="n">
        <v>0</v>
      </c>
      <c r="AX26" s="26" t="n">
        <v>0</v>
      </c>
      <c r="AY26" s="27" t="n">
        <v>0</v>
      </c>
    </row>
    <row r="27" s="3154" customFormat="1" ht="13.5" customHeight="1">
      <c r="A27" s="1910" t="e">
        <f t="array" ref="A27">'S&amp;U-Timeline'!T29</f>
      </c>
      <c r="B27" s="179" t="e">
        <f t="array" ref="B27">'S&amp;U-Timeline'!P29</f>
      </c>
      <c r="C27" s="3906" t="e">
        <f t="array" ref="C27">'S&amp;U-Timeline'!R29</f>
      </c>
      <c r="D27" s="1912" t="n"/>
      <c r="E27" s="1912" t="n"/>
      <c r="F27" s="1912" t="n"/>
      <c r="G27" s="1912" t="n">
        <v>0.2</v>
      </c>
      <c r="H27" s="1912" t="n">
        <v>0.12</v>
      </c>
      <c r="I27" s="1912" t="n">
        <v>0.016</v>
      </c>
      <c r="J27" s="1912" t="n">
        <v>0.2</v>
      </c>
      <c r="K27" s="1912" t="n">
        <v>0.016</v>
      </c>
      <c r="L27" s="1913" t="n"/>
      <c r="M27" s="38" t="str">
        <f t="array" ref="M27">IF(SUM(D27:L27)=0,"HIDE","")</f>
      </c>
      <c r="N27" s="26" t="n"/>
      <c r="O27" s="26" t="n">
        <v>19</v>
      </c>
      <c r="P27" s="26" t="n">
        <v>0.68</v>
      </c>
      <c r="Q27" s="26" t="n">
        <v>2.02</v>
      </c>
      <c r="R27" s="26" t="n">
        <v>3.3</v>
      </c>
      <c r="S27" s="26" t="n">
        <v>4.4</v>
      </c>
      <c r="T27" s="26" t="n">
        <v>5.7</v>
      </c>
      <c r="U27" s="26" t="n">
        <v>8</v>
      </c>
      <c r="V27" s="26" t="n">
        <v>7.4</v>
      </c>
      <c r="W27" s="26" t="n">
        <v>7.9</v>
      </c>
      <c r="X27" s="26" t="n">
        <v>8.199999999999999</v>
      </c>
      <c r="Y27" s="26" t="n">
        <v>8.800000000000001</v>
      </c>
      <c r="Z27" s="26" t="n">
        <v>8.1</v>
      </c>
      <c r="AA27" s="26" t="n">
        <v>7.6</v>
      </c>
      <c r="AB27" s="26" t="n">
        <v>7.1</v>
      </c>
      <c r="AC27" s="26" t="n">
        <v>6.3</v>
      </c>
      <c r="AD27" s="26" t="n">
        <v>5.6</v>
      </c>
      <c r="AE27" s="26" t="n">
        <v>4.1</v>
      </c>
      <c r="AF27" s="26" t="n">
        <v>2.9</v>
      </c>
      <c r="AG27" s="26" t="n">
        <v>1.6</v>
      </c>
      <c r="AH27" s="26" t="n">
        <v>0.3</v>
      </c>
      <c r="AI27" s="26" t="n">
        <v>0</v>
      </c>
      <c r="AJ27" s="26" t="n">
        <v>0</v>
      </c>
      <c r="AK27" s="26" t="n">
        <v>0</v>
      </c>
      <c r="AL27" s="26" t="n">
        <v>0</v>
      </c>
      <c r="AM27" s="26" t="n">
        <v>0</v>
      </c>
      <c r="AN27" s="26" t="n">
        <v>0</v>
      </c>
      <c r="AO27" s="26" t="n">
        <v>0</v>
      </c>
      <c r="AP27" s="26" t="n">
        <v>0</v>
      </c>
      <c r="AQ27" s="26" t="n">
        <v>0</v>
      </c>
      <c r="AR27" s="26" t="n">
        <v>0</v>
      </c>
      <c r="AS27" s="26" t="n">
        <v>0</v>
      </c>
      <c r="AT27" s="26" t="n">
        <v>0</v>
      </c>
      <c r="AU27" s="26" t="n">
        <v>0</v>
      </c>
      <c r="AV27" s="26" t="n">
        <v>0</v>
      </c>
      <c r="AW27" s="26" t="n">
        <v>0</v>
      </c>
      <c r="AX27" s="26" t="n">
        <v>0</v>
      </c>
      <c r="AY27" s="27" t="n">
        <v>0</v>
      </c>
    </row>
    <row r="28" s="3154" customFormat="1" ht="13.5" customHeight="1">
      <c r="A28" s="1910" t="e">
        <f t="array" ref="A28">'S&amp;U-Timeline'!T30</f>
      </c>
      <c r="B28" s="179" t="e">
        <f t="array" ref="B28">'S&amp;U-Timeline'!P30</f>
      </c>
      <c r="C28" s="3906" t="e">
        <f t="array" ref="C28">'S&amp;U-Timeline'!R30</f>
      </c>
      <c r="D28" s="1912" t="n"/>
      <c r="E28" s="1912" t="n"/>
      <c r="F28" s="1912" t="n"/>
      <c r="G28" s="1912" t="n">
        <v>0.2</v>
      </c>
      <c r="H28" s="1912" t="n">
        <v>0.14</v>
      </c>
      <c r="I28" s="1912" t="n">
        <v>0.003</v>
      </c>
      <c r="J28" s="1912" t="n"/>
      <c r="K28" s="1912" t="n">
        <v>0.003</v>
      </c>
      <c r="L28" s="1913" t="n"/>
      <c r="M28" s="38" t="str">
        <f t="array" ref="M28">IF(SUM(D28:L28)=0,"HIDE","")</f>
      </c>
      <c r="N28" s="26" t="n"/>
      <c r="O28" s="26" t="n">
        <v>20</v>
      </c>
      <c r="P28" s="26" t="n">
        <v>0.62</v>
      </c>
      <c r="Q28" s="26" t="n">
        <v>1.88</v>
      </c>
      <c r="R28" s="26" t="n">
        <v>3</v>
      </c>
      <c r="S28" s="26" t="n">
        <v>4.1</v>
      </c>
      <c r="T28" s="26" t="n">
        <v>5</v>
      </c>
      <c r="U28" s="26" t="n">
        <v>6</v>
      </c>
      <c r="V28" s="26" t="n">
        <v>6.7</v>
      </c>
      <c r="W28" s="26" t="n">
        <v>7.2</v>
      </c>
      <c r="X28" s="26" t="n">
        <v>7.7</v>
      </c>
      <c r="Y28" s="26" t="n">
        <v>7.8</v>
      </c>
      <c r="Z28" s="26" t="n">
        <v>7.8</v>
      </c>
      <c r="AA28" s="26" t="n">
        <v>8.5</v>
      </c>
      <c r="AB28" s="26" t="n">
        <v>6.4</v>
      </c>
      <c r="AC28" s="26" t="n">
        <v>6.7</v>
      </c>
      <c r="AD28" s="26" t="n">
        <v>6</v>
      </c>
      <c r="AE28" s="26" t="n">
        <v>5.1</v>
      </c>
      <c r="AF28" s="26" t="n">
        <v>4.1</v>
      </c>
      <c r="AG28" s="26" t="n">
        <v>3</v>
      </c>
      <c r="AH28" s="26" t="n">
        <v>2.1</v>
      </c>
      <c r="AI28" s="26" t="n">
        <v>0.3</v>
      </c>
      <c r="AJ28" s="26" t="n">
        <v>0</v>
      </c>
      <c r="AK28" s="26" t="n">
        <v>0</v>
      </c>
      <c r="AL28" s="26" t="n">
        <v>0</v>
      </c>
      <c r="AM28" s="26" t="n">
        <v>0</v>
      </c>
      <c r="AN28" s="26" t="n">
        <v>0</v>
      </c>
      <c r="AO28" s="26" t="n">
        <v>0</v>
      </c>
      <c r="AP28" s="26" t="n">
        <v>0</v>
      </c>
      <c r="AQ28" s="26" t="n">
        <v>0</v>
      </c>
      <c r="AR28" s="26" t="n">
        <v>0</v>
      </c>
      <c r="AS28" s="26" t="n">
        <v>0</v>
      </c>
      <c r="AT28" s="26" t="n">
        <v>0</v>
      </c>
      <c r="AU28" s="26" t="n">
        <v>0</v>
      </c>
      <c r="AV28" s="26" t="n">
        <v>0</v>
      </c>
      <c r="AW28" s="26" t="n">
        <v>0</v>
      </c>
      <c r="AX28" s="26" t="n">
        <v>0</v>
      </c>
      <c r="AY28" s="27" t="n">
        <v>0</v>
      </c>
    </row>
    <row r="29" s="3154" customFormat="1" ht="13.5" customHeight="1">
      <c r="A29" s="1910" t="e">
        <f t="array" ref="A29">'S&amp;U-Timeline'!T31</f>
      </c>
      <c r="B29" s="179" t="e">
        <f t="array" ref="B29">'S&amp;U-Timeline'!P31</f>
      </c>
      <c r="C29" s="3906" t="e">
        <f t="array" ref="C29">'S&amp;U-Timeline'!R31</f>
      </c>
      <c r="D29" s="1912" t="n"/>
      <c r="E29" s="1912" t="n"/>
      <c r="F29" s="1912" t="n"/>
      <c r="G29" s="1912" t="n"/>
      <c r="H29" s="1912" t="n">
        <v>0.17</v>
      </c>
      <c r="I29" s="1912" t="n"/>
      <c r="J29" s="1912" t="n"/>
      <c r="K29" s="1912" t="n"/>
      <c r="L29" s="1913" t="n"/>
      <c r="M29" s="38" t="str">
        <f t="array" ref="M29">IF(SUM(D29:L29)=0,"HIDE","")</f>
      </c>
      <c r="N29" s="26" t="n"/>
      <c r="O29" s="26" t="n">
        <v>21</v>
      </c>
      <c r="P29" s="26" t="n">
        <v>0.5600000000000001</v>
      </c>
      <c r="Q29" s="26" t="n">
        <v>1.84</v>
      </c>
      <c r="R29" s="26" t="n">
        <v>2.9</v>
      </c>
      <c r="S29" s="26" t="n">
        <v>4</v>
      </c>
      <c r="T29" s="26" t="n">
        <v>4.9</v>
      </c>
      <c r="U29" s="26" t="n">
        <v>5.8</v>
      </c>
      <c r="V29" s="26" t="n">
        <v>6.8</v>
      </c>
      <c r="W29" s="26" t="n">
        <v>6.9</v>
      </c>
      <c r="X29" s="26" t="n">
        <v>7.4</v>
      </c>
      <c r="Y29" s="26" t="n">
        <v>4.7</v>
      </c>
      <c r="Z29" s="26" t="n">
        <v>10.8</v>
      </c>
      <c r="AA29" s="26" t="n">
        <v>7.5</v>
      </c>
      <c r="AB29" s="26" t="n">
        <v>7.2</v>
      </c>
      <c r="AC29" s="26" t="n">
        <v>6.8</v>
      </c>
      <c r="AD29" s="26" t="n">
        <v>6</v>
      </c>
      <c r="AE29" s="26" t="n">
        <v>3.2</v>
      </c>
      <c r="AF29" s="26" t="n">
        <v>6.3</v>
      </c>
      <c r="AG29" s="26" t="n">
        <v>3.1</v>
      </c>
      <c r="AH29" s="26" t="n">
        <v>2.3</v>
      </c>
      <c r="AI29" s="26" t="n">
        <v>0.9</v>
      </c>
      <c r="AJ29" s="26" t="n">
        <v>0.1</v>
      </c>
      <c r="AK29" s="26" t="n">
        <v>0</v>
      </c>
      <c r="AL29" s="26" t="n">
        <v>0</v>
      </c>
      <c r="AM29" s="26" t="n">
        <v>0</v>
      </c>
      <c r="AN29" s="26" t="n">
        <v>0</v>
      </c>
      <c r="AO29" s="26" t="n">
        <v>0</v>
      </c>
      <c r="AP29" s="26" t="n">
        <v>0</v>
      </c>
      <c r="AQ29" s="26" t="n">
        <v>0</v>
      </c>
      <c r="AR29" s="26" t="n">
        <v>0</v>
      </c>
      <c r="AS29" s="26" t="n">
        <v>0</v>
      </c>
      <c r="AT29" s="26" t="n">
        <v>0</v>
      </c>
      <c r="AU29" s="26" t="n">
        <v>0</v>
      </c>
      <c r="AV29" s="26" t="n">
        <v>0</v>
      </c>
      <c r="AW29" s="26" t="n">
        <v>0</v>
      </c>
      <c r="AX29" s="26" t="n">
        <v>0</v>
      </c>
      <c r="AY29" s="27" t="n">
        <v>0</v>
      </c>
    </row>
    <row r="30" s="3154" customFormat="1" ht="13.5" customHeight="1">
      <c r="A30" s="1910" t="e">
        <f t="array" ref="A30">'S&amp;U-Timeline'!T32</f>
      </c>
      <c r="B30" s="179" t="e">
        <f t="array" ref="B30">'S&amp;U-Timeline'!P32</f>
      </c>
      <c r="C30" s="3906" t="e">
        <f t="array" ref="C30">'S&amp;U-Timeline'!R32</f>
      </c>
      <c r="D30" s="1912" t="n"/>
      <c r="E30" s="1912" t="n"/>
      <c r="F30" s="1912" t="n"/>
      <c r="G30" s="1912" t="n"/>
      <c r="H30" s="1912" t="n"/>
      <c r="I30" s="1912" t="n"/>
      <c r="J30" s="1912" t="n"/>
      <c r="K30" s="1912" t="n"/>
      <c r="L30" s="1913" t="n"/>
      <c r="M30" s="38" t="str">
        <f t="array" ref="M30">IF(SUM(D30:L30)=0,"HIDE","")</f>
        <v>HIDE</v>
      </c>
      <c r="N30" s="26" t="n"/>
      <c r="O30" s="26" t="n">
        <v>22</v>
      </c>
      <c r="P30" s="26" t="n">
        <v>0.51</v>
      </c>
      <c r="Q30" s="26" t="n">
        <v>1.49</v>
      </c>
      <c r="R30" s="26" t="n">
        <v>2.5</v>
      </c>
      <c r="S30" s="26" t="n">
        <v>3.4</v>
      </c>
      <c r="T30" s="26" t="n">
        <v>4.3</v>
      </c>
      <c r="U30" s="26" t="n">
        <v>5</v>
      </c>
      <c r="V30" s="26" t="n">
        <v>5.7</v>
      </c>
      <c r="W30" s="26" t="n">
        <v>6.1</v>
      </c>
      <c r="X30" s="26" t="n">
        <v>6</v>
      </c>
      <c r="Y30" s="26" t="n">
        <v>7.8</v>
      </c>
      <c r="Z30" s="26" t="n">
        <v>7.2</v>
      </c>
      <c r="AA30" s="26" t="n">
        <v>7</v>
      </c>
      <c r="AB30" s="26" t="n">
        <v>6.9</v>
      </c>
      <c r="AC30" s="26" t="n">
        <v>6.8</v>
      </c>
      <c r="AD30" s="26" t="n">
        <v>6.2</v>
      </c>
      <c r="AE30" s="26" t="n">
        <v>5.7</v>
      </c>
      <c r="AF30" s="26" t="n">
        <v>5</v>
      </c>
      <c r="AG30" s="26" t="n">
        <v>4.3</v>
      </c>
      <c r="AH30" s="26" t="n">
        <v>3.5</v>
      </c>
      <c r="AI30" s="26" t="n">
        <v>2.5</v>
      </c>
      <c r="AJ30" s="26" t="n">
        <v>1.7</v>
      </c>
      <c r="AK30" s="26" t="n">
        <v>0.4</v>
      </c>
      <c r="AL30" s="26" t="n">
        <v>0</v>
      </c>
      <c r="AM30" s="26" t="n">
        <v>0</v>
      </c>
      <c r="AN30" s="26" t="n">
        <v>0</v>
      </c>
      <c r="AO30" s="26" t="n">
        <v>0</v>
      </c>
      <c r="AP30" s="26" t="n">
        <v>0</v>
      </c>
      <c r="AQ30" s="26" t="n">
        <v>0</v>
      </c>
      <c r="AR30" s="26" t="n">
        <v>0</v>
      </c>
      <c r="AS30" s="26" t="n">
        <v>0</v>
      </c>
      <c r="AT30" s="26" t="n">
        <v>0</v>
      </c>
      <c r="AU30" s="26" t="n">
        <v>0</v>
      </c>
      <c r="AV30" s="26" t="n">
        <v>0</v>
      </c>
      <c r="AW30" s="26" t="n">
        <v>0</v>
      </c>
      <c r="AX30" s="26" t="n">
        <v>0</v>
      </c>
      <c r="AY30" s="27" t="n">
        <v>0</v>
      </c>
    </row>
    <row r="31" s="3154" customFormat="1" ht="13.5" customHeight="1">
      <c r="A31" s="1910" t="e">
        <f t="array" ref="A31">'S&amp;U-Timeline'!T33</f>
      </c>
      <c r="B31" s="179" t="e">
        <f t="array" ref="B31">'S&amp;U-Timeline'!P33</f>
      </c>
      <c r="C31" s="3906" t="e">
        <f t="array" ref="C31">'S&amp;U-Timeline'!R33</f>
      </c>
      <c r="D31" s="1912" t="n"/>
      <c r="E31" s="1912" t="n"/>
      <c r="F31" s="1912" t="n"/>
      <c r="G31" s="1912" t="n"/>
      <c r="H31" s="1912" t="n"/>
      <c r="I31" s="1912" t="n"/>
      <c r="J31" s="1912" t="n"/>
      <c r="K31" s="1912" t="n"/>
      <c r="L31" s="1913" t="n"/>
      <c r="M31" s="38" t="str">
        <f t="array" ref="M31">IF(SUM(D31:L31)=0,"HIDE","")</f>
        <v>HIDE</v>
      </c>
      <c r="N31" s="26" t="n"/>
      <c r="O31" s="26" t="n">
        <v>23</v>
      </c>
      <c r="P31" s="26" t="n">
        <v>0.47</v>
      </c>
      <c r="Q31" s="26" t="n">
        <v>1.43</v>
      </c>
      <c r="R31" s="26" t="n">
        <v>2.3</v>
      </c>
      <c r="S31" s="26" t="n">
        <v>3.1</v>
      </c>
      <c r="T31" s="26" t="n">
        <v>3.9</v>
      </c>
      <c r="U31" s="26" t="n">
        <v>4.7</v>
      </c>
      <c r="V31" s="26" t="n">
        <v>5.3</v>
      </c>
      <c r="W31" s="26" t="n">
        <v>5.8</v>
      </c>
      <c r="X31" s="26" t="n">
        <v>6.3</v>
      </c>
      <c r="Y31" s="26" t="n">
        <v>6.4</v>
      </c>
      <c r="Z31" s="26" t="n">
        <v>6.9</v>
      </c>
      <c r="AA31" s="26" t="n">
        <v>6.9</v>
      </c>
      <c r="AB31" s="26" t="n">
        <v>6.8</v>
      </c>
      <c r="AC31" s="26" t="n">
        <v>6.2</v>
      </c>
      <c r="AD31" s="26" t="n">
        <v>6.6</v>
      </c>
      <c r="AE31" s="26" t="n">
        <v>5.7</v>
      </c>
      <c r="AF31" s="26" t="n">
        <v>5.4</v>
      </c>
      <c r="AG31" s="26" t="n">
        <v>4.7</v>
      </c>
      <c r="AH31" s="26" t="n">
        <v>3.9</v>
      </c>
      <c r="AI31" s="26" t="n">
        <v>3.1</v>
      </c>
      <c r="AJ31" s="26" t="n">
        <v>2.3</v>
      </c>
      <c r="AK31" s="26" t="n">
        <v>1.4</v>
      </c>
      <c r="AL31" s="26" t="n">
        <v>0.4</v>
      </c>
      <c r="AM31" s="26" t="n">
        <v>0</v>
      </c>
      <c r="AN31" s="26" t="n">
        <v>0</v>
      </c>
      <c r="AO31" s="26" t="n">
        <v>0</v>
      </c>
      <c r="AP31" s="26" t="n">
        <v>0</v>
      </c>
      <c r="AQ31" s="26" t="n">
        <v>0</v>
      </c>
      <c r="AR31" s="26" t="n">
        <v>0</v>
      </c>
      <c r="AS31" s="26" t="n">
        <v>0</v>
      </c>
      <c r="AT31" s="26" t="n">
        <v>0</v>
      </c>
      <c r="AU31" s="26" t="n">
        <v>0</v>
      </c>
      <c r="AV31" s="26" t="n">
        <v>0</v>
      </c>
      <c r="AW31" s="26" t="n">
        <v>0</v>
      </c>
      <c r="AX31" s="26" t="n">
        <v>0</v>
      </c>
      <c r="AY31" s="27" t="n">
        <v>0</v>
      </c>
    </row>
    <row r="32" s="3154" customFormat="1" ht="13.5" customHeight="1">
      <c r="A32" s="1910" t="e">
        <f t="array" ref="A32">'S&amp;U-Timeline'!T34</f>
      </c>
      <c r="B32" s="179" t="e">
        <f t="array" ref="B32">'S&amp;U-Timeline'!P34</f>
      </c>
      <c r="C32" s="3906" t="e">
        <f t="array" ref="C32">'S&amp;U-Timeline'!R34</f>
      </c>
      <c r="D32" s="1912" t="n"/>
      <c r="E32" s="1912" t="n"/>
      <c r="F32" s="1912" t="n"/>
      <c r="G32" s="1912" t="n"/>
      <c r="H32" s="1912" t="n"/>
      <c r="I32" s="1912" t="n"/>
      <c r="J32" s="1912" t="n"/>
      <c r="K32" s="1912" t="n"/>
      <c r="L32" s="1913" t="n"/>
      <c r="M32" s="38" t="str">
        <f t="array" ref="M32">IF(SUM(D32:L32)=0,"HIDE","")</f>
        <v>HIDE</v>
      </c>
      <c r="N32" s="26" t="n"/>
      <c r="O32" s="26" t="n">
        <v>24</v>
      </c>
      <c r="P32" s="26" t="n">
        <v>0.43</v>
      </c>
      <c r="Q32" s="26" t="n">
        <v>1.27</v>
      </c>
      <c r="R32" s="26" t="n">
        <v>2.1</v>
      </c>
      <c r="S32" s="26" t="n">
        <v>2.9</v>
      </c>
      <c r="T32" s="26" t="n">
        <v>3.6</v>
      </c>
      <c r="U32" s="26" t="n">
        <v>4.3</v>
      </c>
      <c r="V32" s="26" t="n">
        <v>4.8</v>
      </c>
      <c r="W32" s="26" t="n">
        <v>5.6</v>
      </c>
      <c r="X32" s="26" t="n">
        <v>5.9</v>
      </c>
      <c r="Y32" s="26" t="n">
        <v>6.2</v>
      </c>
      <c r="Z32" s="26" t="n">
        <v>6.2</v>
      </c>
      <c r="AA32" s="26" t="n">
        <v>6.7</v>
      </c>
      <c r="AB32" s="26" t="n">
        <v>6.5</v>
      </c>
      <c r="AC32" s="26" t="n">
        <v>6.4</v>
      </c>
      <c r="AD32" s="26" t="n">
        <v>6.2</v>
      </c>
      <c r="AE32" s="26" t="n">
        <v>5.9</v>
      </c>
      <c r="AF32" s="26" t="n">
        <v>5.4</v>
      </c>
      <c r="AG32" s="26" t="n">
        <v>5</v>
      </c>
      <c r="AH32" s="26" t="n">
        <v>2.3</v>
      </c>
      <c r="AI32" s="26" t="n">
        <v>5.6</v>
      </c>
      <c r="AJ32" s="26" t="n">
        <v>2.9</v>
      </c>
      <c r="AK32" s="26" t="n">
        <v>2.1</v>
      </c>
      <c r="AL32" s="26" t="n">
        <v>1.3</v>
      </c>
      <c r="AM32" s="26" t="n">
        <v>0.4</v>
      </c>
      <c r="AN32" s="26" t="n">
        <v>0</v>
      </c>
      <c r="AO32" s="26" t="n">
        <v>0</v>
      </c>
      <c r="AP32" s="26" t="n">
        <v>0</v>
      </c>
      <c r="AQ32" s="26" t="n">
        <v>0</v>
      </c>
      <c r="AR32" s="26" t="n">
        <v>0</v>
      </c>
      <c r="AS32" s="26" t="n">
        <v>0</v>
      </c>
      <c r="AT32" s="26" t="n">
        <v>0</v>
      </c>
      <c r="AU32" s="26" t="n">
        <v>0</v>
      </c>
      <c r="AV32" s="26" t="n">
        <v>0</v>
      </c>
      <c r="AW32" s="26" t="n">
        <v>0</v>
      </c>
      <c r="AX32" s="26" t="n">
        <v>0</v>
      </c>
      <c r="AY32" s="27" t="n">
        <v>0</v>
      </c>
    </row>
    <row r="33" s="3154" customFormat="1" ht="13.5" customHeight="1">
      <c r="A33" s="1910" t="e">
        <f t="array" ref="A33">'S&amp;U-Timeline'!T35</f>
      </c>
      <c r="B33" s="179" t="e">
        <f t="array" ref="B33">'S&amp;U-Timeline'!P35</f>
      </c>
      <c r="C33" s="3906" t="e">
        <f t="array" ref="C33">'S&amp;U-Timeline'!R35</f>
      </c>
      <c r="D33" s="1912" t="n"/>
      <c r="E33" s="1912" t="n"/>
      <c r="F33" s="1912" t="n"/>
      <c r="G33" s="1912" t="n"/>
      <c r="H33" s="1912" t="n"/>
      <c r="I33" s="1912" t="n"/>
      <c r="J33" s="1912" t="n"/>
      <c r="K33" s="1912" t="n"/>
      <c r="L33" s="1913" t="n"/>
      <c r="M33" s="38" t="str">
        <f t="array" ref="M33">IF(SUM(D33:L33)=0,"HIDE","")</f>
        <v>HIDE</v>
      </c>
      <c r="N33" s="26" t="n"/>
      <c r="O33" s="26" t="n">
        <v>25</v>
      </c>
      <c r="P33" s="26" t="n">
        <v>0.39</v>
      </c>
      <c r="Q33" s="26" t="n">
        <v>1.21</v>
      </c>
      <c r="R33" s="26" t="n">
        <v>1.9</v>
      </c>
      <c r="S33" s="26" t="n">
        <v>2.7</v>
      </c>
      <c r="T33" s="26" t="n">
        <v>3.4</v>
      </c>
      <c r="U33" s="26" t="n">
        <v>3.9</v>
      </c>
      <c r="V33" s="26" t="n">
        <v>4.6</v>
      </c>
      <c r="W33" s="26" t="n">
        <v>5.6</v>
      </c>
      <c r="X33" s="26" t="n">
        <v>5</v>
      </c>
      <c r="Y33" s="26" t="n">
        <v>5.8</v>
      </c>
      <c r="Z33" s="26" t="n">
        <v>6.1</v>
      </c>
      <c r="AA33" s="26" t="n">
        <v>6.3</v>
      </c>
      <c r="AB33" s="26" t="n">
        <v>6.2</v>
      </c>
      <c r="AC33" s="26" t="n">
        <v>6.3</v>
      </c>
      <c r="AD33" s="26" t="n">
        <v>6.1</v>
      </c>
      <c r="AE33" s="26" t="n">
        <v>5.8</v>
      </c>
      <c r="AF33" s="26" t="n">
        <v>5.5</v>
      </c>
      <c r="AG33" s="26" t="n">
        <v>5.1</v>
      </c>
      <c r="AH33" s="26" t="n">
        <v>4.5</v>
      </c>
      <c r="AI33" s="26" t="n">
        <v>4.1</v>
      </c>
      <c r="AJ33" s="26" t="n">
        <v>2.8</v>
      </c>
      <c r="AK33" s="26" t="n">
        <v>3.2</v>
      </c>
      <c r="AL33" s="26" t="n">
        <v>1.9</v>
      </c>
      <c r="AM33" s="26" t="n">
        <v>1.2</v>
      </c>
      <c r="AN33" s="26" t="n">
        <v>0.4</v>
      </c>
      <c r="AO33" s="26" t="n">
        <v>0</v>
      </c>
      <c r="AP33" s="26" t="n">
        <v>0</v>
      </c>
      <c r="AQ33" s="26" t="n">
        <v>0</v>
      </c>
      <c r="AR33" s="26" t="n">
        <v>0</v>
      </c>
      <c r="AS33" s="26" t="n">
        <v>0</v>
      </c>
      <c r="AT33" s="26" t="n">
        <v>0</v>
      </c>
      <c r="AU33" s="26" t="n">
        <v>0</v>
      </c>
      <c r="AV33" s="26" t="n">
        <v>0</v>
      </c>
      <c r="AW33" s="26" t="n">
        <v>0</v>
      </c>
      <c r="AX33" s="26" t="n">
        <v>0</v>
      </c>
      <c r="AY33" s="27" t="n">
        <v>0</v>
      </c>
    </row>
    <row r="34" s="3154" customFormat="1" ht="13.5" customHeight="1">
      <c r="A34" s="1910" t="e">
        <f t="array" ref="A34">'S&amp;U-Timeline'!T36</f>
      </c>
      <c r="B34" s="179" t="e">
        <f t="array" ref="B34">'S&amp;U-Timeline'!P36</f>
      </c>
      <c r="C34" s="3906" t="e">
        <f t="array" ref="C34">'S&amp;U-Timeline'!R36</f>
      </c>
      <c r="D34" s="1912" t="n"/>
      <c r="E34" s="1912" t="n">
        <f t="array" ref="E34">0.9*0.25</f>
        <v>0.225</v>
      </c>
      <c r="F34" s="1912" t="n"/>
      <c r="G34" s="1912" t="n"/>
      <c r="H34" s="1912" t="n"/>
      <c r="I34" s="1912" t="n"/>
      <c r="J34" s="1912" t="n"/>
      <c r="K34" s="1912" t="n"/>
      <c r="L34" s="1913" t="n"/>
      <c r="M34" s="38" t="str">
        <f t="array" ref="M34">IF(SUM(D34:L34)=0,"HIDE","")</f>
      </c>
      <c r="N34" s="26" t="n"/>
      <c r="O34" s="26" t="n">
        <v>26</v>
      </c>
      <c r="P34" s="26" t="n">
        <v>0.36</v>
      </c>
      <c r="Q34" s="26" t="n">
        <v>1.14</v>
      </c>
      <c r="R34" s="26" t="n">
        <v>1.8</v>
      </c>
      <c r="S34" s="26" t="n">
        <v>2.4</v>
      </c>
      <c r="T34" s="26" t="n">
        <v>3.2</v>
      </c>
      <c r="U34" s="26" t="n">
        <v>3.7</v>
      </c>
      <c r="V34" s="26" t="n">
        <v>4.1</v>
      </c>
      <c r="W34" s="26" t="n">
        <v>5</v>
      </c>
      <c r="X34" s="26" t="n">
        <v>5.1</v>
      </c>
      <c r="Y34" s="26" t="n">
        <v>5.6</v>
      </c>
      <c r="Z34" s="26" t="n">
        <v>5.6</v>
      </c>
      <c r="AA34" s="26" t="n">
        <v>6.1</v>
      </c>
      <c r="AB34" s="26" t="n">
        <v>5.9</v>
      </c>
      <c r="AC34" s="26" t="n">
        <v>6</v>
      </c>
      <c r="AD34" s="26" t="n">
        <v>6</v>
      </c>
      <c r="AE34" s="26" t="n">
        <v>5.8</v>
      </c>
      <c r="AF34" s="26" t="n">
        <v>5.5</v>
      </c>
      <c r="AG34" s="26" t="n">
        <v>5.1</v>
      </c>
      <c r="AH34" s="26" t="n">
        <v>4.8</v>
      </c>
      <c r="AI34" s="26" t="n">
        <v>4.3</v>
      </c>
      <c r="AJ34" s="26" t="n">
        <v>3.7</v>
      </c>
      <c r="AK34" s="26" t="n">
        <v>3.1</v>
      </c>
      <c r="AL34" s="26" t="n">
        <v>2.5</v>
      </c>
      <c r="AM34" s="26" t="n">
        <v>1.8</v>
      </c>
      <c r="AN34" s="26" t="n">
        <v>1</v>
      </c>
      <c r="AO34" s="26" t="n">
        <v>0.4</v>
      </c>
      <c r="AP34" s="26" t="n">
        <v>0</v>
      </c>
      <c r="AQ34" s="26" t="n">
        <v>0</v>
      </c>
      <c r="AR34" s="26" t="n">
        <v>0</v>
      </c>
      <c r="AS34" s="26" t="n">
        <v>0</v>
      </c>
      <c r="AT34" s="26" t="n">
        <v>0</v>
      </c>
      <c r="AU34" s="26" t="n">
        <v>0</v>
      </c>
      <c r="AV34" s="26" t="n">
        <v>0</v>
      </c>
      <c r="AW34" s="26" t="n">
        <v>0</v>
      </c>
      <c r="AX34" s="26" t="n">
        <v>0</v>
      </c>
      <c r="AY34" s="27" t="n">
        <v>0</v>
      </c>
    </row>
    <row r="35" s="3154" customFormat="1" ht="13.5" customHeight="1">
      <c r="A35" s="1910" t="e">
        <f t="array" ref="A35">'S&amp;U-Timeline'!T37</f>
      </c>
      <c r="B35" s="179" t="e">
        <f t="array" ref="B35">'S&amp;U-Timeline'!P37</f>
      </c>
      <c r="C35" s="3906" t="e">
        <f t="array" ref="C35">'S&amp;U-Timeline'!R37</f>
      </c>
      <c r="D35" s="1912" t="n"/>
      <c r="E35" s="1912" t="n"/>
      <c r="F35" s="1912" t="n"/>
      <c r="G35" s="1912" t="n"/>
      <c r="H35" s="1912" t="n"/>
      <c r="I35" s="1912" t="n"/>
      <c r="J35" s="1912" t="n"/>
      <c r="K35" s="1912" t="n"/>
      <c r="L35" s="1913" t="n"/>
      <c r="M35" s="38" t="str">
        <f t="array" ref="M35">IF(SUM(D35:L35)=0,"HIDE","")</f>
        <v>HIDE</v>
      </c>
      <c r="N35" s="26" t="n"/>
      <c r="O35" s="26" t="n">
        <v>27</v>
      </c>
      <c r="P35" s="26" t="n">
        <v>0.34</v>
      </c>
      <c r="Q35" s="26" t="n">
        <v>1.01</v>
      </c>
      <c r="R35" s="26" t="n">
        <v>1.65</v>
      </c>
      <c r="S35" s="26" t="n">
        <v>2.3</v>
      </c>
      <c r="T35" s="26" t="n">
        <v>2.9</v>
      </c>
      <c r="U35" s="26" t="n">
        <v>3.5</v>
      </c>
      <c r="V35" s="26" t="n">
        <v>4</v>
      </c>
      <c r="W35" s="26" t="n">
        <v>4.4</v>
      </c>
      <c r="X35" s="26" t="n">
        <v>4.9</v>
      </c>
      <c r="Y35" s="26" t="n">
        <v>5.2</v>
      </c>
      <c r="Z35" s="26" t="n">
        <v>5.4</v>
      </c>
      <c r="AA35" s="26" t="n">
        <v>5.7</v>
      </c>
      <c r="AB35" s="26" t="n">
        <v>5.8</v>
      </c>
      <c r="AC35" s="26" t="n">
        <v>5.8</v>
      </c>
      <c r="AD35" s="26" t="n">
        <v>5.2</v>
      </c>
      <c r="AE35" s="26" t="n">
        <v>6.2</v>
      </c>
      <c r="AF35" s="26" t="n">
        <v>3.5</v>
      </c>
      <c r="AG35" s="26" t="n">
        <v>7.2</v>
      </c>
      <c r="AH35" s="26" t="n">
        <v>4.7</v>
      </c>
      <c r="AI35" s="26" t="n">
        <v>4.6</v>
      </c>
      <c r="AJ35" s="26" t="n">
        <v>4.1</v>
      </c>
      <c r="AK35" s="26" t="n">
        <v>3.4</v>
      </c>
      <c r="AL35" s="26" t="n">
        <v>2.9</v>
      </c>
      <c r="AM35" s="26" t="n">
        <v>2.3</v>
      </c>
      <c r="AN35" s="26" t="n">
        <v>1.7</v>
      </c>
      <c r="AO35" s="26" t="n">
        <v>1</v>
      </c>
      <c r="AP35" s="26" t="n">
        <v>0.3</v>
      </c>
      <c r="AQ35" s="26" t="n">
        <v>0</v>
      </c>
      <c r="AR35" s="26" t="n">
        <v>0</v>
      </c>
      <c r="AS35" s="26" t="n">
        <v>0</v>
      </c>
      <c r="AT35" s="26" t="n">
        <v>0</v>
      </c>
      <c r="AU35" s="26" t="n">
        <v>0</v>
      </c>
      <c r="AV35" s="26" t="n">
        <v>0</v>
      </c>
      <c r="AW35" s="26" t="n">
        <v>0</v>
      </c>
      <c r="AX35" s="26" t="n">
        <v>0</v>
      </c>
      <c r="AY35" s="27" t="n">
        <v>0</v>
      </c>
    </row>
    <row r="36" s="3154" customFormat="1" ht="13.5" customHeight="1">
      <c r="A36" s="1910" t="e">
        <f t="array" ref="A36">'S&amp;U-Timeline'!T38</f>
      </c>
      <c r="B36" s="179" t="e">
        <f t="array" ref="B36">'S&amp;U-Timeline'!P38</f>
      </c>
      <c r="C36" s="3906" t="e">
        <f t="array" ref="C36">'S&amp;U-Timeline'!R38</f>
      </c>
      <c r="D36" s="1912" t="n">
        <v>0.02</v>
      </c>
      <c r="E36" s="1912" t="n"/>
      <c r="F36" s="1912" t="n"/>
      <c r="G36" s="1912" t="n"/>
      <c r="H36" s="1912" t="n"/>
      <c r="I36" s="1912" t="n"/>
      <c r="J36" s="1912" t="n"/>
      <c r="K36" s="1912" t="n"/>
      <c r="L36" s="1913" t="n"/>
      <c r="M36" s="38" t="str">
        <f t="array" ref="M36">IF(SUM(D36:L36)=0,"HIDE","")</f>
      </c>
      <c r="N36" s="26" t="n"/>
      <c r="O36" s="26" t="n">
        <v>28</v>
      </c>
      <c r="P36" s="26" t="n">
        <v>0.31</v>
      </c>
      <c r="Q36" s="26" t="n">
        <v>0.99</v>
      </c>
      <c r="R36" s="26" t="n">
        <v>1.5</v>
      </c>
      <c r="S36" s="26" t="n">
        <v>2.2</v>
      </c>
      <c r="T36" s="26" t="n">
        <v>2.7</v>
      </c>
      <c r="U36" s="26" t="n">
        <v>3.2</v>
      </c>
      <c r="V36" s="26" t="n">
        <v>3.8</v>
      </c>
      <c r="W36" s="26" t="n">
        <v>4.2</v>
      </c>
      <c r="X36" s="26" t="n">
        <v>4.5</v>
      </c>
      <c r="Y36" s="26" t="n">
        <v>4.9</v>
      </c>
      <c r="Z36" s="26" t="n">
        <v>5.2</v>
      </c>
      <c r="AA36" s="26" t="n">
        <v>5.2</v>
      </c>
      <c r="AB36" s="26" t="n">
        <v>5.8</v>
      </c>
      <c r="AC36" s="26" t="n">
        <v>5.5</v>
      </c>
      <c r="AD36" s="26" t="n">
        <v>5.6</v>
      </c>
      <c r="AE36" s="26" t="n">
        <v>5.5</v>
      </c>
      <c r="AF36" s="26" t="n">
        <v>5.4</v>
      </c>
      <c r="AG36" s="26" t="n">
        <v>5.2</v>
      </c>
      <c r="AH36" s="26" t="n">
        <v>4.9</v>
      </c>
      <c r="AI36" s="26" t="n">
        <v>4.6</v>
      </c>
      <c r="AJ36" s="26" t="n">
        <v>4.2</v>
      </c>
      <c r="AK36" s="26" t="n">
        <v>1.7</v>
      </c>
      <c r="AL36" s="26" t="n">
        <v>5.3</v>
      </c>
      <c r="AM36" s="26" t="n">
        <v>2.6</v>
      </c>
      <c r="AN36" s="26" t="n">
        <v>2.2</v>
      </c>
      <c r="AO36" s="26" t="n">
        <v>1.6</v>
      </c>
      <c r="AP36" s="26" t="n">
        <v>0.9</v>
      </c>
      <c r="AQ36" s="26" t="n">
        <v>0.3</v>
      </c>
      <c r="AR36" s="26" t="n">
        <v>0</v>
      </c>
      <c r="AS36" s="26" t="n">
        <v>0</v>
      </c>
      <c r="AT36" s="26" t="n">
        <v>0</v>
      </c>
      <c r="AU36" s="26" t="n">
        <v>0</v>
      </c>
      <c r="AV36" s="26" t="n">
        <v>0</v>
      </c>
      <c r="AW36" s="26" t="n">
        <v>0</v>
      </c>
      <c r="AX36" s="26" t="n">
        <v>0</v>
      </c>
      <c r="AY36" s="27" t="n">
        <v>0</v>
      </c>
    </row>
    <row r="37" s="3154" customFormat="1" ht="13.5" customHeight="1">
      <c r="A37" s="1910" t="e">
        <f t="array" ref="A37">'S&amp;U-Timeline'!T39</f>
      </c>
      <c r="B37" s="179" t="e">
        <f t="array" ref="B37">'S&amp;U-Timeline'!P39</f>
      </c>
      <c r="C37" s="3906" t="e">
        <f t="array" ref="C37">'S&amp;U-Timeline'!R39</f>
      </c>
      <c r="D37" s="1912" t="n"/>
      <c r="E37" s="1912" t="n"/>
      <c r="F37" s="1912" t="n"/>
      <c r="G37" s="1912" t="n"/>
      <c r="H37" s="1912" t="n"/>
      <c r="I37" s="1912" t="n"/>
      <c r="J37" s="1912" t="n"/>
      <c r="K37" s="1912" t="n"/>
      <c r="L37" s="1913" t="n"/>
      <c r="M37" s="38" t="str">
        <f t="array" ref="M37">IF(SUM(D37:L37)=0,"HIDE","")</f>
        <v>HIDE</v>
      </c>
      <c r="N37" s="26" t="n"/>
      <c r="O37" s="26" t="n">
        <v>29</v>
      </c>
      <c r="P37" s="26" t="n">
        <v>0.29</v>
      </c>
      <c r="Q37" s="26" t="n">
        <v>0.91</v>
      </c>
      <c r="R37" s="26" t="n">
        <v>1.4</v>
      </c>
      <c r="S37" s="26" t="n">
        <v>2</v>
      </c>
      <c r="T37" s="26" t="n">
        <v>2.5</v>
      </c>
      <c r="U37" s="26" t="n">
        <v>3.1</v>
      </c>
      <c r="V37" s="26" t="n">
        <v>3.5</v>
      </c>
      <c r="W37" s="26" t="n">
        <v>3.9</v>
      </c>
      <c r="X37" s="26" t="n">
        <v>4.3</v>
      </c>
      <c r="Y37" s="26" t="n">
        <v>4.6</v>
      </c>
      <c r="Z37" s="26" t="n">
        <v>4.9</v>
      </c>
      <c r="AA37" s="26" t="n">
        <v>5.2</v>
      </c>
      <c r="AB37" s="26" t="n">
        <v>5.2</v>
      </c>
      <c r="AC37" s="26" t="n">
        <v>5.4</v>
      </c>
      <c r="AD37" s="26" t="n">
        <v>5.4</v>
      </c>
      <c r="AE37" s="26" t="n">
        <v>5.4</v>
      </c>
      <c r="AF37" s="26" t="n">
        <v>5.3</v>
      </c>
      <c r="AG37" s="26" t="n">
        <v>5.1</v>
      </c>
      <c r="AH37" s="26" t="n">
        <v>4.7</v>
      </c>
      <c r="AI37" s="26" t="n">
        <v>4.8</v>
      </c>
      <c r="AJ37" s="26" t="n">
        <v>4.4</v>
      </c>
      <c r="AK37" s="26" t="n">
        <v>2.9</v>
      </c>
      <c r="AL37" s="26" t="n">
        <v>4.5</v>
      </c>
      <c r="AM37" s="26" t="n">
        <v>3.1</v>
      </c>
      <c r="AN37" s="26" t="n">
        <v>2.5</v>
      </c>
      <c r="AO37" s="26" t="n">
        <v>2</v>
      </c>
      <c r="AP37" s="26" t="n">
        <v>1.5</v>
      </c>
      <c r="AQ37" s="26" t="n">
        <v>0.9</v>
      </c>
      <c r="AR37" s="26" t="n">
        <v>0.3</v>
      </c>
      <c r="AS37" s="26" t="n">
        <v>0</v>
      </c>
      <c r="AT37" s="26" t="n">
        <v>0</v>
      </c>
      <c r="AU37" s="26" t="n">
        <v>0</v>
      </c>
      <c r="AV37" s="26" t="n">
        <v>0</v>
      </c>
      <c r="AW37" s="26" t="n">
        <v>0</v>
      </c>
      <c r="AX37" s="26" t="n">
        <v>0</v>
      </c>
      <c r="AY37" s="27" t="n">
        <v>0</v>
      </c>
    </row>
    <row r="38" s="3154" customFormat="1" ht="13.5" customHeight="1">
      <c r="A38" s="1910" t="e">
        <f t="array" ref="A38">'S&amp;U-Timeline'!T40</f>
      </c>
      <c r="B38" s="179" t="e">
        <f t="array" ref="B38">'S&amp;U-Timeline'!P40</f>
      </c>
      <c r="C38" s="3906" t="e">
        <f t="array" ref="C38">'S&amp;U-Timeline'!R40</f>
      </c>
      <c r="D38" s="1912" t="n"/>
      <c r="E38" s="1912" t="n"/>
      <c r="F38" s="1912" t="n"/>
      <c r="G38" s="1912" t="n"/>
      <c r="H38" s="1912" t="n"/>
      <c r="I38" s="1912" t="n"/>
      <c r="J38" s="1912" t="n"/>
      <c r="K38" s="1912" t="n"/>
      <c r="L38" s="1913" t="n"/>
      <c r="M38" s="38" t="str">
        <f t="array" ref="M38">IF(SUM(D38:L38)=0,"HIDE","")</f>
        <v>HIDE</v>
      </c>
      <c r="N38" s="26" t="n"/>
      <c r="O38" s="26" t="n">
        <v>30</v>
      </c>
      <c r="P38" s="26" t="n">
        <v>0.27</v>
      </c>
      <c r="Q38" s="26" t="n">
        <v>0.83</v>
      </c>
      <c r="R38" s="26" t="n">
        <v>1.4</v>
      </c>
      <c r="S38" s="26" t="n">
        <v>1.8</v>
      </c>
      <c r="T38" s="26" t="n">
        <v>2.4</v>
      </c>
      <c r="U38" s="26" t="n">
        <v>2.9</v>
      </c>
      <c r="V38" s="26" t="n">
        <v>3.2</v>
      </c>
      <c r="W38" s="26" t="n">
        <v>3.7</v>
      </c>
      <c r="X38" s="26" t="n">
        <v>4.1</v>
      </c>
      <c r="Y38" s="26" t="n">
        <v>4.4</v>
      </c>
      <c r="Z38" s="26" t="n">
        <v>4.7</v>
      </c>
      <c r="AA38" s="26" t="n">
        <v>4.8</v>
      </c>
      <c r="AB38" s="26" t="n">
        <v>5.1</v>
      </c>
      <c r="AC38" s="26" t="n">
        <v>4.4</v>
      </c>
      <c r="AD38" s="26" t="n">
        <v>6</v>
      </c>
      <c r="AE38" s="26" t="n">
        <v>5.2</v>
      </c>
      <c r="AF38" s="26" t="n">
        <v>5.2</v>
      </c>
      <c r="AG38" s="26" t="n">
        <v>5.1</v>
      </c>
      <c r="AH38" s="26" t="n">
        <v>4.8</v>
      </c>
      <c r="AI38" s="26" t="n">
        <v>4.7</v>
      </c>
      <c r="AJ38" s="26" t="n">
        <v>4.4</v>
      </c>
      <c r="AK38" s="26" t="n">
        <v>4.1</v>
      </c>
      <c r="AL38" s="26" t="n">
        <v>3.6</v>
      </c>
      <c r="AM38" s="26" t="n">
        <v>3.4</v>
      </c>
      <c r="AN38" s="26" t="n">
        <v>2.8</v>
      </c>
      <c r="AO38" s="26" t="n">
        <v>2.4</v>
      </c>
      <c r="AP38" s="26" t="n">
        <v>1.9</v>
      </c>
      <c r="AQ38" s="26" t="n">
        <v>1.3</v>
      </c>
      <c r="AR38" s="26" t="n">
        <v>0.8</v>
      </c>
      <c r="AS38" s="26" t="n">
        <v>0.3</v>
      </c>
      <c r="AT38" s="26" t="n">
        <v>0</v>
      </c>
      <c r="AU38" s="26" t="n">
        <v>0</v>
      </c>
      <c r="AV38" s="26" t="n">
        <v>0</v>
      </c>
      <c r="AW38" s="26" t="n">
        <v>0</v>
      </c>
      <c r="AX38" s="26" t="n">
        <v>0</v>
      </c>
      <c r="AY38" s="27" t="n">
        <v>0</v>
      </c>
    </row>
    <row r="39" s="3154" customFormat="1" ht="13.5" customHeight="1">
      <c r="A39" s="1910" t="e">
        <f t="array" ref="A39">'S&amp;U-Timeline'!T41</f>
      </c>
      <c r="B39" s="179" t="e">
        <f t="array" ref="B39">'S&amp;U-Timeline'!P41</f>
      </c>
      <c r="C39" s="3906" t="e">
        <f t="array" ref="C39">'S&amp;U-Timeline'!R41</f>
      </c>
      <c r="D39" s="1912" t="n"/>
      <c r="E39" s="1912" t="n"/>
      <c r="F39" s="1912" t="n"/>
      <c r="G39" s="1912" t="n"/>
      <c r="H39" s="1912" t="n"/>
      <c r="I39" s="1912" t="n"/>
      <c r="J39" s="1912" t="n"/>
      <c r="K39" s="1912" t="n"/>
      <c r="L39" s="1913" t="n"/>
      <c r="M39" s="38" t="str">
        <f t="array" ref="M39">IF(SUM(D39:L39)=0,"HIDE","")</f>
        <v>HIDE</v>
      </c>
      <c r="N39" s="26" t="n"/>
      <c r="O39" s="26" t="n">
        <v>31</v>
      </c>
      <c r="P39" s="26" t="n">
        <v>0.26</v>
      </c>
      <c r="Q39" s="26" t="n">
        <v>0.74</v>
      </c>
      <c r="R39" s="26" t="n">
        <v>1.3</v>
      </c>
      <c r="S39" s="26" t="n">
        <v>1.7</v>
      </c>
      <c r="T39" s="26" t="n">
        <v>2.3</v>
      </c>
      <c r="U39" s="26" t="n">
        <v>2.4</v>
      </c>
      <c r="V39" s="26" t="n">
        <v>3.3</v>
      </c>
      <c r="W39" s="26" t="n">
        <v>3.5</v>
      </c>
      <c r="X39" s="26" t="n">
        <v>3.9</v>
      </c>
      <c r="Y39" s="26" t="n">
        <v>4.1</v>
      </c>
      <c r="Z39" s="26" t="n">
        <v>4.4</v>
      </c>
      <c r="AA39" s="26" t="n">
        <v>4.7</v>
      </c>
      <c r="AB39" s="26" t="n">
        <v>4.8</v>
      </c>
      <c r="AC39" s="26" t="n">
        <v>5</v>
      </c>
      <c r="AD39" s="26" t="n">
        <v>5</v>
      </c>
      <c r="AE39" s="26" t="n">
        <v>5</v>
      </c>
      <c r="AF39" s="26" t="n">
        <v>5.1</v>
      </c>
      <c r="AG39" s="26" t="n">
        <v>4.9</v>
      </c>
      <c r="AH39" s="26" t="n">
        <v>4.9</v>
      </c>
      <c r="AI39" s="26" t="n">
        <v>4.6</v>
      </c>
      <c r="AJ39" s="26" t="n">
        <v>4.4</v>
      </c>
      <c r="AK39" s="26" t="n">
        <v>4.2</v>
      </c>
      <c r="AL39" s="26" t="n">
        <v>3.9</v>
      </c>
      <c r="AM39" s="26" t="n">
        <v>3.4</v>
      </c>
      <c r="AN39" s="26" t="n">
        <v>3.2</v>
      </c>
      <c r="AO39" s="26" t="n">
        <v>2.6</v>
      </c>
      <c r="AP39" s="26" t="n">
        <v>2.3</v>
      </c>
      <c r="AQ39" s="26" t="n">
        <v>1.8</v>
      </c>
      <c r="AR39" s="26" t="n">
        <v>1.2</v>
      </c>
      <c r="AS39" s="26" t="n">
        <v>0.8</v>
      </c>
      <c r="AT39" s="26" t="n">
        <v>0.3</v>
      </c>
      <c r="AU39" s="26" t="n">
        <v>0</v>
      </c>
      <c r="AV39" s="26" t="n">
        <v>0</v>
      </c>
      <c r="AW39" s="26" t="n">
        <v>0</v>
      </c>
      <c r="AX39" s="26" t="n">
        <v>0</v>
      </c>
      <c r="AY39" s="27" t="n">
        <v>0</v>
      </c>
    </row>
    <row r="40" s="3154" customFormat="1" ht="13.5" customHeight="1">
      <c r="A40" s="1910" t="e">
        <f t="array" ref="A40">'S&amp;U-Timeline'!T42</f>
      </c>
      <c r="B40" s="179" t="e">
        <f t="array" ref="B40">'S&amp;U-Timeline'!P42</f>
      </c>
      <c r="C40" s="3906" t="e">
        <f t="array" ref="C40">'S&amp;U-Timeline'!R42</f>
      </c>
      <c r="D40" s="1912" t="n"/>
      <c r="E40" s="1912" t="n"/>
      <c r="F40" s="1912" t="n"/>
      <c r="G40" s="1912" t="n"/>
      <c r="H40" s="1912" t="n"/>
      <c r="I40" s="1912" t="n"/>
      <c r="J40" s="1912" t="n"/>
      <c r="K40" s="1912" t="n"/>
      <c r="L40" s="1913" t="n"/>
      <c r="M40" s="38" t="str">
        <f t="array" ref="M40">IF(SUM(D40:L40)=0,"HIDE","")</f>
        <v>HIDE</v>
      </c>
      <c r="N40" s="26" t="n"/>
      <c r="O40" s="26" t="n">
        <v>32</v>
      </c>
      <c r="P40" s="26" t="n">
        <v>0.24</v>
      </c>
      <c r="Q40" s="26" t="n">
        <v>0.75</v>
      </c>
      <c r="R40" s="26" t="n">
        <v>1.22</v>
      </c>
      <c r="S40" s="26" t="n">
        <v>1.69</v>
      </c>
      <c r="T40" s="26" t="n">
        <v>2.2</v>
      </c>
      <c r="U40" s="26" t="n">
        <v>2.5</v>
      </c>
      <c r="V40" s="26" t="n">
        <v>3</v>
      </c>
      <c r="W40" s="26" t="n">
        <v>3.4</v>
      </c>
      <c r="X40" s="26" t="n">
        <v>3.7</v>
      </c>
      <c r="Y40" s="26" t="n">
        <v>4.1</v>
      </c>
      <c r="Z40" s="26" t="n">
        <v>4.2</v>
      </c>
      <c r="AA40" s="26" t="n">
        <v>4.6</v>
      </c>
      <c r="AB40" s="26" t="n">
        <v>4.7</v>
      </c>
      <c r="AC40" s="26" t="n">
        <v>4.8</v>
      </c>
      <c r="AD40" s="26" t="n">
        <v>5</v>
      </c>
      <c r="AE40" s="26" t="n">
        <v>3.9</v>
      </c>
      <c r="AF40" s="26" t="n">
        <v>4.7</v>
      </c>
      <c r="AG40" s="26" t="n">
        <v>5.2</v>
      </c>
      <c r="AH40" s="26" t="n">
        <v>4.8</v>
      </c>
      <c r="AI40" s="26" t="n">
        <v>4.7</v>
      </c>
      <c r="AJ40" s="26" t="n">
        <v>4.3</v>
      </c>
      <c r="AK40" s="26" t="n">
        <v>4.4</v>
      </c>
      <c r="AL40" s="26" t="n">
        <v>4</v>
      </c>
      <c r="AM40" s="26" t="n">
        <v>3.6</v>
      </c>
      <c r="AN40" s="26" t="n">
        <v>3.3</v>
      </c>
      <c r="AO40" s="26" t="n">
        <v>2.7</v>
      </c>
      <c r="AP40" s="26" t="n">
        <v>2.7</v>
      </c>
      <c r="AQ40" s="26" t="n">
        <v>2.1</v>
      </c>
      <c r="AR40" s="26" t="n">
        <v>1.6</v>
      </c>
      <c r="AS40" s="26" t="n">
        <v>1.1</v>
      </c>
      <c r="AT40" s="26" t="n">
        <v>0.6</v>
      </c>
      <c r="AU40" s="26" t="n">
        <v>0.2</v>
      </c>
      <c r="AV40" s="26" t="n">
        <v>0</v>
      </c>
      <c r="AW40" s="26" t="n">
        <v>0</v>
      </c>
      <c r="AX40" s="26" t="n">
        <v>0</v>
      </c>
      <c r="AY40" s="27" t="n">
        <v>0</v>
      </c>
    </row>
    <row r="41" s="3154" customFormat="1" ht="13.5" customHeight="1">
      <c r="A41" s="1910" t="e">
        <f t="array" ref="A41">'S&amp;U-Timeline'!T43</f>
      </c>
      <c r="B41" s="179" t="e">
        <f t="array" ref="B41">'S&amp;U-Timeline'!P43</f>
      </c>
      <c r="C41" s="3906" t="e">
        <f t="array" ref="C41">'S&amp;U-Timeline'!R43</f>
      </c>
      <c r="D41" s="1912" t="n"/>
      <c r="E41" s="1912" t="n"/>
      <c r="F41" s="1912" t="n"/>
      <c r="G41" s="1912" t="n"/>
      <c r="H41" s="1912" t="n"/>
      <c r="I41" s="1912" t="n"/>
      <c r="J41" s="1912" t="n"/>
      <c r="K41" s="1912" t="n"/>
      <c r="L41" s="1913" t="n"/>
      <c r="M41" s="38" t="str">
        <f t="array" ref="M41">IF(SUM(D41:L41)=0,"HIDE","")</f>
        <v>HIDE</v>
      </c>
      <c r="N41" s="26" t="n"/>
      <c r="O41" s="26" t="n">
        <v>33</v>
      </c>
      <c r="P41" s="26" t="n">
        <v>0.23</v>
      </c>
      <c r="Q41" s="26" t="n">
        <v>0.68</v>
      </c>
      <c r="R41" s="26" t="n">
        <v>1.09</v>
      </c>
      <c r="S41" s="26" t="n">
        <v>1.6</v>
      </c>
      <c r="T41" s="26" t="n">
        <v>2</v>
      </c>
      <c r="U41" s="26" t="n">
        <v>2.4</v>
      </c>
      <c r="V41" s="26" t="n">
        <v>2.7</v>
      </c>
      <c r="W41" s="26" t="n">
        <v>2.8</v>
      </c>
      <c r="X41" s="26" t="n">
        <v>3.8</v>
      </c>
      <c r="Y41" s="26" t="n">
        <v>3.8</v>
      </c>
      <c r="Z41" s="26" t="n">
        <v>4</v>
      </c>
      <c r="AA41" s="26" t="n">
        <v>5.6</v>
      </c>
      <c r="AB41" s="26" t="n">
        <v>5</v>
      </c>
      <c r="AC41" s="26" t="n">
        <v>4.4</v>
      </c>
      <c r="AD41" s="26" t="n">
        <v>4.7</v>
      </c>
      <c r="AE41" s="26" t="n">
        <v>4.7</v>
      </c>
      <c r="AF41" s="26" t="n">
        <v>2.9</v>
      </c>
      <c r="AG41" s="26" t="n">
        <v>6.6</v>
      </c>
      <c r="AH41" s="26" t="n">
        <v>4.7</v>
      </c>
      <c r="AI41" s="26" t="n">
        <v>4.5</v>
      </c>
      <c r="AJ41" s="26" t="n">
        <v>4.3</v>
      </c>
      <c r="AK41" s="26" t="n">
        <v>4.2</v>
      </c>
      <c r="AL41" s="26" t="n">
        <v>3.9</v>
      </c>
      <c r="AM41" s="26" t="n">
        <v>3.6</v>
      </c>
      <c r="AN41" s="26" t="n">
        <v>3.3</v>
      </c>
      <c r="AO41" s="26" t="n">
        <v>3</v>
      </c>
      <c r="AP41" s="26" t="n">
        <v>2.6</v>
      </c>
      <c r="AQ41" s="26" t="n">
        <v>2.2</v>
      </c>
      <c r="AR41" s="26" t="n">
        <v>1.8</v>
      </c>
      <c r="AS41" s="26" t="n">
        <v>1.4</v>
      </c>
      <c r="AT41" s="26" t="n">
        <v>0.9</v>
      </c>
      <c r="AU41" s="26" t="n">
        <v>0.4</v>
      </c>
      <c r="AV41" s="26" t="n">
        <v>0.2</v>
      </c>
      <c r="AW41" s="26" t="n">
        <v>0</v>
      </c>
      <c r="AX41" s="26" t="n">
        <v>0</v>
      </c>
      <c r="AY41" s="27" t="n">
        <v>0</v>
      </c>
    </row>
    <row r="42" s="3154" customFormat="1" ht="13.5" customHeight="1">
      <c r="A42" s="1910" t="e">
        <f t="array" ref="A42">'S&amp;U-Timeline'!T44</f>
      </c>
      <c r="B42" s="179" t="e">
        <f t="array" ref="B42">'S&amp;U-Timeline'!P44</f>
      </c>
      <c r="C42" s="3906" t="e">
        <f t="array" ref="C42">'S&amp;U-Timeline'!R44</f>
      </c>
      <c r="D42" s="1912" t="n"/>
      <c r="E42" s="1912" t="n"/>
      <c r="F42" s="1912" t="n"/>
      <c r="G42" s="1912" t="n"/>
      <c r="H42" s="1912" t="n"/>
      <c r="I42" s="1912" t="n"/>
      <c r="J42" s="1912" t="n"/>
      <c r="K42" s="1912" t="n"/>
      <c r="L42" s="1913" t="n"/>
      <c r="M42" s="38" t="str">
        <f t="array" ref="M42">IF(SUM(D42:L42)=0,"HIDE","")</f>
        <v>HIDE</v>
      </c>
      <c r="N42" s="26" t="n"/>
      <c r="O42" s="26" t="n">
        <v>34</v>
      </c>
      <c r="P42" s="26" t="n">
        <v>0.21</v>
      </c>
      <c r="Q42" s="26" t="n">
        <v>0.64</v>
      </c>
      <c r="R42" s="26" t="n">
        <v>1.05</v>
      </c>
      <c r="S42" s="26" t="n">
        <v>1.5</v>
      </c>
      <c r="T42" s="26" t="n">
        <v>1.9</v>
      </c>
      <c r="U42" s="26" t="n">
        <v>2.2</v>
      </c>
      <c r="V42" s="26" t="n">
        <v>2.6</v>
      </c>
      <c r="W42" s="26" t="n">
        <v>3</v>
      </c>
      <c r="X42" s="26" t="n">
        <v>3.2</v>
      </c>
      <c r="Y42" s="26" t="n">
        <v>3.6</v>
      </c>
      <c r="Z42" s="26" t="n">
        <v>3.8</v>
      </c>
      <c r="AA42" s="26" t="n">
        <v>4.1</v>
      </c>
      <c r="AB42" s="26" t="n">
        <v>4.2</v>
      </c>
      <c r="AC42" s="26" t="n">
        <v>4.4</v>
      </c>
      <c r="AD42" s="26" t="n">
        <v>4.5</v>
      </c>
      <c r="AE42" s="26" t="n">
        <v>4.6</v>
      </c>
      <c r="AF42" s="26" t="n">
        <v>4.5</v>
      </c>
      <c r="AG42" s="26" t="n">
        <v>4.6</v>
      </c>
      <c r="AH42" s="26" t="n">
        <v>4.6</v>
      </c>
      <c r="AI42" s="26" t="n">
        <v>4.5</v>
      </c>
      <c r="AJ42" s="26" t="n">
        <v>4.4</v>
      </c>
      <c r="AK42" s="26" t="n">
        <v>4.2</v>
      </c>
      <c r="AL42" s="26" t="n">
        <v>4</v>
      </c>
      <c r="AM42" s="26" t="n">
        <v>3.9</v>
      </c>
      <c r="AN42" s="26" t="n">
        <v>3.5</v>
      </c>
      <c r="AO42" s="26" t="n">
        <v>3.3</v>
      </c>
      <c r="AP42" s="26" t="n">
        <v>2.9</v>
      </c>
      <c r="AQ42" s="26" t="n">
        <v>2.6</v>
      </c>
      <c r="AR42" s="26" t="n">
        <v>2.3</v>
      </c>
      <c r="AS42" s="26" t="n">
        <v>1.8</v>
      </c>
      <c r="AT42" s="26" t="n">
        <v>1.5</v>
      </c>
      <c r="AU42" s="26" t="n">
        <v>1.1</v>
      </c>
      <c r="AV42" s="26" t="n">
        <v>0.6</v>
      </c>
      <c r="AW42" s="26" t="n">
        <v>0.2</v>
      </c>
      <c r="AX42" s="26" t="n">
        <v>0</v>
      </c>
      <c r="AY42" s="27" t="n">
        <v>0</v>
      </c>
    </row>
    <row r="43" s="3154" customFormat="1" ht="13.5" customHeight="1">
      <c r="A43" s="1910" t="e">
        <f t="array" ref="A43">'S&amp;U-Timeline'!T45</f>
      </c>
      <c r="B43" s="179" t="e">
        <f t="array" ref="B43">'S&amp;U-Timeline'!P45</f>
      </c>
      <c r="C43" s="3906" t="e">
        <f t="array" ref="C43">'S&amp;U-Timeline'!R45</f>
      </c>
      <c r="D43" s="1914" t="n"/>
      <c r="E43" s="1914" t="n"/>
      <c r="F43" s="1914" t="n"/>
      <c r="G43" s="1914" t="n"/>
      <c r="H43" s="1914" t="n"/>
      <c r="I43" s="1914" t="n"/>
      <c r="J43" s="1914" t="n"/>
      <c r="K43" s="1914" t="n"/>
      <c r="L43" s="1913" t="n"/>
      <c r="M43" s="38" t="str">
        <f t="array" ref="M43">IF(SUM(D43:L43)=0,"HIDE","")</f>
        <v>HIDE</v>
      </c>
      <c r="N43" s="26" t="n"/>
      <c r="O43" s="26" t="n">
        <v>35</v>
      </c>
      <c r="P43" s="26" t="n">
        <v>0.2</v>
      </c>
      <c r="Q43" s="26" t="n">
        <v>0.6</v>
      </c>
      <c r="R43" s="26" t="n">
        <v>1</v>
      </c>
      <c r="S43" s="26" t="n">
        <v>1.4</v>
      </c>
      <c r="T43" s="26" t="n">
        <v>1.7</v>
      </c>
      <c r="U43" s="26" t="n">
        <v>2.2</v>
      </c>
      <c r="V43" s="26" t="n">
        <v>2.4</v>
      </c>
      <c r="W43" s="26" t="n">
        <v>2.8</v>
      </c>
      <c r="X43" s="26" t="n">
        <v>3.1</v>
      </c>
      <c r="Y43" s="26" t="n">
        <v>3.4</v>
      </c>
      <c r="Z43" s="26" t="n">
        <v>3.6</v>
      </c>
      <c r="AA43" s="26" t="n">
        <v>3.8</v>
      </c>
      <c r="AB43" s="26" t="n">
        <v>4.5</v>
      </c>
      <c r="AC43" s="26" t="n">
        <v>3.7</v>
      </c>
      <c r="AD43" s="26" t="n">
        <v>4.4</v>
      </c>
      <c r="AE43" s="26" t="n">
        <v>4.9</v>
      </c>
      <c r="AF43" s="26" t="n">
        <v>3.3</v>
      </c>
      <c r="AG43" s="26" t="n">
        <v>4.8</v>
      </c>
      <c r="AH43" s="26" t="n">
        <v>4.4</v>
      </c>
      <c r="AI43" s="26" t="n">
        <v>4.4</v>
      </c>
      <c r="AJ43" s="26" t="n">
        <v>4.4</v>
      </c>
      <c r="AK43" s="26" t="n">
        <v>4.2</v>
      </c>
      <c r="AL43" s="26" t="n">
        <v>4</v>
      </c>
      <c r="AM43" s="26" t="n">
        <v>4.2</v>
      </c>
      <c r="AN43" s="26" t="n">
        <v>3.3</v>
      </c>
      <c r="AO43" s="26" t="n">
        <v>3.6</v>
      </c>
      <c r="AP43" s="26" t="n">
        <v>3.1</v>
      </c>
      <c r="AQ43" s="26" t="n">
        <v>3.3</v>
      </c>
      <c r="AR43" s="26" t="n">
        <v>2</v>
      </c>
      <c r="AS43" s="26" t="n">
        <v>2</v>
      </c>
      <c r="AT43" s="26" t="n">
        <v>2</v>
      </c>
      <c r="AU43" s="26" t="n">
        <v>1.4</v>
      </c>
      <c r="AV43" s="26" t="n">
        <v>1</v>
      </c>
      <c r="AW43" s="26" t="n">
        <v>0.7</v>
      </c>
      <c r="AX43" s="26" t="n">
        <v>0.2</v>
      </c>
      <c r="AY43" s="27" t="n">
        <v>0</v>
      </c>
    </row>
    <row r="44" s="3154" customFormat="1" ht="13.5" customHeight="1">
      <c r="A44" s="1910" t="e">
        <f t="array" ref="A44">'S&amp;U-Timeline'!T46</f>
      </c>
      <c r="B44" s="179" t="e">
        <f t="array" ref="B44">'S&amp;U-Timeline'!P46</f>
      </c>
      <c r="C44" s="3906" t="e">
        <f t="array" ref="C44">'S&amp;U-Timeline'!R46</f>
      </c>
      <c r="D44" s="1914" t="n"/>
      <c r="E44" s="1914" t="n"/>
      <c r="F44" s="1914" t="n"/>
      <c r="G44" s="1914" t="n"/>
      <c r="H44" s="1914" t="n"/>
      <c r="I44" s="1914" t="n"/>
      <c r="J44" s="1914" t="n"/>
      <c r="K44" s="1914" t="n"/>
      <c r="L44" s="1913" t="n"/>
      <c r="M44" s="38" t="str">
        <f t="array" ref="M44">IF(SUM(D44:L44)=0,"HIDE","")</f>
        <v>HIDE</v>
      </c>
      <c r="N44" s="26" t="n"/>
      <c r="O44" s="26" t="n">
        <v>36</v>
      </c>
      <c r="P44" s="26" t="n">
        <v>0.19</v>
      </c>
      <c r="Q44" s="26" t="n">
        <v>0.57</v>
      </c>
      <c r="R44" s="26" t="n">
        <v>0.9399999999999999</v>
      </c>
      <c r="S44" s="26" t="n">
        <v>1.3</v>
      </c>
      <c r="T44" s="26" t="n">
        <v>1.7</v>
      </c>
      <c r="U44" s="26" t="n">
        <v>2</v>
      </c>
      <c r="V44" s="26" t="n">
        <v>2.3</v>
      </c>
      <c r="W44" s="26" t="n">
        <v>2.7</v>
      </c>
      <c r="X44" s="26" t="n">
        <v>2.9</v>
      </c>
      <c r="Y44" s="26" t="n">
        <v>3.3</v>
      </c>
      <c r="Z44" s="26" t="n">
        <v>3.3</v>
      </c>
      <c r="AA44" s="26" t="n">
        <v>3.8</v>
      </c>
      <c r="AB44" s="26" t="n">
        <v>3.9</v>
      </c>
      <c r="AC44" s="26" t="n">
        <v>4</v>
      </c>
      <c r="AD44" s="26" t="n">
        <v>4.3</v>
      </c>
      <c r="AE44" s="26" t="n">
        <v>4.1</v>
      </c>
      <c r="AF44" s="26" t="n">
        <v>4.3</v>
      </c>
      <c r="AG44" s="26" t="n">
        <v>4.4</v>
      </c>
      <c r="AH44" s="26" t="n">
        <v>4.4</v>
      </c>
      <c r="AI44" s="26" t="n">
        <v>4.5</v>
      </c>
      <c r="AJ44" s="26" t="n">
        <v>4</v>
      </c>
      <c r="AK44" s="26" t="n">
        <v>4.2</v>
      </c>
      <c r="AL44" s="26" t="n">
        <v>4</v>
      </c>
      <c r="AM44" s="26" t="n">
        <v>3.9</v>
      </c>
      <c r="AN44" s="26" t="n">
        <v>3.8</v>
      </c>
      <c r="AO44" s="26" t="n">
        <v>3.3</v>
      </c>
      <c r="AP44" s="26" t="n">
        <v>3.3</v>
      </c>
      <c r="AQ44" s="26" t="n">
        <v>2.9</v>
      </c>
      <c r="AR44" s="26" t="n">
        <v>2.7</v>
      </c>
      <c r="AS44" s="26" t="n">
        <v>2.3</v>
      </c>
      <c r="AT44" s="26" t="n">
        <v>2</v>
      </c>
      <c r="AU44" s="26" t="n">
        <v>1.7</v>
      </c>
      <c r="AV44" s="26" t="n">
        <v>1.3</v>
      </c>
      <c r="AW44" s="26" t="n">
        <v>0.9</v>
      </c>
      <c r="AX44" s="26" t="n">
        <v>0.6</v>
      </c>
      <c r="AY44" s="27" t="n">
        <v>0.2</v>
      </c>
    </row>
    <row r="45" s="3154" customFormat="1" ht="13.5" customHeight="1">
      <c r="A45" s="1910" t="e">
        <f t="array" ref="A45">'S&amp;U-Timeline'!T47</f>
      </c>
      <c r="B45" s="179" t="e">
        <f t="array" ref="B45">'S&amp;U-Timeline'!P47</f>
      </c>
      <c r="C45" s="3906" t="e">
        <f t="array" ref="C45">'S&amp;U-Timeline'!R47</f>
      </c>
      <c r="D45" s="1914" t="n"/>
      <c r="E45" s="1914" t="n"/>
      <c r="F45" s="1914" t="n"/>
      <c r="G45" s="1914" t="n"/>
      <c r="H45" s="1914" t="n"/>
      <c r="I45" s="1914" t="n"/>
      <c r="J45" s="1914" t="n"/>
      <c r="K45" s="1914" t="n"/>
      <c r="L45" s="1913" t="n"/>
      <c r="M45" s="38" t="str">
        <f t="array" ref="M45">IF(SUM(D45:L45)=0,"HIDE","")</f>
        <v>HIDE</v>
      </c>
      <c r="N45" s="26" t="n"/>
      <c r="O45" s="26" t="n"/>
      <c r="P45" s="26" t="n"/>
      <c r="Q45" s="26" t="n"/>
      <c r="R45" s="26" t="n"/>
      <c r="S45" s="26" t="n"/>
      <c r="T45" s="26" t="n"/>
      <c r="U45" s="26" t="n"/>
      <c r="V45" s="26" t="n"/>
      <c r="W45" s="26" t="n"/>
      <c r="X45" s="26" t="n"/>
      <c r="Y45" s="26" t="n"/>
      <c r="Z45" s="26" t="n"/>
      <c r="AA45" s="26" t="n"/>
      <c r="AB45" s="26" t="n"/>
      <c r="AC45" s="26" t="n"/>
      <c r="AD45" s="26" t="n"/>
      <c r="AE45" s="26" t="n"/>
      <c r="AF45" s="26" t="n"/>
      <c r="AG45" s="26" t="n"/>
      <c r="AH45" s="26" t="n"/>
      <c r="AI45" s="26" t="n"/>
      <c r="AJ45" s="26" t="n"/>
      <c r="AK45" s="26" t="n"/>
      <c r="AL45" s="26" t="n"/>
      <c r="AM45" s="26" t="n"/>
      <c r="AN45" s="26" t="n"/>
      <c r="AO45" s="26" t="n"/>
      <c r="AP45" s="26" t="n"/>
      <c r="AQ45" s="26" t="n"/>
      <c r="AR45" s="26" t="n"/>
      <c r="AS45" s="26" t="n"/>
      <c r="AT45" s="26" t="n"/>
      <c r="AU45" s="26" t="n"/>
      <c r="AV45" s="26" t="n"/>
      <c r="AW45" s="26" t="n"/>
      <c r="AX45" s="26" t="n"/>
      <c r="AY45" s="27" t="n"/>
    </row>
    <row r="46" s="3154" customFormat="1" ht="13.5" customHeight="1">
      <c r="A46" s="1910" t="e">
        <f t="array" ref="A46">'S&amp;U-Timeline'!T48</f>
      </c>
      <c r="B46" s="179" t="e">
        <f t="array" ref="B46">'S&amp;U-Timeline'!P48</f>
      </c>
      <c r="C46" s="3906" t="e">
        <f t="array" ref="C46">'S&amp;U-Timeline'!R48</f>
      </c>
      <c r="D46" s="1914" t="n"/>
      <c r="E46" s="1914" t="n"/>
      <c r="F46" s="1914" t="n"/>
      <c r="G46" s="1914" t="n"/>
      <c r="H46" s="1914" t="n"/>
      <c r="I46" s="1914" t="n"/>
      <c r="J46" s="1914" t="n"/>
      <c r="K46" s="1914" t="n"/>
      <c r="L46" s="1913" t="n"/>
      <c r="M46" s="38" t="str">
        <f t="array" ref="M46">IF(SUM(D46:L46)=0,"HIDE","")</f>
        <v>HIDE</v>
      </c>
      <c r="N46" s="26" t="n"/>
      <c r="O46" s="26" t="n"/>
      <c r="P46" s="26" t="n"/>
      <c r="Q46" s="26" t="n"/>
      <c r="R46" s="26" t="n"/>
      <c r="S46" s="26" t="n"/>
      <c r="T46" s="26" t="n"/>
      <c r="U46" s="26" t="n"/>
      <c r="V46" s="26" t="n"/>
      <c r="W46" s="26" t="n"/>
      <c r="X46" s="26" t="n"/>
      <c r="Y46" s="26" t="n"/>
      <c r="Z46" s="26" t="n"/>
      <c r="AA46" s="26" t="n"/>
      <c r="AB46" s="26" t="n"/>
      <c r="AC46" s="26" t="n"/>
      <c r="AD46" s="26" t="n"/>
      <c r="AE46" s="26" t="n"/>
      <c r="AF46" s="26" t="n"/>
      <c r="AG46" s="26" t="n"/>
      <c r="AH46" s="26" t="n"/>
      <c r="AI46" s="26" t="n"/>
      <c r="AJ46" s="26" t="n"/>
      <c r="AK46" s="26" t="n"/>
      <c r="AL46" s="26" t="n"/>
      <c r="AM46" s="26" t="n"/>
      <c r="AN46" s="26" t="n"/>
      <c r="AO46" s="26" t="n"/>
      <c r="AP46" s="26" t="n"/>
      <c r="AQ46" s="26" t="n"/>
      <c r="AR46" s="26" t="n"/>
      <c r="AS46" s="26" t="n"/>
      <c r="AT46" s="26" t="n"/>
      <c r="AU46" s="26" t="n"/>
      <c r="AV46" s="26" t="n"/>
      <c r="AW46" s="26" t="n"/>
      <c r="AX46" s="26" t="n"/>
      <c r="AY46" s="27" t="n"/>
    </row>
    <row r="47" s="3154" customFormat="1" ht="13.5" customHeight="1">
      <c r="A47" s="1910" t="e">
        <f t="array" ref="A47">'S&amp;U-Timeline'!T49</f>
      </c>
      <c r="B47" s="179" t="e">
        <f t="array" ref="B47">'S&amp;U-Timeline'!P49</f>
      </c>
      <c r="C47" s="3906" t="e">
        <f t="array" ref="C47">'S&amp;U-Timeline'!R49</f>
      </c>
      <c r="D47" s="1914" t="n"/>
      <c r="E47" s="1914" t="n"/>
      <c r="F47" s="1914" t="n"/>
      <c r="G47" s="1914" t="n"/>
      <c r="H47" s="1914" t="n"/>
      <c r="I47" s="1914" t="n"/>
      <c r="J47" s="1914" t="n"/>
      <c r="K47" s="1914" t="n"/>
      <c r="L47" s="1913" t="n"/>
      <c r="M47" s="38" t="str">
        <f t="array" ref="M47">IF(SUM(D47:L47)=0,"HIDE","")</f>
        <v>HIDE</v>
      </c>
      <c r="N47" s="26" t="n"/>
      <c r="O47" s="26" t="n"/>
      <c r="P47" s="26" t="n"/>
      <c r="Q47" s="26" t="n"/>
      <c r="R47" s="26" t="n"/>
      <c r="S47" s="26" t="n"/>
      <c r="T47" s="26" t="n"/>
      <c r="U47" s="26" t="n"/>
      <c r="V47" s="26" t="n"/>
      <c r="W47" s="26" t="n"/>
      <c r="X47" s="26" t="n"/>
      <c r="Y47" s="26" t="n"/>
      <c r="Z47" s="26" t="n"/>
      <c r="AA47" s="26" t="n"/>
      <c r="AB47" s="26" t="n"/>
      <c r="AC47" s="26" t="n"/>
      <c r="AD47" s="26" t="n"/>
      <c r="AE47" s="26" t="n"/>
      <c r="AF47" s="26" t="n"/>
      <c r="AG47" s="26" t="n"/>
      <c r="AH47" s="26" t="n"/>
      <c r="AI47" s="26" t="n"/>
      <c r="AJ47" s="26" t="n"/>
      <c r="AK47" s="26" t="n"/>
      <c r="AL47" s="26" t="n"/>
      <c r="AM47" s="26" t="n"/>
      <c r="AN47" s="26" t="n"/>
      <c r="AO47" s="26" t="n"/>
      <c r="AP47" s="26" t="n"/>
      <c r="AQ47" s="26" t="n"/>
      <c r="AR47" s="26" t="n"/>
      <c r="AS47" s="26" t="n"/>
      <c r="AT47" s="26" t="n"/>
      <c r="AU47" s="26" t="n"/>
      <c r="AV47" s="26" t="n"/>
      <c r="AW47" s="26" t="n"/>
      <c r="AX47" s="26" t="n"/>
      <c r="AY47" s="27" t="n"/>
    </row>
    <row r="48" s="3154" customFormat="1" ht="13.5" customHeight="1">
      <c r="A48" s="1910" t="e">
        <f t="array" ref="A48">'S&amp;U-Timeline'!T50</f>
      </c>
      <c r="B48" s="179" t="e">
        <f t="array" ref="B48">'S&amp;U-Timeline'!P50</f>
      </c>
      <c r="C48" s="3906" t="e">
        <f t="array" ref="C48">'S&amp;U-Timeline'!R50</f>
      </c>
      <c r="D48" s="1914" t="n"/>
      <c r="E48" s="1914" t="n"/>
      <c r="F48" s="1914" t="n"/>
      <c r="G48" s="1914" t="n"/>
      <c r="H48" s="1914" t="n"/>
      <c r="I48" s="1914" t="n"/>
      <c r="J48" s="1914" t="n"/>
      <c r="K48" s="1914" t="n"/>
      <c r="L48" s="1913" t="n"/>
      <c r="M48" s="38" t="str">
        <f t="array" ref="M48">IF(SUM(D48:L48)=0,"HIDE","")</f>
        <v>HIDE</v>
      </c>
      <c r="N48" s="26" t="n"/>
      <c r="O48" s="26" t="n"/>
      <c r="P48" s="26" t="n">
        <v>0.96</v>
      </c>
      <c r="Q48" s="26" t="n">
        <f t="array" ref="Q48">P48/100</f>
        <v>0.0096</v>
      </c>
      <c r="R48" s="26" t="n"/>
      <c r="S48" s="26" t="n"/>
      <c r="T48" s="26" t="n"/>
      <c r="U48" s="26" t="n"/>
      <c r="V48" s="26" t="n"/>
      <c r="W48" s="26" t="n"/>
      <c r="X48" s="26" t="n"/>
      <c r="Y48" s="26" t="n"/>
      <c r="Z48" s="26" t="n"/>
      <c r="AA48" s="26" t="n"/>
      <c r="AB48" s="26" t="n"/>
      <c r="AC48" s="26" t="n"/>
      <c r="AD48" s="26" t="n"/>
      <c r="AE48" s="26" t="n"/>
      <c r="AF48" s="26" t="n"/>
      <c r="AG48" s="26" t="n"/>
      <c r="AH48" s="26" t="n"/>
      <c r="AI48" s="26" t="n"/>
      <c r="AJ48" s="26" t="n"/>
      <c r="AK48" s="26" t="n"/>
      <c r="AL48" s="26" t="n"/>
      <c r="AM48" s="26" t="n"/>
      <c r="AN48" s="26" t="n"/>
      <c r="AO48" s="26" t="n"/>
      <c r="AP48" s="26" t="n"/>
      <c r="AQ48" s="26" t="n"/>
      <c r="AR48" s="26" t="n"/>
      <c r="AS48" s="26" t="n"/>
      <c r="AT48" s="26" t="n"/>
      <c r="AU48" s="26" t="n"/>
      <c r="AV48" s="26" t="n"/>
      <c r="AW48" s="26" t="n"/>
      <c r="AX48" s="26" t="n"/>
      <c r="AY48" s="27" t="n"/>
    </row>
    <row r="49" s="3154" customFormat="1" ht="13.5" customHeight="1">
      <c r="A49" s="1910" t="e">
        <f t="array" ref="A49">'S&amp;U-Timeline'!T51</f>
      </c>
      <c r="B49" s="179" t="e">
        <f t="array" ref="B49">'S&amp;U-Timeline'!P51</f>
      </c>
      <c r="C49" s="3906" t="e">
        <f t="array" ref="C49">'S&amp;U-Timeline'!R51</f>
      </c>
      <c r="D49" s="1914" t="n"/>
      <c r="E49" s="1914" t="n"/>
      <c r="F49" s="1914" t="n"/>
      <c r="G49" s="1914" t="n"/>
      <c r="H49" s="1914" t="n"/>
      <c r="I49" s="1914" t="n"/>
      <c r="J49" s="1914" t="n"/>
      <c r="K49" s="1914" t="n"/>
      <c r="L49" s="1913" t="n"/>
      <c r="M49" s="38" t="str">
        <f t="array" ref="M49">IF(SUM(D49:L49)=0,"HIDE","")</f>
        <v>HIDE</v>
      </c>
      <c r="N49" s="26" t="n"/>
      <c r="O49" s="26" t="n"/>
      <c r="P49" s="26" t="n">
        <v>2.84</v>
      </c>
      <c r="Q49" s="26" t="n">
        <f t="array" ref="Q49">P49/100</f>
        <v>0.028399999999999998</v>
      </c>
      <c r="R49" s="26" t="n"/>
      <c r="S49" s="26" t="n"/>
      <c r="T49" s="26" t="n"/>
      <c r="U49" s="26" t="n"/>
      <c r="V49" s="26" t="n"/>
      <c r="W49" s="26" t="n"/>
      <c r="X49" s="26" t="n"/>
      <c r="Y49" s="26" t="n"/>
      <c r="Z49" s="26" t="n"/>
      <c r="AA49" s="26" t="n"/>
      <c r="AB49" s="26" t="n"/>
      <c r="AC49" s="26" t="n"/>
      <c r="AD49" s="26" t="n"/>
      <c r="AE49" s="26" t="n"/>
      <c r="AF49" s="26" t="n"/>
      <c r="AG49" s="26" t="n"/>
      <c r="AH49" s="26" t="n"/>
      <c r="AI49" s="26" t="n"/>
      <c r="AJ49" s="26" t="n"/>
      <c r="AK49" s="26" t="n"/>
      <c r="AL49" s="26" t="n"/>
      <c r="AM49" s="26" t="n"/>
      <c r="AN49" s="26" t="n"/>
      <c r="AO49" s="26" t="n"/>
      <c r="AP49" s="26" t="n"/>
      <c r="AQ49" s="26" t="n"/>
      <c r="AR49" s="26" t="n"/>
      <c r="AS49" s="26" t="n"/>
      <c r="AT49" s="26" t="n"/>
      <c r="AU49" s="26" t="n"/>
      <c r="AV49" s="26" t="n"/>
      <c r="AW49" s="26" t="n"/>
      <c r="AX49" s="26" t="n"/>
      <c r="AY49" s="27" t="n"/>
    </row>
    <row r="50" s="3154" customFormat="1" ht="13.5" customHeight="1">
      <c r="A50" s="1910" t="e">
        <f t="array" ref="A50">'S&amp;U-Timeline'!T52</f>
      </c>
      <c r="B50" s="179" t="e">
        <f t="array" ref="B50">'S&amp;U-Timeline'!P52</f>
      </c>
      <c r="C50" s="3906" t="e">
        <f t="array" ref="C50">'S&amp;U-Timeline'!R52</f>
      </c>
      <c r="D50" s="1914" t="n"/>
      <c r="E50" s="1914" t="n"/>
      <c r="F50" s="1914" t="n"/>
      <c r="G50" s="1914" t="n"/>
      <c r="H50" s="1914" t="n"/>
      <c r="I50" s="1914" t="n"/>
      <c r="J50" s="1914" t="n"/>
      <c r="K50" s="1914" t="n"/>
      <c r="L50" s="1913" t="n"/>
      <c r="M50" s="38" t="str">
        <f t="array" ref="M50">IF(SUM(D50:L50)=0,"HIDE","")</f>
        <v>HIDE</v>
      </c>
      <c r="N50" s="26" t="n"/>
      <c r="O50" s="26" t="n"/>
      <c r="P50" s="26" t="n">
        <v>4.7</v>
      </c>
      <c r="Q50" s="26" t="n">
        <f t="array" ref="Q50">P50/100</f>
        <v>0.047</v>
      </c>
      <c r="R50" s="26" t="n"/>
      <c r="S50" s="26" t="n"/>
      <c r="T50" s="26" t="n"/>
      <c r="U50" s="26" t="n"/>
      <c r="V50" s="26" t="n"/>
      <c r="W50" s="26" t="n"/>
      <c r="X50" s="26" t="n"/>
      <c r="Y50" s="26" t="n"/>
      <c r="Z50" s="26" t="n"/>
      <c r="AA50" s="26" t="n"/>
      <c r="AB50" s="26" t="n"/>
      <c r="AC50" s="26" t="n"/>
      <c r="AD50" s="26" t="n"/>
      <c r="AE50" s="26" t="n"/>
      <c r="AF50" s="26" t="n"/>
      <c r="AG50" s="26" t="n"/>
      <c r="AH50" s="26" t="n"/>
      <c r="AI50" s="26" t="n"/>
      <c r="AJ50" s="26" t="n"/>
      <c r="AK50" s="26" t="n"/>
      <c r="AL50" s="26" t="n"/>
      <c r="AM50" s="26" t="n"/>
      <c r="AN50" s="26" t="n"/>
      <c r="AO50" s="26" t="n"/>
      <c r="AP50" s="26" t="n"/>
      <c r="AQ50" s="26" t="n"/>
      <c r="AR50" s="26" t="n"/>
      <c r="AS50" s="26" t="n"/>
      <c r="AT50" s="26" t="n"/>
      <c r="AU50" s="26" t="n"/>
      <c r="AV50" s="26" t="n"/>
      <c r="AW50" s="26" t="n"/>
      <c r="AX50" s="26" t="n"/>
      <c r="AY50" s="27" t="n"/>
    </row>
    <row r="51" s="3154" customFormat="1" ht="13.5" customHeight="1">
      <c r="A51" s="1910" t="e">
        <f t="array" ref="A51">'S&amp;U-Timeline'!T53</f>
      </c>
      <c r="B51" s="179" t="e">
        <f t="array" ref="B51">'S&amp;U-Timeline'!P53</f>
      </c>
      <c r="C51" s="3906" t="e">
        <f t="array" ref="C51">'S&amp;U-Timeline'!R53</f>
      </c>
      <c r="D51" s="1914" t="n"/>
      <c r="E51" s="1914" t="n"/>
      <c r="F51" s="1914" t="n"/>
      <c r="G51" s="1914" t="n"/>
      <c r="H51" s="1914" t="n"/>
      <c r="I51" s="1914" t="n"/>
      <c r="J51" s="1914" t="n"/>
      <c r="K51" s="1914" t="n"/>
      <c r="L51" s="1913" t="n"/>
      <c r="M51" s="38" t="str">
        <f t="array" ref="M51">IF(SUM(D51:L51)=0,"HIDE","")</f>
        <v>HIDE</v>
      </c>
      <c r="N51" s="26" t="n"/>
      <c r="O51" s="26" t="n"/>
      <c r="P51" s="26" t="n">
        <v>6.2</v>
      </c>
      <c r="Q51" s="26" t="n">
        <f t="array" ref="Q51">P51/100</f>
        <v>0.062</v>
      </c>
      <c r="R51" s="26" t="n"/>
      <c r="S51" s="26" t="n"/>
      <c r="T51" s="26" t="n"/>
      <c r="U51" s="26" t="n"/>
      <c r="V51" s="26" t="n"/>
      <c r="W51" s="26" t="n"/>
      <c r="X51" s="26" t="n"/>
      <c r="Y51" s="26" t="n"/>
      <c r="Z51" s="26" t="n"/>
      <c r="AA51" s="26" t="n"/>
      <c r="AB51" s="26" t="n"/>
      <c r="AC51" s="26" t="n"/>
      <c r="AD51" s="26" t="n"/>
      <c r="AE51" s="26" t="n"/>
      <c r="AF51" s="26" t="n"/>
      <c r="AG51" s="26" t="n"/>
      <c r="AH51" s="26" t="n"/>
      <c r="AI51" s="26" t="n"/>
      <c r="AJ51" s="26" t="n"/>
      <c r="AK51" s="26" t="n"/>
      <c r="AL51" s="26" t="n"/>
      <c r="AM51" s="26" t="n"/>
      <c r="AN51" s="26" t="n"/>
      <c r="AO51" s="26" t="n"/>
      <c r="AP51" s="26" t="n"/>
      <c r="AQ51" s="26" t="n"/>
      <c r="AR51" s="26" t="n"/>
      <c r="AS51" s="26" t="n"/>
      <c r="AT51" s="26" t="n"/>
      <c r="AU51" s="26" t="n"/>
      <c r="AV51" s="26" t="n"/>
      <c r="AW51" s="26" t="n"/>
      <c r="AX51" s="26" t="n"/>
      <c r="AY51" s="27" t="n"/>
    </row>
    <row r="52" s="3154" customFormat="1" ht="13.5" customHeight="1">
      <c r="A52" s="1910" t="e">
        <f t="array" ref="A52">'S&amp;U-Timeline'!T54</f>
      </c>
      <c r="B52" s="179" t="e">
        <f t="array" ref="B52">'S&amp;U-Timeline'!P54</f>
      </c>
      <c r="C52" s="3906" t="e">
        <f t="array" ref="C52">'S&amp;U-Timeline'!R54</f>
      </c>
      <c r="D52" s="1914" t="n"/>
      <c r="E52" s="1914" t="n"/>
      <c r="F52" s="1914" t="n"/>
      <c r="G52" s="1914" t="n"/>
      <c r="H52" s="1914" t="n"/>
      <c r="I52" s="1914" t="n"/>
      <c r="J52" s="1914" t="n"/>
      <c r="K52" s="1914" t="n"/>
      <c r="L52" s="1913" t="n"/>
      <c r="M52" s="38" t="str">
        <f t="array" ref="M52">IF(SUM(D52:L52)=0,"HIDE","")</f>
        <v>HIDE</v>
      </c>
      <c r="N52" s="26" t="n"/>
      <c r="O52" s="26" t="n"/>
      <c r="P52" s="26" t="n">
        <v>7.6</v>
      </c>
      <c r="Q52" s="26" t="n">
        <f t="array" ref="Q52">P52/100</f>
        <v>0.076</v>
      </c>
      <c r="R52" s="26" t="n"/>
      <c r="S52" s="26" t="n"/>
      <c r="T52" s="26" t="n"/>
      <c r="U52" s="26" t="n"/>
      <c r="V52" s="26" t="n"/>
      <c r="W52" s="26" t="n"/>
      <c r="X52" s="26" t="n"/>
      <c r="Y52" s="26" t="n"/>
      <c r="Z52" s="26" t="n"/>
      <c r="AA52" s="26" t="n"/>
      <c r="AB52" s="26" t="n"/>
      <c r="AC52" s="26" t="n"/>
      <c r="AD52" s="26" t="n"/>
      <c r="AE52" s="26" t="n"/>
      <c r="AF52" s="26" t="n"/>
      <c r="AG52" s="26" t="n"/>
      <c r="AH52" s="26" t="n"/>
      <c r="AI52" s="26" t="n"/>
      <c r="AJ52" s="26" t="n"/>
      <c r="AK52" s="26" t="n"/>
      <c r="AL52" s="26" t="n"/>
      <c r="AM52" s="26" t="n"/>
      <c r="AN52" s="26" t="n"/>
      <c r="AO52" s="26" t="n"/>
      <c r="AP52" s="26" t="n"/>
      <c r="AQ52" s="26" t="n"/>
      <c r="AR52" s="26" t="n"/>
      <c r="AS52" s="26" t="n"/>
      <c r="AT52" s="26" t="n"/>
      <c r="AU52" s="26" t="n"/>
      <c r="AV52" s="26" t="n"/>
      <c r="AW52" s="26" t="n"/>
      <c r="AX52" s="26" t="n"/>
      <c r="AY52" s="27" t="n"/>
    </row>
    <row r="53" s="3154" customFormat="1" ht="13.5" customHeight="1">
      <c r="A53" s="1910" t="e">
        <f t="array" ref="A53">'S&amp;U-Timeline'!T55</f>
      </c>
      <c r="B53" s="179" t="e">
        <f t="array" ref="B53">'S&amp;U-Timeline'!P55</f>
      </c>
      <c r="C53" s="3906" t="e">
        <f t="array" ref="C53">'S&amp;U-Timeline'!R55</f>
      </c>
      <c r="D53" s="1914" t="n"/>
      <c r="E53" s="1914" t="n"/>
      <c r="F53" s="1914" t="n"/>
      <c r="G53" s="1914" t="n"/>
      <c r="H53" s="1914" t="n"/>
      <c r="I53" s="1914" t="n"/>
      <c r="J53" s="1914" t="n"/>
      <c r="K53" s="1914" t="n"/>
      <c r="L53" s="1913" t="n"/>
      <c r="M53" s="38" t="str">
        <f t="array" ref="M53">IF(SUM(D53:L53)=0,"HIDE","")</f>
        <v>HIDE</v>
      </c>
      <c r="N53" s="26" t="n"/>
      <c r="O53" s="26" t="n"/>
      <c r="P53" s="26" t="n">
        <v>7.8</v>
      </c>
      <c r="Q53" s="26" t="n">
        <f t="array" ref="Q53">P53/100</f>
        <v>0.078</v>
      </c>
      <c r="R53" s="26" t="n"/>
      <c r="S53" s="26" t="n"/>
      <c r="T53" s="26" t="n"/>
      <c r="U53" s="26" t="n"/>
      <c r="V53" s="26" t="n"/>
      <c r="W53" s="26" t="n"/>
      <c r="X53" s="26" t="n"/>
      <c r="Y53" s="26" t="n"/>
      <c r="Z53" s="26" t="n"/>
      <c r="AA53" s="26" t="n"/>
      <c r="AB53" s="26" t="n"/>
      <c r="AC53" s="26" t="n"/>
      <c r="AD53" s="26" t="n"/>
      <c r="AE53" s="26" t="n"/>
      <c r="AF53" s="26" t="n"/>
      <c r="AG53" s="26" t="n"/>
      <c r="AH53" s="26" t="n"/>
      <c r="AI53" s="26" t="n"/>
      <c r="AJ53" s="26" t="n"/>
      <c r="AK53" s="26" t="n"/>
      <c r="AL53" s="26" t="n"/>
      <c r="AM53" s="26" t="n"/>
      <c r="AN53" s="26" t="n"/>
      <c r="AO53" s="26" t="n"/>
      <c r="AP53" s="26" t="n"/>
      <c r="AQ53" s="26" t="n"/>
      <c r="AR53" s="26" t="n"/>
      <c r="AS53" s="26" t="n"/>
      <c r="AT53" s="26" t="n"/>
      <c r="AU53" s="26" t="n"/>
      <c r="AV53" s="26" t="n"/>
      <c r="AW53" s="26" t="n"/>
      <c r="AX53" s="26" t="n"/>
      <c r="AY53" s="27" t="n"/>
    </row>
    <row r="54" s="3154" customFormat="1" ht="13.5" customHeight="1">
      <c r="A54" s="1910" t="e">
        <f t="array" ref="A54">'S&amp;U-Timeline'!T56</f>
      </c>
      <c r="B54" s="179" t="e">
        <f t="array" ref="B54">'S&amp;U-Timeline'!P56</f>
      </c>
      <c r="C54" s="3906" t="e">
        <f t="array" ref="C54">'S&amp;U-Timeline'!R56</f>
      </c>
      <c r="D54" s="1914" t="n"/>
      <c r="E54" s="1914" t="n"/>
      <c r="F54" s="1914" t="n"/>
      <c r="G54" s="1914" t="n"/>
      <c r="H54" s="1914" t="n"/>
      <c r="I54" s="1914" t="n"/>
      <c r="J54" s="1914" t="n"/>
      <c r="K54" s="1914" t="n"/>
      <c r="L54" s="1913" t="n"/>
      <c r="M54" s="38" t="str">
        <f t="array" ref="M54">IF(SUM(D54:L54)=0,"HIDE","")</f>
        <v>HIDE</v>
      </c>
      <c r="N54" s="26" t="n"/>
      <c r="O54" s="26" t="n"/>
      <c r="P54" s="26" t="n">
        <v>10.2</v>
      </c>
      <c r="Q54" s="26" t="n">
        <f t="array" ref="Q54">P54/100</f>
        <v>0.102</v>
      </c>
      <c r="R54" s="26" t="n"/>
      <c r="S54" s="26" t="n"/>
      <c r="T54" s="26" t="n"/>
      <c r="U54" s="26" t="n"/>
      <c r="V54" s="26" t="n"/>
      <c r="W54" s="26" t="n"/>
      <c r="X54" s="26" t="n"/>
      <c r="Y54" s="26" t="n"/>
      <c r="Z54" s="26" t="n"/>
      <c r="AA54" s="26" t="n"/>
      <c r="AB54" s="26" t="n"/>
      <c r="AC54" s="26" t="n"/>
      <c r="AD54" s="26" t="n"/>
      <c r="AE54" s="26" t="n"/>
      <c r="AF54" s="26" t="n"/>
      <c r="AG54" s="26" t="n"/>
      <c r="AH54" s="26" t="n"/>
      <c r="AI54" s="26" t="n"/>
      <c r="AJ54" s="26" t="n"/>
      <c r="AK54" s="26" t="n"/>
      <c r="AL54" s="26" t="n"/>
      <c r="AM54" s="26" t="n"/>
      <c r="AN54" s="26" t="n"/>
      <c r="AO54" s="26" t="n"/>
      <c r="AP54" s="26" t="n"/>
      <c r="AQ54" s="26" t="n"/>
      <c r="AR54" s="26" t="n"/>
      <c r="AS54" s="26" t="n"/>
      <c r="AT54" s="26" t="n"/>
      <c r="AU54" s="26" t="n"/>
      <c r="AV54" s="26" t="n"/>
      <c r="AW54" s="26" t="n"/>
      <c r="AX54" s="26" t="n"/>
      <c r="AY54" s="27" t="n"/>
    </row>
    <row r="55" s="3154" customFormat="1" ht="13.5" customHeight="1">
      <c r="A55" s="1910" t="e">
        <f t="array" ref="A55">'S&amp;U-Timeline'!T57</f>
      </c>
      <c r="B55" s="179" t="e">
        <f t="array" ref="B55">'S&amp;U-Timeline'!P57</f>
      </c>
      <c r="C55" s="3906" t="e">
        <f t="array" ref="C55">'S&amp;U-Timeline'!R57</f>
      </c>
      <c r="D55" s="1914" t="n"/>
      <c r="E55" s="1914" t="n"/>
      <c r="F55" s="1914" t="n"/>
      <c r="G55" s="1914" t="n"/>
      <c r="H55" s="1914" t="n"/>
      <c r="I55" s="1914" t="n"/>
      <c r="J55" s="1914" t="n"/>
      <c r="K55" s="1914" t="n"/>
      <c r="L55" s="1913" t="n"/>
      <c r="M55" s="38" t="str">
        <f t="array" ref="M55">IF(SUM(D55:L55)=0,"HIDE","")</f>
        <v>HIDE</v>
      </c>
      <c r="N55" s="26" t="n"/>
      <c r="O55" s="26" t="n"/>
      <c r="P55" s="26" t="n">
        <v>9.699999999999999</v>
      </c>
      <c r="Q55" s="26" t="n">
        <f t="array" ref="Q55">P55/100</f>
        <v>0.09699999999999999</v>
      </c>
      <c r="R55" s="26" t="n"/>
      <c r="S55" s="26" t="n"/>
      <c r="T55" s="26" t="n"/>
      <c r="U55" s="26" t="n"/>
      <c r="V55" s="26" t="n"/>
      <c r="W55" s="26" t="n"/>
      <c r="X55" s="26" t="n"/>
      <c r="Y55" s="26" t="n"/>
      <c r="Z55" s="26" t="n"/>
      <c r="AA55" s="26" t="n"/>
      <c r="AB55" s="26" t="n"/>
      <c r="AC55" s="26" t="n"/>
      <c r="AD55" s="26" t="n"/>
      <c r="AE55" s="26" t="n"/>
      <c r="AF55" s="26" t="n"/>
      <c r="AG55" s="26" t="n"/>
      <c r="AH55" s="26" t="n"/>
      <c r="AI55" s="26" t="n"/>
      <c r="AJ55" s="26" t="n"/>
      <c r="AK55" s="26" t="n"/>
      <c r="AL55" s="26" t="n"/>
      <c r="AM55" s="26" t="n"/>
      <c r="AN55" s="26" t="n"/>
      <c r="AO55" s="26" t="n"/>
      <c r="AP55" s="26" t="n"/>
      <c r="AQ55" s="26" t="n"/>
      <c r="AR55" s="26" t="n"/>
      <c r="AS55" s="26" t="n"/>
      <c r="AT55" s="26" t="n"/>
      <c r="AU55" s="26" t="n"/>
      <c r="AV55" s="26" t="n"/>
      <c r="AW55" s="26" t="n"/>
      <c r="AX55" s="26" t="n"/>
      <c r="AY55" s="27" t="n"/>
    </row>
    <row r="56" s="3154" customFormat="1" ht="13.5" customHeight="1">
      <c r="A56" s="1910" t="e">
        <f t="array" ref="A56">'S&amp;U-Timeline'!T58</f>
      </c>
      <c r="B56" s="179" t="e">
        <f t="array" ref="B56">'S&amp;U-Timeline'!P58</f>
      </c>
      <c r="C56" s="3906" t="e">
        <f t="array" ref="C56">'S&amp;U-Timeline'!R58</f>
      </c>
      <c r="D56" s="1914" t="n"/>
      <c r="E56" s="1914" t="n"/>
      <c r="F56" s="1914" t="n"/>
      <c r="G56" s="1914" t="n"/>
      <c r="H56" s="1914" t="n"/>
      <c r="I56" s="1914" t="n"/>
      <c r="J56" s="1914" t="n"/>
      <c r="K56" s="1914" t="n"/>
      <c r="L56" s="1913" t="n"/>
      <c r="M56" s="38" t="str">
        <f t="array" ref="M56">IF(SUM(D56:L56)=0,"HIDE","")</f>
        <v>HIDE</v>
      </c>
      <c r="N56" s="26" t="n"/>
      <c r="O56" s="26" t="n"/>
      <c r="P56" s="26" t="n">
        <v>9.699999999999999</v>
      </c>
      <c r="Q56" s="26" t="n">
        <f t="array" ref="Q56">P56/100</f>
        <v>0.09699999999999999</v>
      </c>
      <c r="R56" s="26" t="n"/>
      <c r="S56" s="26" t="n"/>
      <c r="T56" s="26" t="n"/>
      <c r="U56" s="26" t="n"/>
      <c r="V56" s="26" t="n"/>
      <c r="W56" s="26" t="n"/>
      <c r="X56" s="26" t="n"/>
      <c r="Y56" s="26" t="n"/>
      <c r="Z56" s="26" t="n"/>
      <c r="AA56" s="26" t="n"/>
      <c r="AB56" s="26" t="n"/>
      <c r="AC56" s="26" t="n"/>
      <c r="AD56" s="26" t="n"/>
      <c r="AE56" s="26" t="n"/>
      <c r="AF56" s="26" t="n"/>
      <c r="AG56" s="26" t="n"/>
      <c r="AH56" s="26" t="n"/>
      <c r="AI56" s="26" t="n"/>
      <c r="AJ56" s="26" t="n"/>
      <c r="AK56" s="26" t="n"/>
      <c r="AL56" s="26" t="n"/>
      <c r="AM56" s="26" t="n"/>
      <c r="AN56" s="26" t="n"/>
      <c r="AO56" s="26" t="n"/>
      <c r="AP56" s="26" t="n"/>
      <c r="AQ56" s="26" t="n"/>
      <c r="AR56" s="26" t="n"/>
      <c r="AS56" s="26" t="n"/>
      <c r="AT56" s="26" t="n"/>
      <c r="AU56" s="26" t="n"/>
      <c r="AV56" s="26" t="n"/>
      <c r="AW56" s="26" t="n"/>
      <c r="AX56" s="26" t="n"/>
      <c r="AY56" s="27" t="n"/>
    </row>
    <row r="57" s="3154" customFormat="1" ht="13.5" customHeight="1">
      <c r="A57" s="1910" t="e">
        <f t="array" ref="A57">'S&amp;U-Timeline'!T59</f>
      </c>
      <c r="B57" s="179" t="e">
        <f t="array" ref="B57">'S&amp;U-Timeline'!P59</f>
      </c>
      <c r="C57" s="3906" t="e">
        <f t="array" ref="C57">'S&amp;U-Timeline'!R59</f>
      </c>
      <c r="D57" s="1914" t="n"/>
      <c r="E57" s="1914" t="n"/>
      <c r="F57" s="1914" t="n"/>
      <c r="G57" s="1914" t="n"/>
      <c r="H57" s="1914" t="n"/>
      <c r="I57" s="1914" t="n"/>
      <c r="J57" s="1914" t="n"/>
      <c r="K57" s="1914" t="n"/>
      <c r="L57" s="1913" t="n"/>
      <c r="M57" s="38" t="str">
        <f t="array" ref="M57">IF(SUM(D57:L57)=0,"HIDE","")</f>
        <v>HIDE</v>
      </c>
      <c r="N57" s="26" t="n"/>
      <c r="O57" s="26" t="n"/>
      <c r="P57" s="26" t="n">
        <v>9.5</v>
      </c>
      <c r="Q57" s="26" t="n">
        <f t="array" ref="Q57">P57/100</f>
        <v>0.095</v>
      </c>
      <c r="R57" s="26" t="n"/>
      <c r="S57" s="26" t="n"/>
      <c r="T57" s="26" t="n"/>
      <c r="U57" s="26" t="n"/>
      <c r="V57" s="26" t="n"/>
      <c r="W57" s="26" t="n"/>
      <c r="X57" s="26" t="n"/>
      <c r="Y57" s="26" t="n"/>
      <c r="Z57" s="26" t="n"/>
      <c r="AA57" s="26" t="n"/>
      <c r="AB57" s="26" t="n"/>
      <c r="AC57" s="26" t="n"/>
      <c r="AD57" s="26" t="n"/>
      <c r="AE57" s="26" t="n"/>
      <c r="AF57" s="26" t="n"/>
      <c r="AG57" s="26" t="n"/>
      <c r="AH57" s="26" t="n"/>
      <c r="AI57" s="26" t="n"/>
      <c r="AJ57" s="26" t="n"/>
      <c r="AK57" s="26" t="n"/>
      <c r="AL57" s="26" t="n"/>
      <c r="AM57" s="26" t="n"/>
      <c r="AN57" s="26" t="n"/>
      <c r="AO57" s="26" t="n"/>
      <c r="AP57" s="26" t="n"/>
      <c r="AQ57" s="26" t="n"/>
      <c r="AR57" s="26" t="n"/>
      <c r="AS57" s="26" t="n"/>
      <c r="AT57" s="26" t="n"/>
      <c r="AU57" s="26" t="n"/>
      <c r="AV57" s="26" t="n"/>
      <c r="AW57" s="26" t="n"/>
      <c r="AX57" s="26" t="n"/>
      <c r="AY57" s="27" t="n"/>
    </row>
    <row r="58" s="3154" customFormat="1" ht="13.5" customHeight="1">
      <c r="A58" s="1910" t="e">
        <f t="array" ref="A58">'S&amp;U-Timeline'!T60</f>
      </c>
      <c r="B58" s="179" t="e">
        <f t="array" ref="B58">'S&amp;U-Timeline'!P60</f>
      </c>
      <c r="C58" s="3906" t="e">
        <f t="array" ref="C58">'S&amp;U-Timeline'!R60</f>
      </c>
      <c r="D58" s="1914" t="n"/>
      <c r="E58" s="1914" t="n"/>
      <c r="F58" s="1914" t="n"/>
      <c r="G58" s="1914" t="n"/>
      <c r="H58" s="1914" t="n"/>
      <c r="I58" s="1914" t="n"/>
      <c r="J58" s="1914" t="n"/>
      <c r="K58" s="1914" t="n"/>
      <c r="L58" s="1913" t="n"/>
      <c r="M58" s="38" t="str">
        <f t="array" ref="M58">IF(SUM(D58:L58)=0,"HIDE","")</f>
        <v>HIDE</v>
      </c>
      <c r="N58" s="26" t="n"/>
      <c r="O58" s="26" t="n"/>
      <c r="P58" s="26" t="n">
        <v>8.6</v>
      </c>
      <c r="Q58" s="26" t="n">
        <f t="array" ref="Q58">P58/100</f>
        <v>0.086</v>
      </c>
      <c r="R58" s="26" t="n"/>
      <c r="S58" s="26" t="n"/>
      <c r="T58" s="26" t="n"/>
      <c r="U58" s="26" t="n"/>
      <c r="V58" s="26" t="n"/>
      <c r="W58" s="26" t="n"/>
      <c r="X58" s="26" t="n"/>
      <c r="Y58" s="26" t="n"/>
      <c r="Z58" s="26" t="n"/>
      <c r="AA58" s="26" t="n"/>
      <c r="AB58" s="26" t="n"/>
      <c r="AC58" s="26" t="n"/>
      <c r="AD58" s="26" t="n"/>
      <c r="AE58" s="26" t="n"/>
      <c r="AF58" s="26" t="n"/>
      <c r="AG58" s="26" t="n"/>
      <c r="AH58" s="26" t="n"/>
      <c r="AI58" s="26" t="n"/>
      <c r="AJ58" s="26" t="n"/>
      <c r="AK58" s="26" t="n"/>
      <c r="AL58" s="26" t="n"/>
      <c r="AM58" s="26" t="n"/>
      <c r="AN58" s="26" t="n"/>
      <c r="AO58" s="26" t="n"/>
      <c r="AP58" s="26" t="n"/>
      <c r="AQ58" s="26" t="n"/>
      <c r="AR58" s="26" t="n"/>
      <c r="AS58" s="26" t="n"/>
      <c r="AT58" s="26" t="n"/>
      <c r="AU58" s="26" t="n"/>
      <c r="AV58" s="26" t="n"/>
      <c r="AW58" s="26" t="n"/>
      <c r="AX58" s="26" t="n"/>
      <c r="AY58" s="27" t="n"/>
    </row>
    <row r="59" s="3154" customFormat="1" ht="13.5" customHeight="1">
      <c r="A59" s="1910" t="e">
        <f t="array" ref="A59">'S&amp;U-Timeline'!T61</f>
      </c>
      <c r="B59" s="179" t="e">
        <f t="array" ref="B59">'S&amp;U-Timeline'!P61</f>
      </c>
      <c r="C59" s="3906" t="e">
        <f t="array" ref="C59">'S&amp;U-Timeline'!R61</f>
      </c>
      <c r="D59" s="1914" t="n"/>
      <c r="E59" s="1914" t="n"/>
      <c r="F59" s="1914" t="n"/>
      <c r="G59" s="1914" t="n"/>
      <c r="H59" s="1914" t="n"/>
      <c r="I59" s="1914" t="n"/>
      <c r="J59" s="1914" t="n"/>
      <c r="K59" s="1914" t="n"/>
      <c r="L59" s="1913" t="n"/>
      <c r="M59" s="38" t="str">
        <f t="array" ref="M59">IF(SUM(D59:L59)=0,"HIDE","")</f>
        <v>HIDE</v>
      </c>
      <c r="N59" s="26" t="n"/>
      <c r="O59" s="26" t="n"/>
      <c r="P59" s="26" t="n">
        <v>7.6</v>
      </c>
      <c r="Q59" s="26" t="n">
        <f t="array" ref="Q59">P59/100</f>
        <v>0.076</v>
      </c>
      <c r="R59" s="26" t="n"/>
      <c r="S59" s="26" t="n"/>
      <c r="T59" s="26" t="n"/>
      <c r="U59" s="26" t="n"/>
      <c r="V59" s="26" t="n"/>
      <c r="W59" s="26" t="n"/>
      <c r="X59" s="26" t="n"/>
      <c r="Y59" s="26" t="n"/>
      <c r="Z59" s="26" t="n"/>
      <c r="AA59" s="26" t="n"/>
      <c r="AB59" s="26" t="n"/>
      <c r="AC59" s="26" t="n"/>
      <c r="AD59" s="26" t="n"/>
      <c r="AE59" s="26" t="n"/>
      <c r="AF59" s="26" t="n"/>
      <c r="AG59" s="26" t="n"/>
      <c r="AH59" s="26" t="n"/>
      <c r="AI59" s="26" t="n"/>
      <c r="AJ59" s="26" t="n"/>
      <c r="AK59" s="26" t="n"/>
      <c r="AL59" s="26" t="n"/>
      <c r="AM59" s="26" t="n"/>
      <c r="AN59" s="26" t="n"/>
      <c r="AO59" s="26" t="n"/>
      <c r="AP59" s="26" t="n"/>
      <c r="AQ59" s="26" t="n"/>
      <c r="AR59" s="26" t="n"/>
      <c r="AS59" s="26" t="n"/>
      <c r="AT59" s="26" t="n"/>
      <c r="AU59" s="26" t="n"/>
      <c r="AV59" s="26" t="n"/>
      <c r="AW59" s="26" t="n"/>
      <c r="AX59" s="26" t="n"/>
      <c r="AY59" s="27" t="n"/>
    </row>
    <row r="60" s="3154" customFormat="1" ht="13.5" customHeight="1">
      <c r="A60" s="1910" t="e">
        <f t="array" ref="A60">'S&amp;U-Timeline'!T62</f>
      </c>
      <c r="B60" s="179" t="e">
        <f t="array" ref="B60">'S&amp;U-Timeline'!P62</f>
      </c>
      <c r="C60" s="3906" t="e">
        <f t="array" ref="C60">'S&amp;U-Timeline'!R62</f>
      </c>
      <c r="D60" s="1914" t="n"/>
      <c r="E60" s="1914" t="n"/>
      <c r="F60" s="1914" t="n"/>
      <c r="G60" s="1914" t="n"/>
      <c r="H60" s="1914" t="n"/>
      <c r="I60" s="1914" t="n"/>
      <c r="J60" s="1914" t="n"/>
      <c r="K60" s="1914" t="n"/>
      <c r="L60" s="1913" t="n"/>
      <c r="M60" s="38" t="str">
        <f t="array" ref="M60">IF(SUM(D60:L60)=0,"HIDE","")</f>
        <v>HIDE</v>
      </c>
      <c r="N60" s="26" t="n"/>
      <c r="O60" s="26" t="n"/>
      <c r="P60" s="26" t="n">
        <v>6.2</v>
      </c>
      <c r="Q60" s="26" t="n">
        <f t="array" ref="Q60">P60/100</f>
        <v>0.062</v>
      </c>
      <c r="R60" s="26" t="n"/>
      <c r="S60" s="26" t="n"/>
      <c r="T60" s="26" t="n"/>
      <c r="U60" s="26" t="n"/>
      <c r="V60" s="26" t="n"/>
      <c r="W60" s="26" t="n"/>
      <c r="X60" s="26" t="n"/>
      <c r="Y60" s="26" t="n"/>
      <c r="Z60" s="26" t="n"/>
      <c r="AA60" s="26" t="n"/>
      <c r="AB60" s="26" t="n"/>
      <c r="AC60" s="26" t="n"/>
      <c r="AD60" s="26" t="n"/>
      <c r="AE60" s="26" t="n"/>
      <c r="AF60" s="26" t="n"/>
      <c r="AG60" s="26" t="n"/>
      <c r="AH60" s="26" t="n"/>
      <c r="AI60" s="26" t="n"/>
      <c r="AJ60" s="26" t="n"/>
      <c r="AK60" s="26" t="n"/>
      <c r="AL60" s="26" t="n"/>
      <c r="AM60" s="26" t="n"/>
      <c r="AN60" s="26" t="n"/>
      <c r="AO60" s="26" t="n"/>
      <c r="AP60" s="26" t="n"/>
      <c r="AQ60" s="26" t="n"/>
      <c r="AR60" s="26" t="n"/>
      <c r="AS60" s="26" t="n"/>
      <c r="AT60" s="26" t="n"/>
      <c r="AU60" s="26" t="n"/>
      <c r="AV60" s="26" t="n"/>
      <c r="AW60" s="26" t="n"/>
      <c r="AX60" s="26" t="n"/>
      <c r="AY60" s="27" t="n"/>
    </row>
    <row r="61" s="3154" customFormat="1" ht="13.5" customHeight="1">
      <c r="A61" s="1910" t="e">
        <f t="array" ref="A61">'S&amp;U-Timeline'!T63</f>
      </c>
      <c r="B61" s="179" t="e">
        <f t="array" ref="B61">'S&amp;U-Timeline'!P63</f>
      </c>
      <c r="C61" s="3906" t="e">
        <f t="array" ref="C61">'S&amp;U-Timeline'!R63</f>
      </c>
      <c r="D61" s="1914" t="n"/>
      <c r="E61" s="1914" t="n"/>
      <c r="F61" s="1914" t="n"/>
      <c r="G61" s="1914" t="n"/>
      <c r="H61" s="1914" t="n"/>
      <c r="I61" s="1914" t="n"/>
      <c r="J61" s="1914" t="n"/>
      <c r="K61" s="1914" t="n"/>
      <c r="L61" s="1913" t="n"/>
      <c r="M61" s="38" t="str">
        <f t="array" ref="M61">IF(SUM(D61:L61)=0,"HIDE","")</f>
        <v>HIDE</v>
      </c>
      <c r="N61" s="26" t="n"/>
      <c r="O61" s="26" t="n"/>
      <c r="P61" s="26" t="n">
        <v>3.2</v>
      </c>
      <c r="Q61" s="26" t="n">
        <f t="array" ref="Q61">P61/100</f>
        <v>0.032</v>
      </c>
      <c r="R61" s="26" t="n"/>
      <c r="S61" s="26" t="n"/>
      <c r="T61" s="26" t="n"/>
      <c r="U61" s="26" t="n"/>
      <c r="V61" s="26" t="n"/>
      <c r="W61" s="26" t="n"/>
      <c r="X61" s="26" t="n"/>
      <c r="Y61" s="26" t="n"/>
      <c r="Z61" s="26" t="n"/>
      <c r="AA61" s="26" t="n"/>
      <c r="AB61" s="26" t="n"/>
      <c r="AC61" s="26" t="n"/>
      <c r="AD61" s="26" t="n"/>
      <c r="AE61" s="26" t="n"/>
      <c r="AF61" s="26" t="n"/>
      <c r="AG61" s="26" t="n"/>
      <c r="AH61" s="26" t="n"/>
      <c r="AI61" s="26" t="n"/>
      <c r="AJ61" s="26" t="n"/>
      <c r="AK61" s="26" t="n"/>
      <c r="AL61" s="26" t="n"/>
      <c r="AM61" s="26" t="n"/>
      <c r="AN61" s="26" t="n"/>
      <c r="AO61" s="26" t="n"/>
      <c r="AP61" s="26" t="n"/>
      <c r="AQ61" s="26" t="n"/>
      <c r="AR61" s="26" t="n"/>
      <c r="AS61" s="26" t="n"/>
      <c r="AT61" s="26" t="n"/>
      <c r="AU61" s="26" t="n"/>
      <c r="AV61" s="26" t="n"/>
      <c r="AW61" s="26" t="n"/>
      <c r="AX61" s="26" t="n"/>
      <c r="AY61" s="27" t="n"/>
    </row>
    <row r="62" s="3154" customFormat="1" ht="13.5" customHeight="1">
      <c r="A62" s="1910" t="e">
        <f t="array" ref="A62">'S&amp;U-Timeline'!T64</f>
      </c>
      <c r="B62" s="179" t="e">
        <f t="array" ref="B62">'S&amp;U-Timeline'!P64</f>
      </c>
      <c r="C62" s="3906" t="e">
        <f t="array" ref="C62">'S&amp;U-Timeline'!R64</f>
      </c>
      <c r="D62" s="1914" t="n"/>
      <c r="E62" s="1914" t="n"/>
      <c r="F62" s="1914" t="n"/>
      <c r="G62" s="1914" t="n"/>
      <c r="H62" s="1914" t="n"/>
      <c r="I62" s="1914" t="n"/>
      <c r="J62" s="1914" t="n"/>
      <c r="K62" s="1914" t="n"/>
      <c r="L62" s="1913" t="n"/>
      <c r="M62" s="38" t="str">
        <f t="array" ref="M62">IF(SUM(D62:L62)=0,"HIDE","")</f>
        <v>HIDE</v>
      </c>
      <c r="N62" s="26" t="n"/>
      <c r="O62" s="26" t="n"/>
      <c r="P62" s="26" t="n">
        <v>4.3</v>
      </c>
      <c r="Q62" s="26" t="n">
        <f t="array" ref="Q62">P62/100</f>
        <v>0.043</v>
      </c>
      <c r="R62" s="26" t="n"/>
      <c r="S62" s="26" t="n"/>
      <c r="T62" s="26" t="n"/>
      <c r="U62" s="26" t="n"/>
      <c r="V62" s="26" t="n"/>
      <c r="W62" s="26" t="n"/>
      <c r="X62" s="26" t="n"/>
      <c r="Y62" s="26" t="n"/>
      <c r="Z62" s="26" t="n"/>
      <c r="AA62" s="26" t="n"/>
      <c r="AB62" s="26" t="n"/>
      <c r="AC62" s="26" t="n"/>
      <c r="AD62" s="26" t="n"/>
      <c r="AE62" s="26" t="n"/>
      <c r="AF62" s="26" t="n"/>
      <c r="AG62" s="26" t="n"/>
      <c r="AH62" s="26" t="n"/>
      <c r="AI62" s="26" t="n"/>
      <c r="AJ62" s="26" t="n"/>
      <c r="AK62" s="26" t="n"/>
      <c r="AL62" s="26" t="n"/>
      <c r="AM62" s="26" t="n"/>
      <c r="AN62" s="26" t="n"/>
      <c r="AO62" s="26" t="n"/>
      <c r="AP62" s="26" t="n"/>
      <c r="AQ62" s="26" t="n"/>
      <c r="AR62" s="26" t="n"/>
      <c r="AS62" s="26" t="n"/>
      <c r="AT62" s="26" t="n"/>
      <c r="AU62" s="26" t="n"/>
      <c r="AV62" s="26" t="n"/>
      <c r="AW62" s="26" t="n"/>
      <c r="AX62" s="26" t="n"/>
      <c r="AY62" s="27" t="n"/>
    </row>
    <row r="63" s="3154" customFormat="1" ht="13.5" customHeight="1">
      <c r="A63" s="1910" t="e">
        <f t="array" ref="A63">'S&amp;U-Timeline'!T65</f>
      </c>
      <c r="B63" s="179" t="e">
        <f t="array" ref="B63">'S&amp;U-Timeline'!P65</f>
      </c>
      <c r="C63" s="3906" t="e">
        <f t="array" ref="C63">'S&amp;U-Timeline'!R65</f>
      </c>
      <c r="D63" s="1914" t="n"/>
      <c r="E63" s="1914" t="n"/>
      <c r="F63" s="1914" t="n"/>
      <c r="G63" s="1914" t="n"/>
      <c r="H63" s="1914" t="n"/>
      <c r="I63" s="1914" t="n"/>
      <c r="J63" s="1914" t="n"/>
      <c r="K63" s="1914" t="n"/>
      <c r="L63" s="1913" t="n"/>
      <c r="M63" s="38" t="str">
        <f t="array" ref="M63">IF(SUM(D63:L63)=0,"HIDE","")</f>
        <v>HIDE</v>
      </c>
      <c r="N63" s="26" t="n"/>
      <c r="O63" s="26" t="n"/>
      <c r="P63" s="26" t="n">
        <v>0.9</v>
      </c>
      <c r="Q63" s="26" t="n">
        <f t="array" ref="Q63">P63/100</f>
        <v>0.009000000000000001</v>
      </c>
      <c r="R63" s="26" t="n"/>
      <c r="S63" s="26" t="n"/>
      <c r="T63" s="26" t="n"/>
      <c r="U63" s="26" t="n"/>
      <c r="V63" s="26" t="n"/>
      <c r="W63" s="26" t="n"/>
      <c r="X63" s="26" t="n"/>
      <c r="Y63" s="26" t="n"/>
      <c r="Z63" s="26" t="n"/>
      <c r="AA63" s="26" t="n"/>
      <c r="AB63" s="26" t="n"/>
      <c r="AC63" s="26" t="n"/>
      <c r="AD63" s="26" t="n"/>
      <c r="AE63" s="26" t="n"/>
      <c r="AF63" s="26" t="n"/>
      <c r="AG63" s="26" t="n"/>
      <c r="AH63" s="26" t="n"/>
      <c r="AI63" s="26" t="n"/>
      <c r="AJ63" s="26" t="n"/>
      <c r="AK63" s="26" t="n"/>
      <c r="AL63" s="26" t="n"/>
      <c r="AM63" s="26" t="n"/>
      <c r="AN63" s="26" t="n"/>
      <c r="AO63" s="26" t="n"/>
      <c r="AP63" s="26" t="n"/>
      <c r="AQ63" s="26" t="n"/>
      <c r="AR63" s="26" t="n"/>
      <c r="AS63" s="26" t="n"/>
      <c r="AT63" s="26" t="n"/>
      <c r="AU63" s="26" t="n"/>
      <c r="AV63" s="26" t="n"/>
      <c r="AW63" s="26" t="n"/>
      <c r="AX63" s="26" t="n"/>
      <c r="AY63" s="27" t="n"/>
    </row>
    <row r="64" s="3154" customFormat="1" ht="13.5" customHeight="1">
      <c r="A64" s="1910" t="e">
        <f t="array" ref="A64">'S&amp;U-Timeline'!T66</f>
      </c>
      <c r="B64" s="179" t="e">
        <f t="array" ref="B64">'S&amp;U-Timeline'!P66</f>
      </c>
      <c r="C64" s="3906" t="e">
        <f t="array" ref="C64">'S&amp;U-Timeline'!R66</f>
      </c>
      <c r="D64" s="1914" t="n"/>
      <c r="E64" s="1914" t="n"/>
      <c r="F64" s="1914" t="n"/>
      <c r="G64" s="1914" t="n"/>
      <c r="H64" s="1914" t="n"/>
      <c r="I64" s="1914" t="n"/>
      <c r="J64" s="1914" t="n"/>
      <c r="K64" s="1914" t="n"/>
      <c r="L64" s="1913" t="n"/>
      <c r="M64" s="38" t="str">
        <f t="array" ref="M64">IF(SUM(D64:L64)=0,"HIDE","")</f>
        <v>HIDE</v>
      </c>
      <c r="N64" s="26" t="n"/>
      <c r="O64" s="26" t="n"/>
      <c r="P64" s="26" t="n"/>
      <c r="Q64" s="26" t="n"/>
      <c r="R64" s="26" t="n"/>
      <c r="S64" s="26" t="n"/>
      <c r="T64" s="26" t="n"/>
      <c r="U64" s="26" t="n"/>
      <c r="V64" s="26" t="n"/>
      <c r="W64" s="26" t="n"/>
      <c r="X64" s="26" t="n"/>
      <c r="Y64" s="26" t="n"/>
      <c r="Z64" s="26" t="n"/>
      <c r="AA64" s="26" t="n"/>
      <c r="AB64" s="26" t="n"/>
      <c r="AC64" s="26" t="n"/>
      <c r="AD64" s="26" t="n"/>
      <c r="AE64" s="26" t="n"/>
      <c r="AF64" s="26" t="n"/>
      <c r="AG64" s="26" t="n"/>
      <c r="AH64" s="26" t="n"/>
      <c r="AI64" s="26" t="n"/>
      <c r="AJ64" s="26" t="n"/>
      <c r="AK64" s="26" t="n"/>
      <c r="AL64" s="26" t="n"/>
      <c r="AM64" s="26" t="n"/>
      <c r="AN64" s="26" t="n"/>
      <c r="AO64" s="26" t="n"/>
      <c r="AP64" s="26" t="n"/>
      <c r="AQ64" s="26" t="n"/>
      <c r="AR64" s="26" t="n"/>
      <c r="AS64" s="26" t="n"/>
      <c r="AT64" s="26" t="n"/>
      <c r="AU64" s="26" t="n"/>
      <c r="AV64" s="26" t="n"/>
      <c r="AW64" s="26" t="n"/>
      <c r="AX64" s="26" t="n"/>
      <c r="AY64" s="27" t="n"/>
    </row>
    <row r="65" s="3154" customFormat="1" ht="13.5" customHeight="1">
      <c r="A65" s="1910" t="e">
        <f t="array" ref="A65">'S&amp;U-Timeline'!T67</f>
      </c>
      <c r="B65" s="179" t="e">
        <f t="array" ref="B65">'S&amp;U-Timeline'!P67</f>
      </c>
      <c r="C65" s="3906" t="e">
        <f t="array" ref="C65">'S&amp;U-Timeline'!R67</f>
      </c>
      <c r="D65" s="1914" t="n"/>
      <c r="E65" s="1914" t="n"/>
      <c r="F65" s="1914" t="n"/>
      <c r="G65" s="1914" t="n"/>
      <c r="H65" s="1914" t="n"/>
      <c r="I65" s="1914" t="n"/>
      <c r="J65" s="1914" t="n"/>
      <c r="K65" s="1914" t="n"/>
      <c r="L65" s="1913" t="n"/>
      <c r="M65" s="38" t="str">
        <f t="array" ref="M65">IF(SUM(D65:L65)=0,"HIDE","")</f>
        <v>HIDE</v>
      </c>
      <c r="N65" s="26" t="n"/>
      <c r="O65" s="26" t="n"/>
      <c r="P65" s="26" t="n"/>
      <c r="Q65" s="26" t="n"/>
      <c r="R65" s="26" t="n"/>
      <c r="S65" s="26" t="n"/>
      <c r="T65" s="26" t="n"/>
      <c r="U65" s="26" t="n"/>
      <c r="V65" s="26" t="n"/>
      <c r="W65" s="26" t="n"/>
      <c r="X65" s="26" t="n"/>
      <c r="Y65" s="26" t="n"/>
      <c r="Z65" s="26" t="n"/>
      <c r="AA65" s="26" t="n"/>
      <c r="AB65" s="26" t="n"/>
      <c r="AC65" s="26" t="n"/>
      <c r="AD65" s="26" t="n"/>
      <c r="AE65" s="26" t="n"/>
      <c r="AF65" s="26" t="n"/>
      <c r="AG65" s="26" t="n"/>
      <c r="AH65" s="26" t="n"/>
      <c r="AI65" s="26" t="n"/>
      <c r="AJ65" s="26" t="n"/>
      <c r="AK65" s="26" t="n"/>
      <c r="AL65" s="26" t="n"/>
      <c r="AM65" s="26" t="n"/>
      <c r="AN65" s="26" t="n"/>
      <c r="AO65" s="26" t="n"/>
      <c r="AP65" s="26" t="n"/>
      <c r="AQ65" s="26" t="n"/>
      <c r="AR65" s="26" t="n"/>
      <c r="AS65" s="26" t="n"/>
      <c r="AT65" s="26" t="n"/>
      <c r="AU65" s="26" t="n"/>
      <c r="AV65" s="26" t="n"/>
      <c r="AW65" s="26" t="n"/>
      <c r="AX65" s="26" t="n"/>
      <c r="AY65" s="27" t="n"/>
    </row>
    <row r="66" s="3154" customFormat="1" ht="13.5" customHeight="1">
      <c r="A66" s="1910" t="e">
        <f t="array" ref="A66">'S&amp;U-Timeline'!T68</f>
      </c>
      <c r="B66" s="179" t="e">
        <f t="array" ref="B66">'S&amp;U-Timeline'!P68</f>
      </c>
      <c r="C66" s="3906" t="e">
        <f t="array" ref="C66">'S&amp;U-Timeline'!R68</f>
      </c>
      <c r="D66" s="1914" t="n"/>
      <c r="E66" s="1914" t="n"/>
      <c r="F66" s="1914" t="n"/>
      <c r="G66" s="1914" t="n"/>
      <c r="H66" s="1914" t="n"/>
      <c r="I66" s="1914" t="n"/>
      <c r="J66" s="1914" t="n"/>
      <c r="K66" s="1914" t="n"/>
      <c r="L66" s="1913" t="n"/>
      <c r="M66" s="38" t="str">
        <f t="array" ref="M66">IF(SUM(D66:L66)=0,"HIDE","")</f>
        <v>HIDE</v>
      </c>
      <c r="N66" s="26" t="n"/>
      <c r="O66" s="26" t="n"/>
      <c r="P66" s="26" t="n"/>
      <c r="Q66" s="26" t="n"/>
      <c r="R66" s="26" t="n"/>
      <c r="S66" s="26" t="n"/>
      <c r="T66" s="26" t="n"/>
      <c r="U66" s="26" t="n"/>
      <c r="V66" s="26" t="n"/>
      <c r="W66" s="26" t="n"/>
      <c r="X66" s="26" t="n"/>
      <c r="Y66" s="26" t="n"/>
      <c r="Z66" s="26" t="n"/>
      <c r="AA66" s="26" t="n"/>
      <c r="AB66" s="26" t="n"/>
      <c r="AC66" s="26" t="n"/>
      <c r="AD66" s="26" t="n"/>
      <c r="AE66" s="26" t="n"/>
      <c r="AF66" s="26" t="n"/>
      <c r="AG66" s="26" t="n"/>
      <c r="AH66" s="26" t="n"/>
      <c r="AI66" s="26" t="n"/>
      <c r="AJ66" s="26" t="n"/>
      <c r="AK66" s="26" t="n"/>
      <c r="AL66" s="26" t="n"/>
      <c r="AM66" s="26" t="n"/>
      <c r="AN66" s="26" t="n"/>
      <c r="AO66" s="26" t="n"/>
      <c r="AP66" s="26" t="n"/>
      <c r="AQ66" s="26" t="n"/>
      <c r="AR66" s="26" t="n"/>
      <c r="AS66" s="26" t="n"/>
      <c r="AT66" s="26" t="n"/>
      <c r="AU66" s="26" t="n"/>
      <c r="AV66" s="26" t="n"/>
      <c r="AW66" s="26" t="n"/>
      <c r="AX66" s="26" t="n"/>
      <c r="AY66" s="27" t="n"/>
    </row>
    <row r="67" s="3154" customFormat="1" ht="13.5" customHeight="1">
      <c r="A67" s="1910" t="e">
        <f t="array" ref="A67">'S&amp;U-Timeline'!T69</f>
      </c>
      <c r="B67" s="179" t="e">
        <f t="array" ref="B67">'S&amp;U-Timeline'!P69</f>
      </c>
      <c r="C67" s="3906" t="e">
        <f t="array" ref="C67">'S&amp;U-Timeline'!R69</f>
      </c>
      <c r="D67" s="1914" t="n"/>
      <c r="E67" s="1914" t="n"/>
      <c r="F67" s="1914" t="n"/>
      <c r="G67" s="1914" t="n"/>
      <c r="H67" s="1914" t="n"/>
      <c r="I67" s="1914" t="n"/>
      <c r="J67" s="1914" t="n"/>
      <c r="K67" s="1914" t="n"/>
      <c r="L67" s="1913" t="n"/>
      <c r="M67" s="26" t="n"/>
      <c r="N67" s="26" t="n"/>
      <c r="O67" s="26" t="n"/>
      <c r="P67" s="26" t="n"/>
      <c r="Q67" s="26" t="n"/>
      <c r="R67" s="26" t="n"/>
      <c r="S67" s="26" t="n"/>
      <c r="T67" s="26" t="n"/>
      <c r="U67" s="26" t="n"/>
      <c r="V67" s="26" t="n"/>
      <c r="W67" s="26" t="n"/>
      <c r="X67" s="26" t="n"/>
      <c r="Y67" s="26" t="n"/>
      <c r="Z67" s="26" t="n"/>
      <c r="AA67" s="26" t="n"/>
      <c r="AB67" s="26" t="n"/>
      <c r="AC67" s="26" t="n"/>
      <c r="AD67" s="26" t="n"/>
      <c r="AE67" s="26" t="n"/>
      <c r="AF67" s="26" t="n"/>
      <c r="AG67" s="26" t="n"/>
      <c r="AH67" s="26" t="n"/>
      <c r="AI67" s="26" t="n"/>
      <c r="AJ67" s="26" t="n"/>
      <c r="AK67" s="26" t="n"/>
      <c r="AL67" s="26" t="n"/>
      <c r="AM67" s="26" t="n"/>
      <c r="AN67" s="26" t="n"/>
      <c r="AO67" s="26" t="n"/>
      <c r="AP67" s="26" t="n"/>
      <c r="AQ67" s="26" t="n"/>
      <c r="AR67" s="26" t="n"/>
      <c r="AS67" s="26" t="n"/>
      <c r="AT67" s="26" t="n"/>
      <c r="AU67" s="26" t="n"/>
      <c r="AV67" s="26" t="n"/>
      <c r="AW67" s="26" t="n"/>
      <c r="AX67" s="26" t="n"/>
      <c r="AY67" s="27" t="n"/>
    </row>
    <row r="68" s="3154" customFormat="1" ht="13.5" customHeight="1">
      <c r="A68" s="1915" t="n"/>
      <c r="B68" s="198" t="n"/>
      <c r="C68" s="198" t="n"/>
      <c r="D68" s="198" t="n"/>
      <c r="E68" s="198" t="n"/>
      <c r="F68" s="198" t="n"/>
      <c r="G68" s="198" t="n"/>
      <c r="H68" s="198" t="n"/>
      <c r="I68" s="198" t="n"/>
      <c r="J68" s="198" t="n"/>
      <c r="K68" s="198" t="n"/>
      <c r="L68" s="198" t="n"/>
      <c r="M68" s="26" t="n"/>
      <c r="N68" s="26" t="n"/>
      <c r="O68" s="26" t="n"/>
      <c r="P68" s="26" t="n"/>
      <c r="Q68" s="26" t="n"/>
      <c r="R68" s="26" t="n"/>
      <c r="S68" s="26" t="n"/>
      <c r="T68" s="26" t="n"/>
      <c r="U68" s="26" t="n"/>
      <c r="V68" s="26" t="n"/>
      <c r="W68" s="26" t="n"/>
      <c r="X68" s="26" t="n"/>
      <c r="Y68" s="26" t="n"/>
      <c r="Z68" s="26" t="n"/>
      <c r="AA68" s="26" t="n"/>
      <c r="AB68" s="26" t="n"/>
      <c r="AC68" s="26" t="n"/>
      <c r="AD68" s="26" t="n"/>
      <c r="AE68" s="26" t="n"/>
      <c r="AF68" s="26" t="n"/>
      <c r="AG68" s="26" t="n"/>
      <c r="AH68" s="26" t="n"/>
      <c r="AI68" s="26" t="n"/>
      <c r="AJ68" s="26" t="n"/>
      <c r="AK68" s="26" t="n"/>
      <c r="AL68" s="26" t="n"/>
      <c r="AM68" s="26" t="n"/>
      <c r="AN68" s="26" t="n"/>
      <c r="AO68" s="26" t="n"/>
      <c r="AP68" s="26" t="n"/>
      <c r="AQ68" s="26" t="n"/>
      <c r="AR68" s="26" t="n"/>
      <c r="AS68" s="26" t="n"/>
      <c r="AT68" s="26" t="n"/>
      <c r="AU68" s="26" t="n"/>
      <c r="AV68" s="26" t="n"/>
      <c r="AW68" s="26" t="n"/>
      <c r="AX68" s="26" t="n"/>
      <c r="AY68" s="27" t="n"/>
    </row>
    <row r="69" s="3154" customFormat="1" ht="27" customHeight="1">
      <c r="A69" s="1916" t="n"/>
      <c r="B69" s="526" t="n"/>
      <c r="C69" s="526" t="n"/>
      <c r="D69" s="1917" t="str">
        <f t="array" ref="D69">D5</f>
        <v>LAND &amp; ACQ</v>
      </c>
      <c r="E69" s="1917" t="str">
        <f t="array" ref="E69">E5</f>
        <v>DEV &amp; PLANNING</v>
      </c>
      <c r="F69" s="1917" t="str">
        <f t="array" ref="F69">F5</f>
        <v>ARCH &amp; ENG</v>
      </c>
      <c r="G69" s="1917" t="str">
        <f t="array" ref="G69">G5</f>
        <v>MKTING</v>
      </c>
      <c r="H69" s="1917" t="str">
        <f t="array" ref="H69">H5</f>
        <v>FINANCING</v>
      </c>
      <c r="I69" s="1917" t="str">
        <f t="array" ref="I69">I5</f>
        <v>HARD COSTS</v>
      </c>
      <c r="J69" s="1917" t="str">
        <f t="array" ref="J69">J5</f>
        <v>HOTEL DIRECT</v>
      </c>
      <c r="K69" s="1917" t="str">
        <f t="array" ref="K69">K5</f>
        <v>SOFT COSTS</v>
      </c>
      <c r="L69" s="1918" t="inlineStr">
        <is>
          <t xml:space="preserve">TOTAL</t>
        </is>
      </c>
      <c r="M69" s="25" t="n"/>
      <c r="N69" s="26" t="n"/>
      <c r="O69" s="26" t="n"/>
      <c r="P69" s="26" t="n"/>
      <c r="Q69" s="26" t="n"/>
      <c r="R69" s="26" t="n"/>
      <c r="S69" s="26" t="n"/>
      <c r="T69" s="26" t="n"/>
      <c r="U69" s="26" t="n"/>
      <c r="V69" s="26" t="n"/>
      <c r="W69" s="26" t="n"/>
      <c r="X69" s="26" t="n"/>
      <c r="Y69" s="26" t="n"/>
      <c r="Z69" s="26" t="n"/>
      <c r="AA69" s="26" t="n"/>
      <c r="AB69" s="26" t="n"/>
      <c r="AC69" s="26" t="n"/>
      <c r="AD69" s="26" t="n"/>
      <c r="AE69" s="26" t="n"/>
      <c r="AF69" s="26" t="n"/>
      <c r="AG69" s="26" t="n"/>
      <c r="AH69" s="26" t="n"/>
      <c r="AI69" s="26" t="n"/>
      <c r="AJ69" s="26" t="n"/>
      <c r="AK69" s="26" t="n"/>
      <c r="AL69" s="26" t="n"/>
      <c r="AM69" s="26" t="n"/>
      <c r="AN69" s="26" t="n"/>
      <c r="AO69" s="26" t="n"/>
      <c r="AP69" s="26" t="n"/>
      <c r="AQ69" s="26" t="n"/>
      <c r="AR69" s="26" t="n"/>
      <c r="AS69" s="26" t="n"/>
      <c r="AT69" s="26" t="n"/>
      <c r="AU69" s="26" t="n"/>
      <c r="AV69" s="26" t="n"/>
      <c r="AW69" s="26" t="n"/>
      <c r="AX69" s="26" t="n"/>
      <c r="AY69" s="27" t="n"/>
    </row>
    <row r="70" s="3154" customFormat="1" ht="13.5" customHeight="1">
      <c r="A70" s="525" t="inlineStr">
        <is>
          <t xml:space="preserve">ACTIVITY</t>
        </is>
      </c>
      <c r="B70" s="1901" t="inlineStr">
        <is>
          <t xml:space="preserve">P-MTH</t>
        </is>
      </c>
      <c r="C70" s="1902" t="inlineStr">
        <is>
          <t xml:space="preserve">C-MTH</t>
        </is>
      </c>
      <c r="D70" s="3907" t="n">
        <f t="array" ref="D70">'Cost Detail'!C16</f>
        <v>1240400</v>
      </c>
      <c r="E70" s="3907" t="n">
        <f t="array" ref="E70">'Cost Detail'!C26</f>
        <v>120000</v>
      </c>
      <c r="F70" s="3907" t="n">
        <f t="array" ref="F70">'Cost Detail'!C57</f>
        <v>183425</v>
      </c>
      <c r="G70" s="3907" t="n">
        <f t="array" ref="G70">'Cost Detail'!C67</f>
        <v>195000</v>
      </c>
      <c r="H70" s="3907" t="n">
        <f t="array" ref="H70">'Cost Detail'!C81</f>
        <v>538000</v>
      </c>
      <c r="I70" s="3907" t="n">
        <f t="array" ref="I70">'Cost Detail'!C108</f>
        <v>4410870.4519178085</v>
      </c>
      <c r="J70" s="3907" t="n">
        <f t="array" ref="J70">'Cost Detail'!C175</f>
        <v>287635.76544937503</v>
      </c>
      <c r="K70" s="3907" t="n">
        <f t="array" ref="K70">'Cost Detail'!C142</f>
        <v>243184.5320395377</v>
      </c>
      <c r="L70" s="3904" t="n">
        <f t="array" ref="L70">SUM(D70:K70)</f>
        <v>7218515.749406721</v>
      </c>
      <c r="M70" s="25" t="n"/>
      <c r="N70" s="26" t="n"/>
      <c r="O70" s="429" t="inlineStr">
        <is>
          <t xml:space="preserve">INTEREST %AGS</t>
        </is>
      </c>
      <c r="P70" s="26" t="n"/>
      <c r="Q70" s="26" t="n"/>
      <c r="R70" s="26" t="n"/>
      <c r="S70" s="26" t="n"/>
      <c r="T70" s="26" t="n"/>
      <c r="U70" s="26" t="n"/>
      <c r="V70" s="26" t="n"/>
      <c r="W70" s="26" t="n"/>
      <c r="X70" s="26" t="n"/>
      <c r="Y70" s="26" t="n"/>
      <c r="Z70" s="26" t="n"/>
      <c r="AA70" s="26" t="n"/>
      <c r="AB70" s="26" t="n"/>
      <c r="AC70" s="26" t="n"/>
      <c r="AD70" s="26" t="n"/>
      <c r="AE70" s="26" t="n"/>
      <c r="AF70" s="26" t="n"/>
      <c r="AG70" s="26" t="n"/>
      <c r="AH70" s="26" t="n"/>
      <c r="AI70" s="26" t="n"/>
      <c r="AJ70" s="26" t="n"/>
      <c r="AK70" s="26" t="n"/>
      <c r="AL70" s="26" t="n"/>
      <c r="AM70" s="26" t="n"/>
      <c r="AN70" s="26" t="n"/>
      <c r="AO70" s="26" t="n"/>
      <c r="AP70" s="26" t="n"/>
      <c r="AQ70" s="26" t="n"/>
      <c r="AR70" s="26" t="n"/>
      <c r="AS70" s="26" t="n"/>
      <c r="AT70" s="26" t="n"/>
      <c r="AU70" s="26" t="n"/>
      <c r="AV70" s="26" t="n"/>
      <c r="AW70" s="26" t="n"/>
      <c r="AX70" s="26" t="n"/>
      <c r="AY70" s="27" t="n"/>
    </row>
    <row r="71" s="3154" customFormat="1" ht="13.5" customHeight="1">
      <c r="A71" s="1905" t="str">
        <f t="array" ref="A71">A7</f>
        <v>Pre-Development</v>
      </c>
      <c r="B71" s="1906" t="n">
        <f t="array" ref="B71">B7</f>
        <v>0</v>
      </c>
      <c r="C71" s="3905" t="n">
        <f t="array" ref="C71">C7</f>
        <v>46113</v>
      </c>
      <c r="D71" s="3908" t="n">
        <f t="array" ref="D71">D7*D$70</f>
        <v>1165976</v>
      </c>
      <c r="E71" s="3908" t="n">
        <f t="array" ref="E71">E7*E$70</f>
        <v>12000</v>
      </c>
      <c r="F71" s="3908" t="n">
        <f t="array" ref="F71">F7*F$70</f>
        <v>36685</v>
      </c>
      <c r="G71" s="3908" t="n">
        <f t="array" ref="G71">G7*G$70</f>
        <v>0</v>
      </c>
      <c r="H71" s="3908" t="n">
        <f t="array" ref="H71">H7*H$70</f>
        <v>0</v>
      </c>
      <c r="I71" s="3908" t="n">
        <f t="array" ref="I71">I7*I$70</f>
        <v>0</v>
      </c>
      <c r="J71" s="3908" t="n">
        <f t="array" ref="J71">J7*J$70</f>
        <v>0</v>
      </c>
      <c r="K71" s="3908" t="n">
        <f t="array" ref="K71">K7*K$70</f>
        <v>0</v>
      </c>
      <c r="L71" s="3909" t="n">
        <f t="array" ref="L71">SUBTOTAL(9,D71:K71)</f>
        <v>1214661</v>
      </c>
      <c r="M71" s="38" t="str">
        <f t="array" ref="M71">IF(SUM(D71:L71)=0,"HIDE","")</f>
      </c>
      <c r="N71" s="26" t="n"/>
      <c r="O71" s="26" t="n">
        <f t="array" ref="O71">'Construction Interest'!B10</f>
        <v>0</v>
      </c>
      <c r="P71" s="1922" t="n"/>
      <c r="Q71" s="26" t="n"/>
      <c r="R71" s="26" t="n"/>
      <c r="S71" s="26" t="n"/>
      <c r="T71" s="26" t="n"/>
      <c r="U71" s="26" t="n"/>
      <c r="V71" s="26" t="n"/>
      <c r="W71" s="26" t="n"/>
      <c r="X71" s="26" t="n"/>
      <c r="Y71" s="26" t="n"/>
      <c r="Z71" s="26" t="n"/>
      <c r="AA71" s="26" t="n"/>
      <c r="AB71" s="26" t="n"/>
      <c r="AC71" s="26" t="n"/>
      <c r="AD71" s="26" t="n"/>
      <c r="AE71" s="26" t="n"/>
      <c r="AF71" s="26" t="n"/>
      <c r="AG71" s="26" t="n"/>
      <c r="AH71" s="26" t="n"/>
      <c r="AI71" s="26" t="n"/>
      <c r="AJ71" s="26" t="n"/>
      <c r="AK71" s="26" t="n"/>
      <c r="AL71" s="26" t="n"/>
      <c r="AM71" s="26" t="n"/>
      <c r="AN71" s="26" t="n"/>
      <c r="AO71" s="26" t="n"/>
      <c r="AP71" s="26" t="n"/>
      <c r="AQ71" s="26" t="n"/>
      <c r="AR71" s="26" t="n"/>
      <c r="AS71" s="26" t="n"/>
      <c r="AT71" s="26" t="n"/>
      <c r="AU71" s="26" t="n"/>
      <c r="AV71" s="26" t="n"/>
      <c r="AW71" s="26" t="n"/>
      <c r="AX71" s="26" t="n"/>
      <c r="AY71" s="27" t="n"/>
    </row>
    <row r="72" s="3154" customFormat="1" ht="13.5" customHeight="1">
      <c r="A72" s="1910" t="e">
        <f t="array" ref="A72">A8</f>
      </c>
      <c r="B72" s="179" t="e">
        <f t="array" ref="B72">B8</f>
      </c>
      <c r="C72" s="3906" t="e">
        <f t="array" ref="C72">C8</f>
      </c>
      <c r="D72" s="3910" t="n">
        <f t="array" ref="D72">D8*D$70</f>
        <v>0</v>
      </c>
      <c r="E72" s="3910" t="n">
        <f t="array" ref="E72">E8*E$70</f>
        <v>0</v>
      </c>
      <c r="F72" s="3910" t="n">
        <f t="array" ref="F72">F8*F$70</f>
        <v>36685</v>
      </c>
      <c r="G72" s="3910" t="n">
        <f t="array" ref="G72">G8*G$70</f>
        <v>0</v>
      </c>
      <c r="H72" s="3910" t="n">
        <f t="array" ref="H72">H8*H$70</f>
        <v>0</v>
      </c>
      <c r="I72" s="3910" t="n">
        <f t="array" ref="I72">I8*I$70</f>
        <v>0</v>
      </c>
      <c r="J72" s="3910" t="n">
        <f t="array" ref="J72">J8*J$70</f>
        <v>0</v>
      </c>
      <c r="K72" s="3910" t="n">
        <f t="array" ref="K72">K8*K$70</f>
        <v>0</v>
      </c>
      <c r="L72" s="3911" t="n">
        <f t="array" ref="L72">SUBTOTAL(9,D72:K72)</f>
        <v>36685</v>
      </c>
      <c r="M72" s="38" t="str">
        <f t="array" ref="M72">IF(SUM(D72:L72)=0,"HIDE","")</f>
      </c>
      <c r="N72" s="26" t="n"/>
      <c r="O72" s="26" t="e">
        <f t="array" ref="O72">'Construction Interest'!B11</f>
      </c>
      <c r="P72" s="1922" t="n"/>
      <c r="Q72" s="26" t="n"/>
      <c r="R72" s="26" t="n"/>
      <c r="S72" s="26" t="n"/>
      <c r="T72" s="26" t="n"/>
      <c r="U72" s="26" t="n"/>
      <c r="V72" s="26" t="n"/>
      <c r="W72" s="26" t="n"/>
      <c r="X72" s="26" t="n"/>
      <c r="Y72" s="26" t="n"/>
      <c r="Z72" s="26" t="n"/>
      <c r="AA72" s="26" t="n"/>
      <c r="AB72" s="26" t="n"/>
      <c r="AC72" s="26" t="n"/>
      <c r="AD72" s="26" t="n"/>
      <c r="AE72" s="26" t="n"/>
      <c r="AF72" s="26" t="n"/>
      <c r="AG72" s="26" t="n"/>
      <c r="AH72" s="26" t="n"/>
      <c r="AI72" s="26" t="n"/>
      <c r="AJ72" s="26" t="n"/>
      <c r="AK72" s="26" t="n"/>
      <c r="AL72" s="26" t="n"/>
      <c r="AM72" s="26" t="n"/>
      <c r="AN72" s="26" t="n"/>
      <c r="AO72" s="26" t="n"/>
      <c r="AP72" s="26" t="n"/>
      <c r="AQ72" s="26" t="n"/>
      <c r="AR72" s="26" t="n"/>
      <c r="AS72" s="26" t="n"/>
      <c r="AT72" s="26" t="n"/>
      <c r="AU72" s="26" t="n"/>
      <c r="AV72" s="26" t="n"/>
      <c r="AW72" s="26" t="n"/>
      <c r="AX72" s="26" t="n"/>
      <c r="AY72" s="27" t="n"/>
    </row>
    <row r="73" s="3154" customFormat="1" ht="13.5" customHeight="1">
      <c r="A73" s="1910" t="e">
        <f t="array" ref="A73">A9</f>
      </c>
      <c r="B73" s="179" t="e">
        <f t="array" ref="B73">B9</f>
      </c>
      <c r="C73" s="3906" t="e">
        <f t="array" ref="C73">C9</f>
      </c>
      <c r="D73" s="3910" t="n">
        <f t="array" ref="D73">D9*D$70</f>
        <v>0</v>
      </c>
      <c r="E73" s="3910" t="n">
        <f t="array" ref="E73">E9*E$70</f>
        <v>0</v>
      </c>
      <c r="F73" s="3910" t="n">
        <f t="array" ref="F73">F9*F$70</f>
        <v>36685</v>
      </c>
      <c r="G73" s="3910" t="n">
        <f t="array" ref="G73">G9*G$70</f>
        <v>0</v>
      </c>
      <c r="H73" s="3910" t="n">
        <f t="array" ref="H73">H9*H$70</f>
        <v>0</v>
      </c>
      <c r="I73" s="3910" t="n">
        <f t="array" ref="I73">I9*I$70</f>
        <v>0</v>
      </c>
      <c r="J73" s="3910" t="n">
        <f t="array" ref="J73">J9*J$70</f>
        <v>0</v>
      </c>
      <c r="K73" s="3910" t="n">
        <f t="array" ref="K73">K9*K$70</f>
        <v>0</v>
      </c>
      <c r="L73" s="3911" t="n">
        <f t="array" ref="L73">SUBTOTAL(9,D73:K73)</f>
        <v>36685</v>
      </c>
      <c r="M73" s="38" t="str">
        <f t="array" ref="M73">IF(SUM(D73:L73)=0,"HIDE","")</f>
      </c>
      <c r="N73" s="26" t="n"/>
      <c r="O73" s="26" t="e">
        <f t="array" ref="O73">'Construction Interest'!B12</f>
      </c>
      <c r="P73" s="1922" t="n"/>
      <c r="Q73" s="26" t="n"/>
      <c r="R73" s="26" t="n"/>
      <c r="S73" s="26" t="n"/>
      <c r="T73" s="26" t="n"/>
      <c r="U73" s="26" t="n"/>
      <c r="V73" s="26" t="n"/>
      <c r="W73" s="26" t="n"/>
      <c r="X73" s="26" t="n"/>
      <c r="Y73" s="26" t="n"/>
      <c r="Z73" s="26" t="n"/>
      <c r="AA73" s="26" t="n"/>
      <c r="AB73" s="26" t="n"/>
      <c r="AC73" s="26" t="n"/>
      <c r="AD73" s="26" t="n"/>
      <c r="AE73" s="26" t="n"/>
      <c r="AF73" s="26" t="n"/>
      <c r="AG73" s="26" t="n"/>
      <c r="AH73" s="26" t="n"/>
      <c r="AI73" s="26" t="n"/>
      <c r="AJ73" s="26" t="n"/>
      <c r="AK73" s="26" t="n"/>
      <c r="AL73" s="26" t="n"/>
      <c r="AM73" s="26" t="n"/>
      <c r="AN73" s="26" t="n"/>
      <c r="AO73" s="26" t="n"/>
      <c r="AP73" s="26" t="n"/>
      <c r="AQ73" s="26" t="n"/>
      <c r="AR73" s="26" t="n"/>
      <c r="AS73" s="26" t="n"/>
      <c r="AT73" s="26" t="n"/>
      <c r="AU73" s="26" t="n"/>
      <c r="AV73" s="26" t="n"/>
      <c r="AW73" s="26" t="n"/>
      <c r="AX73" s="26" t="n"/>
      <c r="AY73" s="27" t="n"/>
    </row>
    <row r="74" s="3154" customFormat="1" ht="13.5" customHeight="1">
      <c r="A74" s="1910" t="e">
        <f t="array" ref="A74">A10</f>
      </c>
      <c r="B74" s="179" t="e">
        <f t="array" ref="B74">B10</f>
      </c>
      <c r="C74" s="3906" t="e">
        <f t="array" ref="C74">C10</f>
      </c>
      <c r="D74" s="3910" t="n">
        <f t="array" ref="D74">D10*D$70</f>
        <v>0</v>
      </c>
      <c r="E74" s="3910" t="n">
        <f t="array" ref="E74">E10*E$70</f>
        <v>0</v>
      </c>
      <c r="F74" s="3910" t="n">
        <f t="array" ref="F74">F10*F$70</f>
        <v>36685</v>
      </c>
      <c r="G74" s="3910" t="n">
        <f t="array" ref="G74">G10*G$70</f>
        <v>0</v>
      </c>
      <c r="H74" s="3910" t="n">
        <f t="array" ref="H74">H10*H$70</f>
        <v>134500</v>
      </c>
      <c r="I74" s="3910" t="n">
        <f t="array" ref="I74">I10*I$70</f>
        <v>29993.919073041096</v>
      </c>
      <c r="J74" s="3910" t="n">
        <f t="array" ref="J74">J10*J$70</f>
        <v>0</v>
      </c>
      <c r="K74" s="3910" t="n">
        <f t="array" ref="K74">K10*K$70</f>
        <v>1653.6548178688563</v>
      </c>
      <c r="L74" s="3911" t="n">
        <f t="array" ref="L74">SUBTOTAL(9,D74:K74)</f>
        <v>202832.57389090996</v>
      </c>
      <c r="M74" s="38" t="str">
        <f t="array" ref="M74">IF(SUM(D74:L74)=0,"HIDE","")</f>
      </c>
      <c r="N74" s="26" t="n"/>
      <c r="O74" s="26" t="e">
        <f t="array" ref="O74">'Construction Interest'!B13</f>
      </c>
      <c r="P74" s="1922" t="n"/>
      <c r="Q74" s="26" t="n"/>
      <c r="R74" s="26" t="n"/>
      <c r="S74" s="26" t="n"/>
      <c r="T74" s="26" t="n"/>
      <c r="U74" s="26" t="n"/>
      <c r="V74" s="26" t="n"/>
      <c r="W74" s="26" t="n"/>
      <c r="X74" s="26" t="n"/>
      <c r="Y74" s="26" t="n"/>
      <c r="Z74" s="26" t="n"/>
      <c r="AA74" s="26" t="n"/>
      <c r="AB74" s="26" t="n"/>
      <c r="AC74" s="26" t="n"/>
      <c r="AD74" s="26" t="n"/>
      <c r="AE74" s="26" t="n"/>
      <c r="AF74" s="26" t="n"/>
      <c r="AG74" s="26" t="n"/>
      <c r="AH74" s="26" t="n"/>
      <c r="AI74" s="26" t="n"/>
      <c r="AJ74" s="26" t="n"/>
      <c r="AK74" s="26" t="n"/>
      <c r="AL74" s="26" t="n"/>
      <c r="AM74" s="26" t="n"/>
      <c r="AN74" s="26" t="n"/>
      <c r="AO74" s="26" t="n"/>
      <c r="AP74" s="26" t="n"/>
      <c r="AQ74" s="26" t="n"/>
      <c r="AR74" s="26" t="n"/>
      <c r="AS74" s="26" t="n"/>
      <c r="AT74" s="26" t="n"/>
      <c r="AU74" s="26" t="n"/>
      <c r="AV74" s="26" t="n"/>
      <c r="AW74" s="26" t="n"/>
      <c r="AX74" s="26" t="n"/>
      <c r="AY74" s="27" t="n"/>
    </row>
    <row r="75" s="3154" customFormat="1" ht="13.5" customHeight="1">
      <c r="A75" s="1910" t="e">
        <f t="array" ref="A75">A11</f>
      </c>
      <c r="B75" s="179" t="e">
        <f t="array" ref="B75">B11</f>
      </c>
      <c r="C75" s="3906" t="e">
        <f t="array" ref="C75">C11</f>
      </c>
      <c r="D75" s="3910" t="n">
        <f t="array" ref="D75">D11*D$70</f>
        <v>0</v>
      </c>
      <c r="E75" s="3910" t="n">
        <f t="array" ref="E75">E11*E$70</f>
        <v>0</v>
      </c>
      <c r="F75" s="3910" t="n">
        <f t="array" ref="F75">F11*F$70</f>
        <v>18342.5</v>
      </c>
      <c r="G75" s="3910" t="n">
        <f t="array" ref="G75">G11*G$70</f>
        <v>0</v>
      </c>
      <c r="H75" s="3910" t="n">
        <f t="array" ref="H75">H11*H$70</f>
        <v>0</v>
      </c>
      <c r="I75" s="3910" t="n">
        <f t="array" ref="I75">I11*I$70</f>
        <v>89099.58312873973</v>
      </c>
      <c r="J75" s="3910" t="n">
        <f t="array" ref="J75">J11*J$70</f>
        <v>0</v>
      </c>
      <c r="K75" s="3910" t="n">
        <f t="array" ref="K75">K11*K$70</f>
        <v>4912.327547198662</v>
      </c>
      <c r="L75" s="3911" t="n">
        <f t="array" ref="L75">SUBTOTAL(9,D75:K75)</f>
        <v>112354.41067593839</v>
      </c>
      <c r="M75" s="38" t="str">
        <f t="array" ref="M75">IF(SUM(D75:L75)=0,"HIDE","")</f>
      </c>
      <c r="N75" s="26" t="n"/>
      <c r="O75" s="26" t="e">
        <f t="array" ref="O75">'Construction Interest'!B14</f>
      </c>
      <c r="P75" s="26" t="n"/>
      <c r="Q75" s="26" t="n"/>
      <c r="R75" s="26" t="n"/>
      <c r="S75" s="26" t="n"/>
      <c r="T75" s="26" t="n"/>
      <c r="U75" s="26" t="n"/>
      <c r="V75" s="26" t="n"/>
      <c r="W75" s="26" t="n"/>
      <c r="X75" s="26" t="n"/>
      <c r="Y75" s="26" t="n"/>
      <c r="Z75" s="26" t="n"/>
      <c r="AA75" s="26" t="n"/>
      <c r="AB75" s="26" t="n"/>
      <c r="AC75" s="26" t="n"/>
      <c r="AD75" s="26" t="n"/>
      <c r="AE75" s="26" t="n"/>
      <c r="AF75" s="26" t="n"/>
      <c r="AG75" s="26" t="n"/>
      <c r="AH75" s="26" t="n"/>
      <c r="AI75" s="26" t="n"/>
      <c r="AJ75" s="26" t="n"/>
      <c r="AK75" s="26" t="n"/>
      <c r="AL75" s="26" t="n"/>
      <c r="AM75" s="26" t="n"/>
      <c r="AN75" s="26" t="n"/>
      <c r="AO75" s="26" t="n"/>
      <c r="AP75" s="26" t="n"/>
      <c r="AQ75" s="26" t="n"/>
      <c r="AR75" s="26" t="n"/>
      <c r="AS75" s="26" t="n"/>
      <c r="AT75" s="26" t="n"/>
      <c r="AU75" s="26" t="n"/>
      <c r="AV75" s="26" t="n"/>
      <c r="AW75" s="26" t="n"/>
      <c r="AX75" s="26" t="n"/>
      <c r="AY75" s="27" t="n"/>
    </row>
    <row r="76" s="3154" customFormat="1" ht="13.5" customHeight="1">
      <c r="A76" s="1910" t="e">
        <f t="array" ref="A76">A12</f>
      </c>
      <c r="B76" s="179" t="e">
        <f t="array" ref="B76">B12</f>
      </c>
      <c r="C76" s="3906" t="e">
        <f t="array" ref="C76">C12</f>
      </c>
      <c r="D76" s="3910" t="n">
        <f t="array" ref="D76">D12*D$70</f>
        <v>24808</v>
      </c>
      <c r="E76" s="3910" t="n">
        <f t="array" ref="E76">E12*E$70</f>
        <v>0</v>
      </c>
      <c r="F76" s="3910" t="n">
        <f t="array" ref="F76">F12*F$70</f>
        <v>18342.5</v>
      </c>
      <c r="G76" s="3910" t="n">
        <f t="array" ref="G76">G12*G$70</f>
        <v>0</v>
      </c>
      <c r="H76" s="3910" t="n">
        <f t="array" ref="H76">H12*H$70</f>
        <v>0</v>
      </c>
      <c r="I76" s="3910" t="n">
        <f t="array" ref="I76">I12*I$70</f>
        <v>145558.72491328768</v>
      </c>
      <c r="J76" s="3910" t="n">
        <f t="array" ref="J76">J12*J$70</f>
        <v>0</v>
      </c>
      <c r="K76" s="3910" t="n">
        <f t="array" ref="K76">K12*K$70</f>
        <v>8025.089557304745</v>
      </c>
      <c r="L76" s="3911" t="n">
        <f t="array" ref="L76">SUBTOTAL(9,D76:K76)</f>
        <v>196734.31447059242</v>
      </c>
      <c r="M76" s="38" t="str">
        <f t="array" ref="M76">IF(SUM(D76:L76)=0,"HIDE","")</f>
      </c>
      <c r="N76" s="26" t="n"/>
      <c r="O76" s="26" t="e">
        <f t="array" ref="O76">'Construction Interest'!B15</f>
      </c>
      <c r="P76" s="26" t="n"/>
      <c r="Q76" s="26" t="n"/>
      <c r="R76" s="26" t="n"/>
      <c r="S76" s="26" t="n"/>
      <c r="T76" s="26" t="n"/>
      <c r="U76" s="26" t="n"/>
      <c r="V76" s="26" t="n"/>
      <c r="W76" s="26" t="n"/>
      <c r="X76" s="26" t="n"/>
      <c r="Y76" s="26" t="n"/>
      <c r="Z76" s="26" t="n"/>
      <c r="AA76" s="26" t="n"/>
      <c r="AB76" s="26" t="n"/>
      <c r="AC76" s="26" t="n"/>
      <c r="AD76" s="26" t="n"/>
      <c r="AE76" s="26" t="n"/>
      <c r="AF76" s="26" t="n"/>
      <c r="AG76" s="26" t="n"/>
      <c r="AH76" s="26" t="n"/>
      <c r="AI76" s="26" t="n"/>
      <c r="AJ76" s="26" t="n"/>
      <c r="AK76" s="26" t="n"/>
      <c r="AL76" s="26" t="n"/>
      <c r="AM76" s="26" t="n"/>
      <c r="AN76" s="26" t="n"/>
      <c r="AO76" s="26" t="n"/>
      <c r="AP76" s="26" t="n"/>
      <c r="AQ76" s="26" t="n"/>
      <c r="AR76" s="26" t="n"/>
      <c r="AS76" s="26" t="n"/>
      <c r="AT76" s="26" t="n"/>
      <c r="AU76" s="26" t="n"/>
      <c r="AV76" s="26" t="n"/>
      <c r="AW76" s="26" t="n"/>
      <c r="AX76" s="26" t="n"/>
      <c r="AY76" s="27" t="n"/>
    </row>
    <row r="77" s="3154" customFormat="1" ht="13.5" customHeight="1">
      <c r="A77" s="1910" t="e">
        <f t="array" ref="A77">A13</f>
      </c>
      <c r="B77" s="179" t="e">
        <f t="array" ref="B77">B13</f>
      </c>
      <c r="C77" s="3906" t="e">
        <f t="array" ref="C77">C13</f>
      </c>
      <c r="D77" s="3910" t="n">
        <f t="array" ref="D77">D13*D$70</f>
        <v>0</v>
      </c>
      <c r="E77" s="3910" t="n">
        <f t="array" ref="E77">E13*E$70</f>
        <v>27000</v>
      </c>
      <c r="F77" s="3910" t="n">
        <f t="array" ref="F77">F13*F$70</f>
        <v>0</v>
      </c>
      <c r="G77" s="3910" t="n">
        <f t="array" ref="G77">G13*G$70</f>
        <v>0</v>
      </c>
      <c r="H77" s="3910" t="n">
        <f t="array" ref="H77">H13*H$70</f>
        <v>0</v>
      </c>
      <c r="I77" s="3910" t="n">
        <f t="array" ref="I77">I13*I$70</f>
        <v>194078.29988438357</v>
      </c>
      <c r="J77" s="3910" t="n">
        <f t="array" ref="J77">J13*J$70</f>
        <v>0</v>
      </c>
      <c r="K77" s="3910" t="n">
        <f t="array" ref="K77">K13*K$70</f>
        <v>10700.119409739658</v>
      </c>
      <c r="L77" s="3911" t="n">
        <f t="array" ref="L77">SUBTOTAL(9,D77:K77)</f>
        <v>231778.41929412322</v>
      </c>
      <c r="M77" s="38" t="str">
        <f t="array" ref="M77">IF(SUM(D77:L77)=0,"HIDE","")</f>
      </c>
      <c r="N77" s="26" t="n"/>
      <c r="O77" s="26" t="e">
        <f t="array" ref="O77">'Construction Interest'!B16</f>
      </c>
      <c r="P77" s="1922" t="n">
        <f t="array" ref="P77">ROUND('Cost Detail'!C70/'Cost Detail'!C81,2)</f>
        <v>0.42</v>
      </c>
      <c r="Q77" s="26" t="n"/>
      <c r="R77" s="1922" t="n">
        <f t="array" ref="R77">P77+Q77</f>
        <v>0.42</v>
      </c>
      <c r="S77" s="26" t="n"/>
      <c r="T77" s="26" t="n"/>
      <c r="U77" s="26" t="n"/>
      <c r="V77" s="26" t="n"/>
      <c r="W77" s="26" t="n"/>
      <c r="X77" s="26" t="n"/>
      <c r="Y77" s="26" t="n"/>
      <c r="Z77" s="26" t="n"/>
      <c r="AA77" s="26" t="n"/>
      <c r="AB77" s="26" t="n"/>
      <c r="AC77" s="26" t="n"/>
      <c r="AD77" s="26" t="n"/>
      <c r="AE77" s="26" t="n"/>
      <c r="AF77" s="26" t="n"/>
      <c r="AG77" s="26" t="n"/>
      <c r="AH77" s="26" t="n"/>
      <c r="AI77" s="26" t="n"/>
      <c r="AJ77" s="26" t="n"/>
      <c r="AK77" s="26" t="n"/>
      <c r="AL77" s="26" t="n"/>
      <c r="AM77" s="26" t="n"/>
      <c r="AN77" s="26" t="n"/>
      <c r="AO77" s="26" t="n"/>
      <c r="AP77" s="26" t="n"/>
      <c r="AQ77" s="26" t="n"/>
      <c r="AR77" s="26" t="n"/>
      <c r="AS77" s="26" t="n"/>
      <c r="AT77" s="26" t="n"/>
      <c r="AU77" s="26" t="n"/>
      <c r="AV77" s="26" t="n"/>
      <c r="AW77" s="26" t="n"/>
      <c r="AX77" s="26" t="n"/>
      <c r="AY77" s="27" t="n"/>
    </row>
    <row r="78" s="3154" customFormat="1" ht="13.5" customHeight="1">
      <c r="A78" s="1910" t="e">
        <f t="array" ref="A78">A14</f>
      </c>
      <c r="B78" s="179" t="e">
        <f t="array" ref="B78">B14</f>
      </c>
      <c r="C78" s="3906" t="e">
        <f t="array" ref="C78">C14</f>
      </c>
      <c r="D78" s="3910" t="n">
        <f t="array" ref="D78">D14*D$70</f>
        <v>0</v>
      </c>
      <c r="E78" s="3910" t="n">
        <f t="array" ref="E78">E14*E$70</f>
        <v>0</v>
      </c>
      <c r="F78" s="3910" t="n">
        <f t="array" ref="F78">F14*F$70</f>
        <v>0</v>
      </c>
      <c r="G78" s="3910" t="n">
        <f t="array" ref="G78">G14*G$70</f>
        <v>0</v>
      </c>
      <c r="H78" s="3910" t="n">
        <f t="array" ref="H78">H14*H$70</f>
        <v>0</v>
      </c>
      <c r="I78" s="3910" t="n">
        <f t="array" ref="I78">I14*I$70</f>
        <v>251419.6157593151</v>
      </c>
      <c r="J78" s="3910" t="n">
        <f t="array" ref="J78">J14*J$70</f>
        <v>0</v>
      </c>
      <c r="K78" s="3910" t="n">
        <f t="array" ref="K78">K14*K$70</f>
        <v>13861.51832625365</v>
      </c>
      <c r="L78" s="3911" t="n">
        <f t="array" ref="L78">SUBTOTAL(9,D78:K78)</f>
        <v>265281.1340855687</v>
      </c>
      <c r="M78" s="38" t="str">
        <f t="array" ref="M78">IF(SUM(D78:L78)=0,"HIDE","")</f>
      </c>
      <c r="N78" s="26" t="n"/>
      <c r="O78" s="26" t="e">
        <f t="array" ref="O78">'Construction Interest'!B17</f>
      </c>
      <c r="P78" s="1922" t="n"/>
      <c r="Q78" s="26" t="n"/>
      <c r="R78" s="1922" t="n">
        <f t="array" ref="R78">P78+Q78</f>
        <v>0</v>
      </c>
      <c r="S78" s="26" t="n"/>
      <c r="T78" s="26" t="n"/>
      <c r="U78" s="26" t="n"/>
      <c r="V78" s="26" t="n"/>
      <c r="W78" s="26" t="n"/>
      <c r="X78" s="26" t="n"/>
      <c r="Y78" s="26" t="n"/>
      <c r="Z78" s="26" t="n"/>
      <c r="AA78" s="26" t="n"/>
      <c r="AB78" s="26" t="n"/>
      <c r="AC78" s="26" t="n"/>
      <c r="AD78" s="26" t="n"/>
      <c r="AE78" s="26" t="n"/>
      <c r="AF78" s="26" t="n"/>
      <c r="AG78" s="26" t="n"/>
      <c r="AH78" s="26" t="n"/>
      <c r="AI78" s="26" t="n"/>
      <c r="AJ78" s="26" t="n"/>
      <c r="AK78" s="26" t="n"/>
      <c r="AL78" s="26" t="n"/>
      <c r="AM78" s="26" t="n"/>
      <c r="AN78" s="26" t="n"/>
      <c r="AO78" s="26" t="n"/>
      <c r="AP78" s="26" t="n"/>
      <c r="AQ78" s="26" t="n"/>
      <c r="AR78" s="26" t="n"/>
      <c r="AS78" s="26" t="n"/>
      <c r="AT78" s="26" t="n"/>
      <c r="AU78" s="26" t="n"/>
      <c r="AV78" s="26" t="n"/>
      <c r="AW78" s="26" t="n"/>
      <c r="AX78" s="26" t="n"/>
      <c r="AY78" s="27" t="n"/>
    </row>
    <row r="79" s="3154" customFormat="1" ht="13.5" customHeight="1">
      <c r="A79" s="1910" t="e">
        <f t="array" ref="A79">A15</f>
      </c>
      <c r="B79" s="179" t="e">
        <f t="array" ref="B79">B15</f>
      </c>
      <c r="C79" s="3906" t="e">
        <f t="array" ref="C79">C15</f>
      </c>
      <c r="D79" s="3910" t="n">
        <f t="array" ref="D79">D15*D$70</f>
        <v>0</v>
      </c>
      <c r="E79" s="3910" t="n">
        <f t="array" ref="E79">E15*E$70</f>
        <v>0</v>
      </c>
      <c r="F79" s="3910" t="n">
        <f t="array" ref="F79">F15*F$70</f>
        <v>0</v>
      </c>
      <c r="G79" s="3910" t="n">
        <f t="array" ref="G79">G15*G$70</f>
        <v>0</v>
      </c>
      <c r="H79" s="3910" t="n">
        <f t="array" ref="H79">H15*H$70</f>
        <v>0</v>
      </c>
      <c r="I79" s="3910" t="n">
        <f t="array" ref="I79">I15*I$70</f>
        <v>352869.6361534247</v>
      </c>
      <c r="J79" s="3910" t="n">
        <f t="array" ref="J79">J15*J$70</f>
        <v>0</v>
      </c>
      <c r="K79" s="3910" t="n">
        <f t="array" ref="K79">K15*K$70</f>
        <v>19454.762563163018</v>
      </c>
      <c r="L79" s="3911" t="n">
        <f t="array" ref="L79">SUBTOTAL(9,D79:K79)</f>
        <v>372324.3987165877</v>
      </c>
      <c r="M79" s="38" t="str">
        <f t="array" ref="M79">IF(SUM(D79:L79)=0,"HIDE","")</f>
      </c>
      <c r="N79" s="26" t="n"/>
      <c r="O79" s="26" t="e">
        <f t="array" ref="O79">'Construction Interest'!B18</f>
      </c>
      <c r="P79" s="1922" t="n"/>
      <c r="Q79" s="26" t="n"/>
      <c r="R79" s="1922" t="n">
        <f t="array" ref="R79">P79+Q79</f>
        <v>0</v>
      </c>
      <c r="S79" s="26" t="n"/>
      <c r="T79" s="26" t="n"/>
      <c r="U79" s="26" t="n"/>
      <c r="V79" s="26" t="n"/>
      <c r="W79" s="26" t="n"/>
      <c r="X79" s="26" t="n"/>
      <c r="Y79" s="26" t="n"/>
      <c r="Z79" s="26" t="n"/>
      <c r="AA79" s="26" t="n"/>
      <c r="AB79" s="26" t="n"/>
      <c r="AC79" s="26" t="n"/>
      <c r="AD79" s="26" t="n"/>
      <c r="AE79" s="26" t="n"/>
      <c r="AF79" s="26" t="n"/>
      <c r="AG79" s="26" t="n"/>
      <c r="AH79" s="26" t="n"/>
      <c r="AI79" s="26" t="n"/>
      <c r="AJ79" s="26" t="n"/>
      <c r="AK79" s="26" t="n"/>
      <c r="AL79" s="26" t="n"/>
      <c r="AM79" s="26" t="n"/>
      <c r="AN79" s="26" t="n"/>
      <c r="AO79" s="26" t="n"/>
      <c r="AP79" s="26" t="n"/>
      <c r="AQ79" s="26" t="n"/>
      <c r="AR79" s="26" t="n"/>
      <c r="AS79" s="26" t="n"/>
      <c r="AT79" s="26" t="n"/>
      <c r="AU79" s="26" t="n"/>
      <c r="AV79" s="26" t="n"/>
      <c r="AW79" s="26" t="n"/>
      <c r="AX79" s="26" t="n"/>
      <c r="AY79" s="27" t="n"/>
    </row>
    <row r="80" s="3154" customFormat="1" ht="13.5" customHeight="1">
      <c r="A80" s="1910" t="e">
        <f t="array" ref="A80">A16</f>
      </c>
      <c r="B80" s="179" t="e">
        <f t="array" ref="B80">B16</f>
      </c>
      <c r="C80" s="3906" t="e">
        <f t="array" ref="C80">C16</f>
      </c>
      <c r="D80" s="3910" t="n">
        <f t="array" ref="D80">D16*D$70</f>
        <v>0</v>
      </c>
      <c r="E80" s="3910" t="n">
        <f t="array" ref="E80">E16*E$70</f>
        <v>27000</v>
      </c>
      <c r="F80" s="3910" t="n">
        <f t="array" ref="F80">F16*F$70</f>
        <v>0</v>
      </c>
      <c r="G80" s="3910" t="n">
        <f t="array" ref="G80">G16*G$70</f>
        <v>0</v>
      </c>
      <c r="H80" s="3910" t="n">
        <f t="array" ref="H80">H16*H$70</f>
        <v>0</v>
      </c>
      <c r="I80" s="3910" t="n">
        <f t="array" ref="I80">I16*I$70</f>
        <v>326404.4134419178</v>
      </c>
      <c r="J80" s="3910" t="n">
        <f t="array" ref="J80">J16*J$70</f>
        <v>0</v>
      </c>
      <c r="K80" s="3910" t="n">
        <f t="array" ref="K80">K16*K$70</f>
        <v>17995.65537092579</v>
      </c>
      <c r="L80" s="3911" t="n">
        <f t="array" ref="L80">SUBTOTAL(9,D80:K80)</f>
        <v>371400.0688128436</v>
      </c>
      <c r="M80" s="38" t="str">
        <f t="array" ref="M80">IF(SUM(D80:L80)=0,"HIDE","")</f>
      </c>
      <c r="N80" s="26" t="n"/>
      <c r="O80" s="26" t="e">
        <f t="array" ref="O80">'Construction Interest'!B19</f>
      </c>
      <c r="P80" s="1922" t="n"/>
      <c r="Q80" s="26" t="n"/>
      <c r="R80" s="1922" t="n">
        <f t="array" ref="R80">P80+Q80</f>
        <v>0</v>
      </c>
      <c r="S80" s="26" t="n"/>
      <c r="T80" s="26" t="n"/>
      <c r="U80" s="26" t="n"/>
      <c r="V80" s="26" t="n"/>
      <c r="W80" s="26" t="n"/>
      <c r="X80" s="26" t="n"/>
      <c r="Y80" s="26" t="n"/>
      <c r="Z80" s="26" t="n"/>
      <c r="AA80" s="26" t="n"/>
      <c r="AB80" s="26" t="n"/>
      <c r="AC80" s="26" t="n"/>
      <c r="AD80" s="26" t="n"/>
      <c r="AE80" s="26" t="n"/>
      <c r="AF80" s="26" t="n"/>
      <c r="AG80" s="26" t="n"/>
      <c r="AH80" s="26" t="n"/>
      <c r="AI80" s="26" t="n"/>
      <c r="AJ80" s="26" t="n"/>
      <c r="AK80" s="26" t="n"/>
      <c r="AL80" s="26" t="n"/>
      <c r="AM80" s="26" t="n"/>
      <c r="AN80" s="26" t="n"/>
      <c r="AO80" s="26" t="n"/>
      <c r="AP80" s="26" t="n"/>
      <c r="AQ80" s="26" t="n"/>
      <c r="AR80" s="26" t="n"/>
      <c r="AS80" s="26" t="n"/>
      <c r="AT80" s="26" t="n"/>
      <c r="AU80" s="26" t="n"/>
      <c r="AV80" s="26" t="n"/>
      <c r="AW80" s="26" t="n"/>
      <c r="AX80" s="26" t="n"/>
      <c r="AY80" s="27" t="n"/>
    </row>
    <row r="81" s="3154" customFormat="1" ht="13.5" customHeight="1">
      <c r="A81" s="1910" t="e">
        <f t="array" ref="A81">A17</f>
      </c>
      <c r="B81" s="179" t="e">
        <f t="array" ref="B81">B17</f>
      </c>
      <c r="C81" s="3906" t="e">
        <f t="array" ref="C81">C17</f>
      </c>
      <c r="D81" s="3910" t="n">
        <f t="array" ref="D81">D17*D$70</f>
        <v>0</v>
      </c>
      <c r="E81" s="3910" t="n">
        <f t="array" ref="E81">E17*E$70</f>
        <v>0</v>
      </c>
      <c r="F81" s="3910" t="n">
        <f t="array" ref="F81">F17*F$70</f>
        <v>0</v>
      </c>
      <c r="G81" s="3910" t="n">
        <f t="array" ref="G81">G17*G$70</f>
        <v>0</v>
      </c>
      <c r="H81" s="3910" t="n">
        <f t="array" ref="H81">H17*H$70</f>
        <v>0</v>
      </c>
      <c r="I81" s="3910" t="n">
        <f t="array" ref="I81">I17*I$70</f>
        <v>348458.76570150687</v>
      </c>
      <c r="J81" s="3910" t="n">
        <f t="array" ref="J81">J17*J$70</f>
        <v>86290.72963481251</v>
      </c>
      <c r="K81" s="3910" t="n">
        <f t="array" ref="K81">K17*K$70</f>
        <v>19211.578031123478</v>
      </c>
      <c r="L81" s="3911" t="n">
        <f t="array" ref="L81">SUBTOTAL(9,D81:K81)</f>
        <v>453961.0733674429</v>
      </c>
      <c r="M81" s="38" t="str">
        <f t="array" ref="M81">IF(SUM(D81:L81)=0,"HIDE","")</f>
      </c>
      <c r="N81" s="26" t="n"/>
      <c r="O81" s="26" t="e">
        <f t="array" ref="O81">'Construction Interest'!B20</f>
      </c>
      <c r="P81" s="1922" t="n"/>
      <c r="Q81" s="26" t="n"/>
      <c r="R81" s="1922" t="n">
        <f t="array" ref="R81">P81+Q81</f>
        <v>0</v>
      </c>
      <c r="S81" s="26" t="n"/>
      <c r="T81" s="26" t="n"/>
      <c r="U81" s="26" t="n"/>
      <c r="V81" s="26" t="n"/>
      <c r="W81" s="26" t="n"/>
      <c r="X81" s="26" t="n"/>
      <c r="Y81" s="26" t="n"/>
      <c r="Z81" s="26" t="n"/>
      <c r="AA81" s="26" t="n"/>
      <c r="AB81" s="26" t="n"/>
      <c r="AC81" s="26" t="n"/>
      <c r="AD81" s="26" t="n"/>
      <c r="AE81" s="26" t="n"/>
      <c r="AF81" s="26" t="n"/>
      <c r="AG81" s="26" t="n"/>
      <c r="AH81" s="26" t="n"/>
      <c r="AI81" s="26" t="n"/>
      <c r="AJ81" s="26" t="n"/>
      <c r="AK81" s="26" t="n"/>
      <c r="AL81" s="26" t="n"/>
      <c r="AM81" s="26" t="n"/>
      <c r="AN81" s="26" t="n"/>
      <c r="AO81" s="26" t="n"/>
      <c r="AP81" s="26" t="n"/>
      <c r="AQ81" s="26" t="n"/>
      <c r="AR81" s="26" t="n"/>
      <c r="AS81" s="26" t="n"/>
      <c r="AT81" s="26" t="n"/>
      <c r="AU81" s="26" t="n"/>
      <c r="AV81" s="26" t="n"/>
      <c r="AW81" s="26" t="n"/>
      <c r="AX81" s="26" t="n"/>
      <c r="AY81" s="27" t="n"/>
    </row>
    <row r="82" s="3154" customFormat="1" ht="13.5" customHeight="1">
      <c r="A82" s="1910" t="e">
        <f t="array" ref="A82">A18</f>
      </c>
      <c r="B82" s="179" t="e">
        <f t="array" ref="B82">B18</f>
      </c>
      <c r="C82" s="3906" t="e">
        <f t="array" ref="C82">C18</f>
      </c>
      <c r="D82" s="3910" t="n">
        <f t="array" ref="D82">D18*D$70</f>
        <v>0</v>
      </c>
      <c r="E82" s="3910" t="n">
        <f t="array" ref="E82">E18*E$70</f>
        <v>0</v>
      </c>
      <c r="F82" s="3910" t="n">
        <f t="array" ref="F82">F18*F$70</f>
        <v>0</v>
      </c>
      <c r="G82" s="3910" t="n">
        <f t="array" ref="G82">G18*G$70</f>
        <v>0</v>
      </c>
      <c r="H82" s="3910" t="n">
        <f t="array" ref="H82">H18*H$70</f>
        <v>0</v>
      </c>
      <c r="I82" s="3910" t="n">
        <f t="array" ref="I82">I18*I$70</f>
        <v>361691.3770572603</v>
      </c>
      <c r="J82" s="3910" t="n">
        <f t="array" ref="J82">J18*J$70</f>
        <v>0</v>
      </c>
      <c r="K82" s="3910" t="n">
        <f t="array" ref="K82">K18*K$70</f>
        <v>19941.13162724209</v>
      </c>
      <c r="L82" s="3911" t="n">
        <f t="array" ref="L82">SUBTOTAL(9,D82:K82)</f>
        <v>381632.5086845024</v>
      </c>
      <c r="M82" s="38" t="str">
        <f t="array" ref="M82">IF(SUM(D82:L82)=0,"HIDE","")</f>
      </c>
      <c r="N82" s="26" t="n"/>
      <c r="O82" s="26" t="e">
        <f t="array" ref="O82">'Construction Interest'!B21</f>
      </c>
      <c r="P82" s="1922" t="e">
        <f t="array" ref="P82">'Construction Interest'!J21/'Construction Interest'!$H$5*(1-$P$77)</f>
      </c>
      <c r="Q82" s="26" t="n"/>
      <c r="R82" s="1922" t="e">
        <f t="array" ref="R82">P82+Q82</f>
      </c>
      <c r="S82" s="26" t="n"/>
      <c r="T82" s="26" t="n"/>
      <c r="U82" s="26" t="n"/>
      <c r="V82" s="26" t="n"/>
      <c r="W82" s="26" t="n"/>
      <c r="X82" s="26" t="n"/>
      <c r="Y82" s="26" t="n"/>
      <c r="Z82" s="26" t="n"/>
      <c r="AA82" s="26" t="n"/>
      <c r="AB82" s="26" t="n"/>
      <c r="AC82" s="26" t="n"/>
      <c r="AD82" s="26" t="n"/>
      <c r="AE82" s="26" t="n"/>
      <c r="AF82" s="26" t="n"/>
      <c r="AG82" s="26" t="n"/>
      <c r="AH82" s="26" t="n"/>
      <c r="AI82" s="26" t="n"/>
      <c r="AJ82" s="26" t="n"/>
      <c r="AK82" s="26" t="n"/>
      <c r="AL82" s="26" t="n"/>
      <c r="AM82" s="26" t="n"/>
      <c r="AN82" s="26" t="n"/>
      <c r="AO82" s="26" t="n"/>
      <c r="AP82" s="26" t="n"/>
      <c r="AQ82" s="26" t="n"/>
      <c r="AR82" s="26" t="n"/>
      <c r="AS82" s="26" t="n"/>
      <c r="AT82" s="26" t="n"/>
      <c r="AU82" s="26" t="n"/>
      <c r="AV82" s="26" t="n"/>
      <c r="AW82" s="26" t="n"/>
      <c r="AX82" s="26" t="n"/>
      <c r="AY82" s="27" t="n"/>
    </row>
    <row r="83" s="3154" customFormat="1" ht="13.5" customHeight="1">
      <c r="A83" s="1910" t="e">
        <f t="array" ref="A83">A19</f>
      </c>
      <c r="B83" s="179" t="e">
        <f t="array" ref="B83">B19</f>
      </c>
      <c r="C83" s="3906" t="e">
        <f t="array" ref="C83">C19</f>
      </c>
      <c r="D83" s="3910" t="n">
        <f t="array" ref="D83">D19*D$70</f>
        <v>0</v>
      </c>
      <c r="E83" s="3910" t="n">
        <f t="array" ref="E83">E19*E$70</f>
        <v>0</v>
      </c>
      <c r="F83" s="3910" t="n">
        <f t="array" ref="F83">F19*F$70</f>
        <v>0</v>
      </c>
      <c r="G83" s="3910" t="n">
        <f t="array" ref="G83">G19*G$70</f>
        <v>0</v>
      </c>
      <c r="H83" s="3910" t="n">
        <f t="array" ref="H83">H19*H$70</f>
        <v>0</v>
      </c>
      <c r="I83" s="3910" t="n">
        <f t="array" ref="I83">I19*I$70</f>
        <v>388156.59976876713</v>
      </c>
      <c r="J83" s="3910" t="n">
        <f t="array" ref="J83">J19*J$70</f>
        <v>0</v>
      </c>
      <c r="K83" s="3910" t="n">
        <f t="array" ref="K83">K19*K$70</f>
        <v>21400.238819479317</v>
      </c>
      <c r="L83" s="3911" t="n">
        <f t="array" ref="L83">SUBTOTAL(9,D83:K83)</f>
        <v>409556.83858824644</v>
      </c>
      <c r="M83" s="38" t="str">
        <f t="array" ref="M83">IF(SUM(D83:L83)=0,"HIDE","")</f>
      </c>
      <c r="N83" s="26" t="n"/>
      <c r="O83" s="26" t="e">
        <f t="array" ref="O83">'Construction Interest'!B22</f>
      </c>
      <c r="P83" s="1922" t="e">
        <f t="array" ref="P83">'Construction Interest'!J22/'Construction Interest'!$H$5*(1-$P$77)</f>
      </c>
      <c r="Q83" s="26" t="n"/>
      <c r="R83" s="1922" t="e">
        <f t="array" ref="R83">P83+Q83</f>
      </c>
      <c r="S83" s="26" t="n"/>
      <c r="T83" s="26" t="n"/>
      <c r="U83" s="26" t="n"/>
      <c r="V83" s="26" t="n"/>
      <c r="W83" s="26" t="n"/>
      <c r="X83" s="26" t="n"/>
      <c r="Y83" s="26" t="n"/>
      <c r="Z83" s="26" t="n"/>
      <c r="AA83" s="26" t="n"/>
      <c r="AB83" s="26" t="n"/>
      <c r="AC83" s="26" t="n"/>
      <c r="AD83" s="26" t="n"/>
      <c r="AE83" s="26" t="n"/>
      <c r="AF83" s="26" t="n"/>
      <c r="AG83" s="26" t="n"/>
      <c r="AH83" s="26" t="n"/>
      <c r="AI83" s="26" t="n"/>
      <c r="AJ83" s="26" t="n"/>
      <c r="AK83" s="26" t="n"/>
      <c r="AL83" s="26" t="n"/>
      <c r="AM83" s="26" t="n"/>
      <c r="AN83" s="26" t="n"/>
      <c r="AO83" s="26" t="n"/>
      <c r="AP83" s="26" t="n"/>
      <c r="AQ83" s="26" t="n"/>
      <c r="AR83" s="26" t="n"/>
      <c r="AS83" s="26" t="n"/>
      <c r="AT83" s="26" t="n"/>
      <c r="AU83" s="26" t="n"/>
      <c r="AV83" s="26" t="n"/>
      <c r="AW83" s="26" t="n"/>
      <c r="AX83" s="26" t="n"/>
      <c r="AY83" s="27" t="n"/>
    </row>
    <row r="84" s="3154" customFormat="1" ht="13.5" customHeight="1">
      <c r="A84" s="1910" t="e">
        <f t="array" ref="A84">A20</f>
      </c>
      <c r="B84" s="179" t="e">
        <f t="array" ref="B84">B20</f>
      </c>
      <c r="C84" s="3906" t="e">
        <f t="array" ref="C84">C20</f>
      </c>
      <c r="D84" s="3910" t="n">
        <f t="array" ref="D84">D20*D$70</f>
        <v>0</v>
      </c>
      <c r="E84" s="3910" t="n">
        <f t="array" ref="E84">E20*E$70</f>
        <v>0</v>
      </c>
      <c r="F84" s="3910" t="n">
        <f t="array" ref="F84">F20*F$70</f>
        <v>0</v>
      </c>
      <c r="G84" s="3910" t="n">
        <f t="array" ref="G84">G20*G$70</f>
        <v>0</v>
      </c>
      <c r="H84" s="3910" t="n">
        <f t="array" ref="H84">H20*H$70</f>
        <v>0</v>
      </c>
      <c r="I84" s="3910" t="n">
        <f t="array" ref="I84">I20*I$70</f>
        <v>357280.5066053425</v>
      </c>
      <c r="J84" s="3910" t="n">
        <f t="array" ref="J84">J20*J$70</f>
        <v>0</v>
      </c>
      <c r="K84" s="3910" t="n">
        <f t="array" ref="K84">K20*K$70</f>
        <v>19697.947095202555</v>
      </c>
      <c r="L84" s="3911" t="n">
        <f t="array" ref="L84">SUBTOTAL(9,D84:K84)</f>
        <v>376978.45370054507</v>
      </c>
      <c r="M84" s="38" t="str">
        <f t="array" ref="M84">IF(SUM(D84:L84)=0,"HIDE","")</f>
      </c>
      <c r="N84" s="26" t="n"/>
      <c r="O84" s="26" t="e">
        <f t="array" ref="O84">'Construction Interest'!B23</f>
      </c>
      <c r="P84" s="1922" t="e">
        <f t="array" ref="P84">'Construction Interest'!J23/'Construction Interest'!$H$5*(1-$P$77)</f>
      </c>
      <c r="Q84" s="26" t="n"/>
      <c r="R84" s="1922" t="e">
        <f t="array" ref="R84">P84+Q84</f>
      </c>
      <c r="S84" s="26" t="n"/>
      <c r="T84" s="26" t="n"/>
      <c r="U84" s="26" t="n"/>
      <c r="V84" s="26" t="n"/>
      <c r="W84" s="26" t="n"/>
      <c r="X84" s="26" t="n"/>
      <c r="Y84" s="26" t="n"/>
      <c r="Z84" s="26" t="n"/>
      <c r="AA84" s="26" t="n"/>
      <c r="AB84" s="26" t="n"/>
      <c r="AC84" s="26" t="n"/>
      <c r="AD84" s="26" t="n"/>
      <c r="AE84" s="26" t="n"/>
      <c r="AF84" s="26" t="n"/>
      <c r="AG84" s="26" t="n"/>
      <c r="AH84" s="26" t="n"/>
      <c r="AI84" s="26" t="n"/>
      <c r="AJ84" s="26" t="n"/>
      <c r="AK84" s="26" t="n"/>
      <c r="AL84" s="26" t="n"/>
      <c r="AM84" s="26" t="n"/>
      <c r="AN84" s="26" t="n"/>
      <c r="AO84" s="26" t="n"/>
      <c r="AP84" s="26" t="n"/>
      <c r="AQ84" s="26" t="n"/>
      <c r="AR84" s="26" t="n"/>
      <c r="AS84" s="26" t="n"/>
      <c r="AT84" s="26" t="n"/>
      <c r="AU84" s="26" t="n"/>
      <c r="AV84" s="26" t="n"/>
      <c r="AW84" s="26" t="n"/>
      <c r="AX84" s="26" t="n"/>
      <c r="AY84" s="27" t="n"/>
    </row>
    <row r="85" s="3154" customFormat="1" ht="13.5" customHeight="1">
      <c r="A85" s="1910" t="e">
        <f t="array" ref="A85">A21</f>
      </c>
      <c r="B85" s="179" t="e">
        <f t="array" ref="B85">B21</f>
      </c>
      <c r="C85" s="3906" t="e">
        <f t="array" ref="C85">C21</f>
      </c>
      <c r="D85" s="3910" t="n">
        <f t="array" ref="D85">D21*D$70</f>
        <v>0</v>
      </c>
      <c r="E85" s="3910" t="n">
        <f t="array" ref="E85">E21*E$70</f>
        <v>0</v>
      </c>
      <c r="F85" s="3910" t="n">
        <f t="array" ref="F85">F21*F$70</f>
        <v>0</v>
      </c>
      <c r="G85" s="3910" t="n">
        <f t="array" ref="G85">G21*G$70</f>
        <v>9750</v>
      </c>
      <c r="H85" s="3910" t="n">
        <f t="array" ref="H85">H21*H$70</f>
        <v>10760</v>
      </c>
      <c r="I85" s="3910" t="n">
        <f t="array" ref="I85">I21*I$70</f>
        <v>335226.1543457534</v>
      </c>
      <c r="J85" s="3910" t="n">
        <f t="array" ref="J85">J21*J$70</f>
        <v>0</v>
      </c>
      <c r="K85" s="3910" t="n">
        <f t="array" ref="K85">K21*K$70</f>
        <v>18482.024435004867</v>
      </c>
      <c r="L85" s="3911" t="n">
        <f t="array" ref="L85">SUBTOTAL(9,D85:K85)</f>
        <v>374218.1787807583</v>
      </c>
      <c r="M85" s="38" t="str">
        <f t="array" ref="M85">IF(SUM(D85:L85)=0,"HIDE","")</f>
      </c>
      <c r="N85" s="26" t="n"/>
      <c r="O85" s="26" t="e">
        <f t="array" ref="O85">'Construction Interest'!B24</f>
      </c>
      <c r="P85" s="1922" t="e">
        <f t="array" ref="P85">'Construction Interest'!J24/'Construction Interest'!$H$5*(1-$P$77)</f>
      </c>
      <c r="Q85" s="26" t="n"/>
      <c r="R85" s="1922" t="e">
        <f t="array" ref="R85">P85+Q85</f>
      </c>
      <c r="S85" s="26" t="n"/>
      <c r="T85" s="26" t="n"/>
      <c r="U85" s="26" t="n"/>
      <c r="V85" s="26" t="n"/>
      <c r="W85" s="26" t="n"/>
      <c r="X85" s="26" t="n"/>
      <c r="Y85" s="26" t="n"/>
      <c r="Z85" s="26" t="n"/>
      <c r="AA85" s="26" t="n"/>
      <c r="AB85" s="26" t="n"/>
      <c r="AC85" s="26" t="n"/>
      <c r="AD85" s="26" t="n"/>
      <c r="AE85" s="26" t="n"/>
      <c r="AF85" s="26" t="n"/>
      <c r="AG85" s="26" t="n"/>
      <c r="AH85" s="26" t="n"/>
      <c r="AI85" s="26" t="n"/>
      <c r="AJ85" s="26" t="n"/>
      <c r="AK85" s="26" t="n"/>
      <c r="AL85" s="26" t="n"/>
      <c r="AM85" s="26" t="n"/>
      <c r="AN85" s="26" t="n"/>
      <c r="AO85" s="26" t="n"/>
      <c r="AP85" s="26" t="n"/>
      <c r="AQ85" s="26" t="n"/>
      <c r="AR85" s="26" t="n"/>
      <c r="AS85" s="26" t="n"/>
      <c r="AT85" s="26" t="n"/>
      <c r="AU85" s="26" t="n"/>
      <c r="AV85" s="26" t="n"/>
      <c r="AW85" s="26" t="n"/>
      <c r="AX85" s="26" t="n"/>
      <c r="AY85" s="27" t="n"/>
    </row>
    <row r="86" s="3154" customFormat="1" ht="13.5" customHeight="1">
      <c r="A86" s="1910" t="e">
        <f t="array" ref="A86">A22</f>
      </c>
      <c r="B86" s="179" t="e">
        <f t="array" ref="B86">B22</f>
      </c>
      <c r="C86" s="3906" t="e">
        <f t="array" ref="C86">C22</f>
      </c>
      <c r="D86" s="3910" t="n">
        <f t="array" ref="D86">D22*D$70</f>
        <v>0</v>
      </c>
      <c r="E86" s="3910" t="n">
        <f t="array" ref="E86">E22*E$70</f>
        <v>0</v>
      </c>
      <c r="F86" s="3910" t="n">
        <f t="array" ref="F86">F22*F$70</f>
        <v>0</v>
      </c>
      <c r="G86" s="3910" t="n">
        <f t="array" ref="G86">G22*G$70</f>
        <v>9750</v>
      </c>
      <c r="H86" s="3910" t="n">
        <f t="array" ref="H86">H22*H$70</f>
        <v>16140</v>
      </c>
      <c r="I86" s="3910" t="n">
        <f t="array" ref="I86">I22*I$70</f>
        <v>313171.80208616436</v>
      </c>
      <c r="J86" s="3910" t="n">
        <f t="array" ref="J86">J22*J$70</f>
        <v>0</v>
      </c>
      <c r="K86" s="3910" t="n">
        <f t="array" ref="K86">K22*K$70</f>
        <v>17266.101774807175</v>
      </c>
      <c r="L86" s="3911" t="n">
        <f t="array" ref="L86">SUBTOTAL(9,D86:K86)</f>
        <v>356327.90386097156</v>
      </c>
      <c r="M86" s="38" t="str">
        <f t="array" ref="M86">IF(SUM(D86:L86)=0,"HIDE","")</f>
      </c>
      <c r="N86" s="26" t="n"/>
      <c r="O86" s="26" t="e">
        <f t="array" ref="O86">'Construction Interest'!B25</f>
      </c>
      <c r="P86" s="1922" t="e">
        <f t="array" ref="P86">'Construction Interest'!J25/'Construction Interest'!$H$5*(1-$P$77)</f>
      </c>
      <c r="Q86" s="26" t="n"/>
      <c r="R86" s="1922" t="e">
        <f t="array" ref="R86">P86+Q86</f>
      </c>
      <c r="S86" s="26" t="n"/>
      <c r="T86" s="26" t="n"/>
      <c r="U86" s="26" t="n"/>
      <c r="V86" s="26" t="n"/>
      <c r="W86" s="26" t="n"/>
      <c r="X86" s="26" t="n"/>
      <c r="Y86" s="26" t="n"/>
      <c r="Z86" s="26" t="n"/>
      <c r="AA86" s="26" t="n"/>
      <c r="AB86" s="26" t="n"/>
      <c r="AC86" s="26" t="n"/>
      <c r="AD86" s="26" t="n"/>
      <c r="AE86" s="26" t="n"/>
      <c r="AF86" s="26" t="n"/>
      <c r="AG86" s="26" t="n"/>
      <c r="AH86" s="26" t="n"/>
      <c r="AI86" s="26" t="n"/>
      <c r="AJ86" s="26" t="n"/>
      <c r="AK86" s="26" t="n"/>
      <c r="AL86" s="26" t="n"/>
      <c r="AM86" s="26" t="n"/>
      <c r="AN86" s="26" t="n"/>
      <c r="AO86" s="26" t="n"/>
      <c r="AP86" s="26" t="n"/>
      <c r="AQ86" s="26" t="n"/>
      <c r="AR86" s="26" t="n"/>
      <c r="AS86" s="26" t="n"/>
      <c r="AT86" s="26" t="n"/>
      <c r="AU86" s="26" t="n"/>
      <c r="AV86" s="26" t="n"/>
      <c r="AW86" s="26" t="n"/>
      <c r="AX86" s="26" t="n"/>
      <c r="AY86" s="27" t="n"/>
    </row>
    <row r="87" s="3154" customFormat="1" ht="13.5" customHeight="1">
      <c r="A87" s="1910" t="e">
        <f t="array" ref="A87">A23</f>
      </c>
      <c r="B87" s="179" t="e">
        <f t="array" ref="B87">B23</f>
      </c>
      <c r="C87" s="3906" t="e">
        <f t="array" ref="C87">C23</f>
      </c>
      <c r="D87" s="3910" t="n">
        <f t="array" ref="D87">D23*D$70</f>
        <v>0</v>
      </c>
      <c r="E87" s="3910" t="n">
        <f t="array" ref="E87">E23*E$70</f>
        <v>0</v>
      </c>
      <c r="F87" s="3910" t="n">
        <f t="array" ref="F87">F23*F$70</f>
        <v>0</v>
      </c>
      <c r="G87" s="3910" t="n">
        <f t="array" ref="G87">G23*G$70</f>
        <v>19500</v>
      </c>
      <c r="H87" s="3910" t="n">
        <f t="array" ref="H87">H23*H$70</f>
        <v>26900</v>
      </c>
      <c r="I87" s="3910" t="n">
        <f t="array" ref="I87">I23*I$70</f>
        <v>277884.8384708219</v>
      </c>
      <c r="J87" s="3910" t="n">
        <f t="array" ref="J87">J23*J$70</f>
        <v>28763.576544937503</v>
      </c>
      <c r="K87" s="3910" t="n">
        <f t="array" ref="K87">K23*K$70</f>
        <v>15320.625518490875</v>
      </c>
      <c r="L87" s="3911" t="n">
        <f t="array" ref="L87">SUBTOTAL(9,D87:K87)</f>
        <v>368369.04053425026</v>
      </c>
      <c r="M87" s="38" t="str">
        <f t="array" ref="M87">IF(SUM(D87:L87)=0,"HIDE","")</f>
      </c>
      <c r="N87" s="26" t="n"/>
      <c r="O87" s="26" t="e">
        <f t="array" ref="O87">'Construction Interest'!B26</f>
      </c>
      <c r="P87" s="1922" t="e">
        <f t="array" ref="P87">'Construction Interest'!J26/'Construction Interest'!$H$5*(1-$P$77)</f>
      </c>
      <c r="Q87" s="26" t="n"/>
      <c r="R87" s="1922" t="e">
        <f t="array" ref="R87">P87+Q87</f>
      </c>
      <c r="S87" s="26" t="n"/>
      <c r="T87" s="26" t="n"/>
      <c r="U87" s="26" t="n"/>
      <c r="V87" s="26" t="n"/>
      <c r="W87" s="26" t="n"/>
      <c r="X87" s="26" t="n"/>
      <c r="Y87" s="26" t="n"/>
      <c r="Z87" s="26" t="n"/>
      <c r="AA87" s="26" t="n"/>
      <c r="AB87" s="26" t="n"/>
      <c r="AC87" s="26" t="n"/>
      <c r="AD87" s="26" t="n"/>
      <c r="AE87" s="26" t="n"/>
      <c r="AF87" s="26" t="n"/>
      <c r="AG87" s="26" t="n"/>
      <c r="AH87" s="26" t="n"/>
      <c r="AI87" s="26" t="n"/>
      <c r="AJ87" s="26" t="n"/>
      <c r="AK87" s="26" t="n"/>
      <c r="AL87" s="26" t="n"/>
      <c r="AM87" s="26" t="n"/>
      <c r="AN87" s="26" t="n"/>
      <c r="AO87" s="26" t="n"/>
      <c r="AP87" s="26" t="n"/>
      <c r="AQ87" s="26" t="n"/>
      <c r="AR87" s="26" t="n"/>
      <c r="AS87" s="26" t="n"/>
      <c r="AT87" s="26" t="n"/>
      <c r="AU87" s="26" t="n"/>
      <c r="AV87" s="26" t="n"/>
      <c r="AW87" s="26" t="n"/>
      <c r="AX87" s="26" t="n"/>
      <c r="AY87" s="27" t="n"/>
    </row>
    <row r="88" s="3154" customFormat="1" ht="13.5" customHeight="1">
      <c r="A88" s="1910" t="e">
        <f t="array" ref="A88">A24</f>
      </c>
      <c r="B88" s="179" t="e">
        <f t="array" ref="B88">B24</f>
      </c>
      <c r="C88" s="3906" t="e">
        <f t="array" ref="C88">C24</f>
      </c>
      <c r="D88" s="3910" t="n">
        <f t="array" ref="D88">D24*D$70</f>
        <v>24808</v>
      </c>
      <c r="E88" s="3910" t="n">
        <f t="array" ref="E88">E24*E$70</f>
        <v>0</v>
      </c>
      <c r="F88" s="3910" t="n">
        <f t="array" ref="F88">F24*F$70</f>
        <v>0</v>
      </c>
      <c r="G88" s="3910" t="n">
        <f t="array" ref="G88">G24*G$70</f>
        <v>19500</v>
      </c>
      <c r="H88" s="3910" t="n">
        <f t="array" ref="H88">H24*H$70</f>
        <v>32280</v>
      </c>
      <c r="I88" s="3910" t="n">
        <f t="array" ref="I88">I24*I$70</f>
        <v>247008.74530739727</v>
      </c>
      <c r="J88" s="3910" t="n">
        <f t="array" ref="J88">J24*J$70</f>
        <v>28763.576544937503</v>
      </c>
      <c r="K88" s="3910" t="n">
        <f t="array" ref="K88">K24*K$70</f>
        <v>13618.333794214112</v>
      </c>
      <c r="L88" s="3911" t="n">
        <f t="array" ref="L88">SUBTOTAL(9,D88:K88)</f>
        <v>365978.6556465489</v>
      </c>
      <c r="M88" s="38" t="str">
        <f t="array" ref="M88">IF(SUM(D88:L88)=0,"HIDE","")</f>
      </c>
      <c r="N88" s="26" t="n"/>
      <c r="O88" s="26" t="e">
        <f t="array" ref="O88">'Construction Interest'!B27</f>
      </c>
      <c r="P88" s="1922" t="e">
        <f t="array" ref="P88">'Construction Interest'!J27/'Construction Interest'!$H$5*(1-$P$77)</f>
      </c>
      <c r="Q88" s="26" t="n"/>
      <c r="R88" s="1922" t="e">
        <f t="array" ref="R88">P88+Q88</f>
      </c>
      <c r="S88" s="26" t="n"/>
      <c r="T88" s="26" t="n"/>
      <c r="U88" s="26" t="n"/>
      <c r="V88" s="26" t="n"/>
      <c r="W88" s="26" t="n"/>
      <c r="X88" s="26" t="n"/>
      <c r="Y88" s="26" t="n"/>
      <c r="Z88" s="26" t="n"/>
      <c r="AA88" s="26" t="n"/>
      <c r="AB88" s="26" t="n"/>
      <c r="AC88" s="26" t="n"/>
      <c r="AD88" s="26" t="n"/>
      <c r="AE88" s="26" t="n"/>
      <c r="AF88" s="26" t="n"/>
      <c r="AG88" s="26" t="n"/>
      <c r="AH88" s="26" t="n"/>
      <c r="AI88" s="26" t="n"/>
      <c r="AJ88" s="26" t="n"/>
      <c r="AK88" s="26" t="n"/>
      <c r="AL88" s="26" t="n"/>
      <c r="AM88" s="26" t="n"/>
      <c r="AN88" s="26" t="n"/>
      <c r="AO88" s="26" t="n"/>
      <c r="AP88" s="26" t="n"/>
      <c r="AQ88" s="26" t="n"/>
      <c r="AR88" s="26" t="n"/>
      <c r="AS88" s="26" t="n"/>
      <c r="AT88" s="26" t="n"/>
      <c r="AU88" s="26" t="n"/>
      <c r="AV88" s="26" t="n"/>
      <c r="AW88" s="26" t="n"/>
      <c r="AX88" s="26" t="n"/>
      <c r="AY88" s="27" t="n"/>
    </row>
    <row r="89" s="3154" customFormat="1" ht="13.5" customHeight="1">
      <c r="A89" s="1910" t="e">
        <f t="array" ref="A89">A25</f>
      </c>
      <c r="B89" s="179" t="e">
        <f t="array" ref="B89">B25</f>
      </c>
      <c r="C89" s="3906" t="e">
        <f t="array" ref="C89">C25</f>
      </c>
      <c r="D89" s="3910" t="n">
        <f t="array" ref="D89">D25*D$70</f>
        <v>0</v>
      </c>
      <c r="E89" s="3910" t="n">
        <f t="array" ref="E89">E25*E$70</f>
        <v>0</v>
      </c>
      <c r="F89" s="3910" t="n">
        <f t="array" ref="F89">F25*F$70</f>
        <v>0</v>
      </c>
      <c r="G89" s="3910" t="n">
        <f t="array" ref="G89">G25*G$70</f>
        <v>29250</v>
      </c>
      <c r="H89" s="3910" t="n">
        <f t="array" ref="H89">H25*H$70</f>
        <v>37660</v>
      </c>
      <c r="I89" s="3910" t="n">
        <f t="array" ref="I89">I25*I$70</f>
        <v>180845.68852863015</v>
      </c>
      <c r="J89" s="3910" t="n">
        <f t="array" ref="J89">J25*J$70</f>
        <v>28763.576544937503</v>
      </c>
      <c r="K89" s="3910" t="n">
        <f t="array" ref="K89">K25*K$70</f>
        <v>9970.565813621046</v>
      </c>
      <c r="L89" s="3911" t="n">
        <f t="array" ref="L89">SUBTOTAL(9,D89:K89)</f>
        <v>286489.83088718867</v>
      </c>
      <c r="M89" s="38" t="str">
        <f t="array" ref="M89">IF(SUM(D89:L89)=0,"HIDE","")</f>
      </c>
      <c r="N89" s="26" t="n"/>
      <c r="O89" s="26" t="e">
        <f t="array" ref="O89">'Construction Interest'!B28</f>
      </c>
      <c r="P89" s="1922" t="e">
        <f t="array" ref="P89">'Construction Interest'!J28/'Construction Interest'!$H$5*(1-$P$77)</f>
      </c>
      <c r="Q89" s="26" t="n"/>
      <c r="R89" s="1922" t="e">
        <f t="array" ref="R89">P89+Q89</f>
      </c>
      <c r="S89" s="26" t="n"/>
      <c r="T89" s="26" t="n"/>
      <c r="U89" s="26" t="n"/>
      <c r="V89" s="26" t="n"/>
      <c r="W89" s="26" t="n"/>
      <c r="X89" s="26" t="n"/>
      <c r="Y89" s="26" t="n"/>
      <c r="Z89" s="26" t="n"/>
      <c r="AA89" s="26" t="n"/>
      <c r="AB89" s="26" t="n"/>
      <c r="AC89" s="26" t="n"/>
      <c r="AD89" s="26" t="n"/>
      <c r="AE89" s="26" t="n"/>
      <c r="AF89" s="26" t="n"/>
      <c r="AG89" s="26" t="n"/>
      <c r="AH89" s="26" t="n"/>
      <c r="AI89" s="26" t="n"/>
      <c r="AJ89" s="26" t="n"/>
      <c r="AK89" s="26" t="n"/>
      <c r="AL89" s="26" t="n"/>
      <c r="AM89" s="26" t="n"/>
      <c r="AN89" s="26" t="n"/>
      <c r="AO89" s="26" t="n"/>
      <c r="AP89" s="26" t="n"/>
      <c r="AQ89" s="26" t="n"/>
      <c r="AR89" s="26" t="n"/>
      <c r="AS89" s="26" t="n"/>
      <c r="AT89" s="26" t="n"/>
      <c r="AU89" s="26" t="n"/>
      <c r="AV89" s="26" t="n"/>
      <c r="AW89" s="26" t="n"/>
      <c r="AX89" s="26" t="n"/>
      <c r="AY89" s="27" t="n"/>
    </row>
    <row r="90" s="3154" customFormat="1" ht="13.5" customHeight="1">
      <c r="A90" s="1910" t="e">
        <f t="array" ref="A90">A26</f>
      </c>
      <c r="B90" s="179" t="e">
        <f t="array" ref="B90">B26</f>
      </c>
      <c r="C90" s="3906" t="e">
        <f t="array" ref="C90">C26</f>
      </c>
      <c r="D90" s="3910" t="n">
        <f t="array" ref="D90">D26*D$70</f>
        <v>0</v>
      </c>
      <c r="E90" s="3910" t="n">
        <f t="array" ref="E90">E26*E$70</f>
        <v>27000</v>
      </c>
      <c r="F90" s="3910" t="n">
        <f t="array" ref="F90">F26*F$70</f>
        <v>0</v>
      </c>
      <c r="G90" s="3910" t="n">
        <f t="array" ref="G90">G26*G$70</f>
        <v>29250</v>
      </c>
      <c r="H90" s="3910" t="n">
        <f t="array" ref="H90">H26*H$70</f>
        <v>48420</v>
      </c>
      <c r="I90" s="3910" t="n">
        <f t="array" ref="I90">I26*I$70</f>
        <v>127915.24310561645</v>
      </c>
      <c r="J90" s="3910" t="n">
        <f t="array" ref="J90">J26*J$70</f>
        <v>57527.153089875006</v>
      </c>
      <c r="K90" s="3910" t="n">
        <f t="array" ref="K90">K26*K$70</f>
        <v>7052.351429146594</v>
      </c>
      <c r="L90" s="3911" t="n">
        <f t="array" ref="L90">SUBTOTAL(9,D90:K90)</f>
        <v>297164.747624638</v>
      </c>
      <c r="M90" s="38" t="str">
        <f t="array" ref="M90">IF(SUM(D90:L90)=0,"HIDE","")</f>
      </c>
      <c r="N90" s="26" t="n"/>
      <c r="O90" s="26" t="e">
        <f t="array" ref="O90">'Construction Interest'!B29</f>
      </c>
      <c r="P90" s="1922" t="e">
        <f t="array" ref="P90">'Construction Interest'!J29/'Construction Interest'!$H$5*(1-$P$77)</f>
      </c>
      <c r="Q90" s="26" t="n"/>
      <c r="R90" s="1922" t="e">
        <f t="array" ref="R90">P90+Q90</f>
      </c>
      <c r="S90" s="26" t="n"/>
      <c r="T90" s="26" t="n"/>
      <c r="U90" s="26" t="n"/>
      <c r="V90" s="26" t="n"/>
      <c r="W90" s="26" t="n"/>
      <c r="X90" s="26" t="n"/>
      <c r="Y90" s="26" t="n"/>
      <c r="Z90" s="26" t="n"/>
      <c r="AA90" s="26" t="n"/>
      <c r="AB90" s="26" t="n"/>
      <c r="AC90" s="26" t="n"/>
      <c r="AD90" s="26" t="n"/>
      <c r="AE90" s="26" t="n"/>
      <c r="AF90" s="26" t="n"/>
      <c r="AG90" s="26" t="n"/>
      <c r="AH90" s="26" t="n"/>
      <c r="AI90" s="26" t="n"/>
      <c r="AJ90" s="26" t="n"/>
      <c r="AK90" s="26" t="n"/>
      <c r="AL90" s="26" t="n"/>
      <c r="AM90" s="26" t="n"/>
      <c r="AN90" s="26" t="n"/>
      <c r="AO90" s="26" t="n"/>
      <c r="AP90" s="26" t="n"/>
      <c r="AQ90" s="26" t="n"/>
      <c r="AR90" s="26" t="n"/>
      <c r="AS90" s="26" t="n"/>
      <c r="AT90" s="26" t="n"/>
      <c r="AU90" s="26" t="n"/>
      <c r="AV90" s="26" t="n"/>
      <c r="AW90" s="26" t="n"/>
      <c r="AX90" s="26" t="n"/>
      <c r="AY90" s="27" t="n"/>
    </row>
    <row r="91" s="3154" customFormat="1" ht="13.5" customHeight="1">
      <c r="A91" s="1910" t="e">
        <f t="array" ref="A91">A27</f>
      </c>
      <c r="B91" s="179" t="e">
        <f t="array" ref="B91">B27</f>
      </c>
      <c r="C91" s="3906" t="e">
        <f t="array" ref="C91">C27</f>
      </c>
      <c r="D91" s="3910" t="n">
        <f t="array" ref="D91">D27*D$70</f>
        <v>0</v>
      </c>
      <c r="E91" s="3910" t="n">
        <f t="array" ref="E91">E27*E$70</f>
        <v>0</v>
      </c>
      <c r="F91" s="3910" t="n">
        <f t="array" ref="F91">F27*F$70</f>
        <v>0</v>
      </c>
      <c r="G91" s="3910" t="n">
        <f t="array" ref="G91">G27*G$70</f>
        <v>39000</v>
      </c>
      <c r="H91" s="3910" t="n">
        <f t="array" ref="H91">H27*H$70</f>
        <v>64560</v>
      </c>
      <c r="I91" s="3910" t="n">
        <f t="array" ref="I91">I27*I$70</f>
        <v>70573.92723068493</v>
      </c>
      <c r="J91" s="3910" t="n">
        <f t="array" ref="J91">J27*J$70</f>
        <v>57527.153089875006</v>
      </c>
      <c r="K91" s="3910" t="n">
        <f t="array" ref="K91">K27*K$70</f>
        <v>3890.9525126326034</v>
      </c>
      <c r="L91" s="3911" t="n">
        <f t="array" ref="L91">SUBTOTAL(9,D91:K91)</f>
        <v>235552.03283319253</v>
      </c>
      <c r="M91" s="38" t="str">
        <f t="array" ref="M91">IF(SUM(D91:L91)=0,"HIDE","")</f>
      </c>
      <c r="N91" s="26" t="n"/>
      <c r="O91" s="26" t="e">
        <f t="array" ref="O91">'Construction Interest'!B30</f>
      </c>
      <c r="P91" s="1922" t="e">
        <f t="array" ref="P91">'Construction Interest'!J30/'Construction Interest'!$H$5*(1-$P$77)</f>
      </c>
      <c r="Q91" s="26" t="n"/>
      <c r="R91" s="1922" t="e">
        <f t="array" ref="R91">P91+Q91</f>
      </c>
      <c r="S91" s="26" t="n"/>
      <c r="T91" s="26" t="n"/>
      <c r="U91" s="26" t="n"/>
      <c r="V91" s="26" t="n"/>
      <c r="W91" s="26" t="n"/>
      <c r="X91" s="26" t="n"/>
      <c r="Y91" s="26" t="n"/>
      <c r="Z91" s="26" t="n"/>
      <c r="AA91" s="26" t="n"/>
      <c r="AB91" s="26" t="n"/>
      <c r="AC91" s="26" t="n"/>
      <c r="AD91" s="26" t="n"/>
      <c r="AE91" s="26" t="n"/>
      <c r="AF91" s="26" t="n"/>
      <c r="AG91" s="26" t="n"/>
      <c r="AH91" s="26" t="n"/>
      <c r="AI91" s="26" t="n"/>
      <c r="AJ91" s="26" t="n"/>
      <c r="AK91" s="26" t="n"/>
      <c r="AL91" s="26" t="n"/>
      <c r="AM91" s="26" t="n"/>
      <c r="AN91" s="26" t="n"/>
      <c r="AO91" s="26" t="n"/>
      <c r="AP91" s="26" t="n"/>
      <c r="AQ91" s="26" t="n"/>
      <c r="AR91" s="26" t="n"/>
      <c r="AS91" s="26" t="n"/>
      <c r="AT91" s="26" t="n"/>
      <c r="AU91" s="26" t="n"/>
      <c r="AV91" s="26" t="n"/>
      <c r="AW91" s="26" t="n"/>
      <c r="AX91" s="26" t="n"/>
      <c r="AY91" s="27" t="n"/>
    </row>
    <row r="92" s="3154" customFormat="1" ht="13.5" customHeight="1">
      <c r="A92" s="1910" t="e">
        <f t="array" ref="A92">A28</f>
      </c>
      <c r="B92" s="179" t="e">
        <f t="array" ref="B92">B28</f>
      </c>
      <c r="C92" s="3906" t="e">
        <f t="array" ref="C92">C28</f>
      </c>
      <c r="D92" s="3910" t="n">
        <f t="array" ref="D92">D28*D$70</f>
        <v>0</v>
      </c>
      <c r="E92" s="3910" t="n">
        <f t="array" ref="E92">E28*E$70</f>
        <v>0</v>
      </c>
      <c r="F92" s="3910" t="n">
        <f t="array" ref="F92">F28*F$70</f>
        <v>0</v>
      </c>
      <c r="G92" s="3910" t="n">
        <f t="array" ref="G92">G28*G$70</f>
        <v>39000</v>
      </c>
      <c r="H92" s="3910" t="n">
        <f t="array" ref="H92">H28*H$70</f>
        <v>75320</v>
      </c>
      <c r="I92" s="3910" t="n">
        <f t="array" ref="I92">I28*I$70</f>
        <v>13232.611355753426</v>
      </c>
      <c r="J92" s="3910" t="n">
        <f t="array" ref="J92">J28*J$70</f>
        <v>0</v>
      </c>
      <c r="K92" s="3910" t="n">
        <f t="array" ref="K92">K28*K$70</f>
        <v>729.5535961186131</v>
      </c>
      <c r="L92" s="3911" t="n">
        <f t="array" ref="L92">SUBTOTAL(9,D92:K92)</f>
        <v>128282.16495187204</v>
      </c>
      <c r="M92" s="38" t="str">
        <f t="array" ref="M92">IF(SUM(D92:L92)=0,"HIDE","")</f>
      </c>
      <c r="N92" s="26" t="n"/>
      <c r="O92" s="26" t="e">
        <f t="array" ref="O92">'Construction Interest'!B31</f>
      </c>
      <c r="P92" s="1922" t="e">
        <f t="array" ref="P92">'Construction Interest'!J31/'Construction Interest'!$H$5*(1-$P$77)</f>
      </c>
      <c r="Q92" s="26" t="n"/>
      <c r="R92" s="1922" t="e">
        <f t="array" ref="R92">P92+Q92</f>
      </c>
      <c r="S92" s="26" t="n"/>
      <c r="T92" s="26" t="n"/>
      <c r="U92" s="26" t="n"/>
      <c r="V92" s="26" t="n"/>
      <c r="W92" s="26" t="n"/>
      <c r="X92" s="26" t="n"/>
      <c r="Y92" s="26" t="n"/>
      <c r="Z92" s="26" t="n"/>
      <c r="AA92" s="26" t="n"/>
      <c r="AB92" s="26" t="n"/>
      <c r="AC92" s="26" t="n"/>
      <c r="AD92" s="26" t="n"/>
      <c r="AE92" s="26" t="n"/>
      <c r="AF92" s="26" t="n"/>
      <c r="AG92" s="26" t="n"/>
      <c r="AH92" s="26" t="n"/>
      <c r="AI92" s="26" t="n"/>
      <c r="AJ92" s="26" t="n"/>
      <c r="AK92" s="26" t="n"/>
      <c r="AL92" s="26" t="n"/>
      <c r="AM92" s="26" t="n"/>
      <c r="AN92" s="26" t="n"/>
      <c r="AO92" s="26" t="n"/>
      <c r="AP92" s="26" t="n"/>
      <c r="AQ92" s="26" t="n"/>
      <c r="AR92" s="26" t="n"/>
      <c r="AS92" s="26" t="n"/>
      <c r="AT92" s="26" t="n"/>
      <c r="AU92" s="26" t="n"/>
      <c r="AV92" s="26" t="n"/>
      <c r="AW92" s="26" t="n"/>
      <c r="AX92" s="26" t="n"/>
      <c r="AY92" s="27" t="n"/>
    </row>
    <row r="93" s="3154" customFormat="1" ht="13.5" customHeight="1">
      <c r="A93" s="1910" t="e">
        <f t="array" ref="A93">A29</f>
      </c>
      <c r="B93" s="179" t="e">
        <f t="array" ref="B93">B29</f>
      </c>
      <c r="C93" s="3906" t="e">
        <f t="array" ref="C93">C29</f>
      </c>
      <c r="D93" s="3910" t="n">
        <f t="array" ref="D93">D29*D$70</f>
        <v>0</v>
      </c>
      <c r="E93" s="3910" t="n">
        <f t="array" ref="E93">E29*E$70</f>
        <v>0</v>
      </c>
      <c r="F93" s="3910" t="n">
        <f t="array" ref="F93">F29*F$70</f>
        <v>0</v>
      </c>
      <c r="G93" s="3910" t="n">
        <f t="array" ref="G93">G29*G$70</f>
        <v>0</v>
      </c>
      <c r="H93" s="3910" t="n">
        <f t="array" ref="H93">H29*H$70</f>
        <v>91460</v>
      </c>
      <c r="I93" s="3910" t="n">
        <f t="array" ref="I93">I29*I$70</f>
        <v>0</v>
      </c>
      <c r="J93" s="3910" t="n">
        <f t="array" ref="J93">J29*J$70</f>
        <v>0</v>
      </c>
      <c r="K93" s="3910" t="n">
        <f t="array" ref="K93">K29*K$70</f>
        <v>0</v>
      </c>
      <c r="L93" s="3911" t="n">
        <f t="array" ref="L93">SUBTOTAL(9,D93:K93)</f>
        <v>91460</v>
      </c>
      <c r="M93" s="38" t="str">
        <f t="array" ref="M93">IF(SUM(D93:L93)=0,"HIDE","")</f>
      </c>
      <c r="N93" s="26" t="n"/>
      <c r="O93" s="26" t="e">
        <f t="array" ref="O93">'Construction Interest'!B32</f>
      </c>
      <c r="P93" s="1922" t="e">
        <f t="array" ref="P93">'Construction Interest'!J32/'Construction Interest'!$H$5*(1-$P$77)</f>
      </c>
      <c r="Q93" s="26" t="n"/>
      <c r="R93" s="1922" t="e">
        <f t="array" ref="R93">P93+Q93</f>
      </c>
      <c r="S93" s="26" t="n"/>
      <c r="T93" s="26" t="n"/>
      <c r="U93" s="26" t="n"/>
      <c r="V93" s="26" t="n"/>
      <c r="W93" s="26" t="n"/>
      <c r="X93" s="26" t="n"/>
      <c r="Y93" s="26" t="n"/>
      <c r="Z93" s="26" t="n"/>
      <c r="AA93" s="26" t="n"/>
      <c r="AB93" s="26" t="n"/>
      <c r="AC93" s="26" t="n"/>
      <c r="AD93" s="26" t="n"/>
      <c r="AE93" s="26" t="n"/>
      <c r="AF93" s="26" t="n"/>
      <c r="AG93" s="26" t="n"/>
      <c r="AH93" s="26" t="n"/>
      <c r="AI93" s="26" t="n"/>
      <c r="AJ93" s="26" t="n"/>
      <c r="AK93" s="26" t="n"/>
      <c r="AL93" s="26" t="n"/>
      <c r="AM93" s="26" t="n"/>
      <c r="AN93" s="26" t="n"/>
      <c r="AO93" s="26" t="n"/>
      <c r="AP93" s="26" t="n"/>
      <c r="AQ93" s="26" t="n"/>
      <c r="AR93" s="26" t="n"/>
      <c r="AS93" s="26" t="n"/>
      <c r="AT93" s="26" t="n"/>
      <c r="AU93" s="26" t="n"/>
      <c r="AV93" s="26" t="n"/>
      <c r="AW93" s="26" t="n"/>
      <c r="AX93" s="26" t="n"/>
      <c r="AY93" s="27" t="n"/>
    </row>
    <row r="94" s="3154" customFormat="1" ht="13.5" customHeight="1">
      <c r="A94" s="1910" t="e">
        <f t="array" ref="A94">A30</f>
      </c>
      <c r="B94" s="179" t="e">
        <f t="array" ref="B94">B30</f>
      </c>
      <c r="C94" s="3906" t="e">
        <f t="array" ref="C94">C30</f>
      </c>
      <c r="D94" s="3910" t="n">
        <f t="array" ref="D94">D30*D$70</f>
        <v>0</v>
      </c>
      <c r="E94" s="3910" t="n">
        <f t="array" ref="E94">E30*E$70</f>
        <v>0</v>
      </c>
      <c r="F94" s="3910" t="n">
        <f t="array" ref="F94">F30*F$70</f>
        <v>0</v>
      </c>
      <c r="G94" s="3910" t="n">
        <f t="array" ref="G94">G30*G$70</f>
        <v>0</v>
      </c>
      <c r="H94" s="3910" t="n">
        <f t="array" ref="H94">H30*H$70</f>
        <v>0</v>
      </c>
      <c r="I94" s="3910" t="n">
        <f t="array" ref="I94">I30*I$70</f>
        <v>0</v>
      </c>
      <c r="J94" s="3910" t="n">
        <f t="array" ref="J94">J30*J$70</f>
        <v>0</v>
      </c>
      <c r="K94" s="3910" t="n">
        <f t="array" ref="K94">K30*K$70</f>
        <v>0</v>
      </c>
      <c r="L94" s="3911" t="n">
        <f t="array" ref="L94">SUBTOTAL(9,D94:K94)</f>
        <v>0</v>
      </c>
      <c r="M94" s="38" t="str">
        <f t="array" ref="M94">IF(SUM(D94:L94)=0,"HIDE","")</f>
        <v>HIDE</v>
      </c>
      <c r="N94" s="26" t="n"/>
      <c r="O94" s="26" t="n"/>
      <c r="P94" s="26" t="n"/>
      <c r="Q94" s="26" t="n"/>
      <c r="R94" s="26" t="n"/>
      <c r="S94" s="26" t="n"/>
      <c r="T94" s="26" t="n"/>
      <c r="U94" s="26" t="n"/>
      <c r="V94" s="26" t="n"/>
      <c r="W94" s="26" t="n"/>
      <c r="X94" s="26" t="n"/>
      <c r="Y94" s="26" t="n"/>
      <c r="Z94" s="26" t="n"/>
      <c r="AA94" s="26" t="n"/>
      <c r="AB94" s="26" t="n"/>
      <c r="AC94" s="26" t="n"/>
      <c r="AD94" s="26" t="n"/>
      <c r="AE94" s="26" t="n"/>
      <c r="AF94" s="26" t="n"/>
      <c r="AG94" s="26" t="n"/>
      <c r="AH94" s="26" t="n"/>
      <c r="AI94" s="26" t="n"/>
      <c r="AJ94" s="26" t="n"/>
      <c r="AK94" s="26" t="n"/>
      <c r="AL94" s="26" t="n"/>
      <c r="AM94" s="26" t="n"/>
      <c r="AN94" s="26" t="n"/>
      <c r="AO94" s="26" t="n"/>
      <c r="AP94" s="26" t="n"/>
      <c r="AQ94" s="26" t="n"/>
      <c r="AR94" s="26" t="n"/>
      <c r="AS94" s="26" t="n"/>
      <c r="AT94" s="26" t="n"/>
      <c r="AU94" s="26" t="n"/>
      <c r="AV94" s="26" t="n"/>
      <c r="AW94" s="26" t="n"/>
      <c r="AX94" s="26" t="n"/>
      <c r="AY94" s="27" t="n"/>
    </row>
    <row r="95" s="3154" customFormat="1" ht="13.5" customHeight="1">
      <c r="A95" s="1910" t="e">
        <f t="array" ref="A95">A31</f>
      </c>
      <c r="B95" s="179" t="e">
        <f t="array" ref="B95">B31</f>
      </c>
      <c r="C95" s="3906" t="e">
        <f t="array" ref="C95">C31</f>
      </c>
      <c r="D95" s="3910" t="n">
        <f t="array" ref="D95">D31*D$70</f>
        <v>0</v>
      </c>
      <c r="E95" s="3910" t="n">
        <f t="array" ref="E95">E31*E$70</f>
        <v>0</v>
      </c>
      <c r="F95" s="3910" t="n">
        <f t="array" ref="F95">F31*F$70</f>
        <v>0</v>
      </c>
      <c r="G95" s="3910" t="n">
        <f t="array" ref="G95">G31*G$70</f>
        <v>0</v>
      </c>
      <c r="H95" s="3910" t="n">
        <f t="array" ref="H95">H31*H$70</f>
        <v>0</v>
      </c>
      <c r="I95" s="3910" t="n">
        <f t="array" ref="I95">I31*I$70</f>
        <v>0</v>
      </c>
      <c r="J95" s="3910" t="n">
        <f t="array" ref="J95">J31*J$70</f>
        <v>0</v>
      </c>
      <c r="K95" s="3910" t="n">
        <f t="array" ref="K95">K31*K$70</f>
        <v>0</v>
      </c>
      <c r="L95" s="3911" t="n">
        <f t="array" ref="L95">SUBTOTAL(9,D95:K95)</f>
        <v>0</v>
      </c>
      <c r="M95" s="38" t="str">
        <f t="array" ref="M95">IF(SUM(D95:L95)=0,"HIDE","")</f>
        <v>HIDE</v>
      </c>
      <c r="N95" s="26" t="n"/>
      <c r="O95" s="26" t="n"/>
      <c r="P95" s="26" t="n"/>
      <c r="Q95" s="26" t="n"/>
      <c r="R95" s="1922" t="e">
        <f t="array" ref="R95">SUM(R77:R93)</f>
      </c>
      <c r="S95" s="26" t="n"/>
      <c r="T95" s="26" t="n"/>
      <c r="U95" s="26" t="n"/>
      <c r="V95" s="26" t="n"/>
      <c r="W95" s="26" t="n"/>
      <c r="X95" s="26" t="n"/>
      <c r="Y95" s="26" t="n"/>
      <c r="Z95" s="26" t="n"/>
      <c r="AA95" s="26" t="n"/>
      <c r="AB95" s="26" t="n"/>
      <c r="AC95" s="26" t="n"/>
      <c r="AD95" s="26" t="n"/>
      <c r="AE95" s="26" t="n"/>
      <c r="AF95" s="26" t="n"/>
      <c r="AG95" s="26" t="n"/>
      <c r="AH95" s="26" t="n"/>
      <c r="AI95" s="26" t="n"/>
      <c r="AJ95" s="26" t="n"/>
      <c r="AK95" s="26" t="n"/>
      <c r="AL95" s="26" t="n"/>
      <c r="AM95" s="26" t="n"/>
      <c r="AN95" s="26" t="n"/>
      <c r="AO95" s="26" t="n"/>
      <c r="AP95" s="26" t="n"/>
      <c r="AQ95" s="26" t="n"/>
      <c r="AR95" s="26" t="n"/>
      <c r="AS95" s="26" t="n"/>
      <c r="AT95" s="26" t="n"/>
      <c r="AU95" s="26" t="n"/>
      <c r="AV95" s="26" t="n"/>
      <c r="AW95" s="26" t="n"/>
      <c r="AX95" s="26" t="n"/>
      <c r="AY95" s="27" t="n"/>
    </row>
    <row r="96" s="3154" customFormat="1" ht="13.5" customHeight="1">
      <c r="A96" s="1910" t="e">
        <f t="array" ref="A96">A32</f>
      </c>
      <c r="B96" s="179" t="e">
        <f t="array" ref="B96">B32</f>
      </c>
      <c r="C96" s="3906" t="e">
        <f t="array" ref="C96">C32</f>
      </c>
      <c r="D96" s="3910" t="n">
        <f t="array" ref="D96">D32*D$70</f>
        <v>0</v>
      </c>
      <c r="E96" s="3910" t="n">
        <f t="array" ref="E96">E32*E$70</f>
        <v>0</v>
      </c>
      <c r="F96" s="3910" t="n">
        <f t="array" ref="F96">F32*F$70</f>
        <v>0</v>
      </c>
      <c r="G96" s="3910" t="n">
        <f t="array" ref="G96">G32*G$70</f>
        <v>0</v>
      </c>
      <c r="H96" s="3910" t="n">
        <f t="array" ref="H96">H32*H$70</f>
        <v>0</v>
      </c>
      <c r="I96" s="3910" t="n">
        <f t="array" ref="I96">I32*I$70</f>
        <v>0</v>
      </c>
      <c r="J96" s="3910" t="n">
        <f t="array" ref="J96">J32*J$70</f>
        <v>0</v>
      </c>
      <c r="K96" s="3910" t="n">
        <f t="array" ref="K96">K32*K$70</f>
        <v>0</v>
      </c>
      <c r="L96" s="3911" t="n">
        <f t="array" ref="L96">SUBTOTAL(9,D96:K96)</f>
        <v>0</v>
      </c>
      <c r="M96" s="38" t="str">
        <f t="array" ref="M96">IF(SUM(D96:L96)=0,"HIDE","")</f>
        <v>HIDE</v>
      </c>
      <c r="N96" s="26" t="n"/>
      <c r="O96" s="26" t="n"/>
      <c r="P96" s="26" t="n"/>
      <c r="Q96" s="26" t="n"/>
      <c r="R96" s="26" t="n"/>
      <c r="S96" s="26" t="n"/>
      <c r="T96" s="26" t="n"/>
      <c r="U96" s="26" t="n"/>
      <c r="V96" s="26" t="n"/>
      <c r="W96" s="26" t="n"/>
      <c r="X96" s="26" t="n"/>
      <c r="Y96" s="26" t="n"/>
      <c r="Z96" s="26" t="n"/>
      <c r="AA96" s="26" t="n"/>
      <c r="AB96" s="26" t="n"/>
      <c r="AC96" s="26" t="n"/>
      <c r="AD96" s="26" t="n"/>
      <c r="AE96" s="26" t="n"/>
      <c r="AF96" s="26" t="n"/>
      <c r="AG96" s="26" t="n"/>
      <c r="AH96" s="26" t="n"/>
      <c r="AI96" s="26" t="n"/>
      <c r="AJ96" s="26" t="n"/>
      <c r="AK96" s="26" t="n"/>
      <c r="AL96" s="26" t="n"/>
      <c r="AM96" s="26" t="n"/>
      <c r="AN96" s="26" t="n"/>
      <c r="AO96" s="26" t="n"/>
      <c r="AP96" s="26" t="n"/>
      <c r="AQ96" s="26" t="n"/>
      <c r="AR96" s="26" t="n"/>
      <c r="AS96" s="26" t="n"/>
      <c r="AT96" s="26" t="n"/>
      <c r="AU96" s="26" t="n"/>
      <c r="AV96" s="26" t="n"/>
      <c r="AW96" s="26" t="n"/>
      <c r="AX96" s="26" t="n"/>
      <c r="AY96" s="27" t="n"/>
    </row>
    <row r="97" s="3154" customFormat="1" ht="13.5" customHeight="1">
      <c r="A97" s="1910" t="e">
        <f t="array" ref="A97">A33</f>
      </c>
      <c r="B97" s="179" t="e">
        <f t="array" ref="B97">B33</f>
      </c>
      <c r="C97" s="3906" t="e">
        <f t="array" ref="C97">C33</f>
      </c>
      <c r="D97" s="3910" t="n">
        <f t="array" ref="D97">D33*D$70</f>
        <v>0</v>
      </c>
      <c r="E97" s="3910" t="n">
        <f t="array" ref="E97">E33*E$70</f>
        <v>0</v>
      </c>
      <c r="F97" s="3910" t="n">
        <f t="array" ref="F97">F33*F$70</f>
        <v>0</v>
      </c>
      <c r="G97" s="3910" t="n">
        <f t="array" ref="G97">G33*G$70</f>
        <v>0</v>
      </c>
      <c r="H97" s="3910" t="n">
        <f t="array" ref="H97">H33*H$70</f>
        <v>0</v>
      </c>
      <c r="I97" s="3910" t="n">
        <f t="array" ref="I97">I33*I$70</f>
        <v>0</v>
      </c>
      <c r="J97" s="3910" t="n">
        <f t="array" ref="J97">J33*J$70</f>
        <v>0</v>
      </c>
      <c r="K97" s="3910" t="n">
        <f t="array" ref="K97">K33*K$70</f>
        <v>0</v>
      </c>
      <c r="L97" s="3911" t="n">
        <f t="array" ref="L97">SUBTOTAL(9,D97:K97)</f>
        <v>0</v>
      </c>
      <c r="M97" s="38" t="str">
        <f t="array" ref="M97">IF(SUM(D97:L97)=0,"HIDE","")</f>
        <v>HIDE</v>
      </c>
      <c r="N97" s="26" t="n"/>
      <c r="O97" s="26" t="n"/>
      <c r="P97" s="26" t="n"/>
      <c r="Q97" s="26" t="n"/>
      <c r="R97" s="26" t="n"/>
      <c r="S97" s="26" t="n"/>
      <c r="T97" s="26" t="n"/>
      <c r="U97" s="26" t="n"/>
      <c r="V97" s="26" t="n"/>
      <c r="W97" s="26" t="n"/>
      <c r="X97" s="26" t="n"/>
      <c r="Y97" s="26" t="n"/>
      <c r="Z97" s="26" t="n"/>
      <c r="AA97" s="26" t="n"/>
      <c r="AB97" s="26" t="n"/>
      <c r="AC97" s="26" t="n"/>
      <c r="AD97" s="26" t="n"/>
      <c r="AE97" s="26" t="n"/>
      <c r="AF97" s="26" t="n"/>
      <c r="AG97" s="26" t="n"/>
      <c r="AH97" s="26" t="n"/>
      <c r="AI97" s="26" t="n"/>
      <c r="AJ97" s="26" t="n"/>
      <c r="AK97" s="26" t="n"/>
      <c r="AL97" s="26" t="n"/>
      <c r="AM97" s="26" t="n"/>
      <c r="AN97" s="26" t="n"/>
      <c r="AO97" s="26" t="n"/>
      <c r="AP97" s="26" t="n"/>
      <c r="AQ97" s="26" t="n"/>
      <c r="AR97" s="26" t="n"/>
      <c r="AS97" s="26" t="n"/>
      <c r="AT97" s="26" t="n"/>
      <c r="AU97" s="26" t="n"/>
      <c r="AV97" s="26" t="n"/>
      <c r="AW97" s="26" t="n"/>
      <c r="AX97" s="26" t="n"/>
      <c r="AY97" s="27" t="n"/>
    </row>
    <row r="98" s="3154" customFormat="1" ht="13.5" customHeight="1">
      <c r="A98" s="1910" t="e">
        <f t="array" ref="A98">A34</f>
      </c>
      <c r="B98" s="179" t="e">
        <f t="array" ref="B98">B34</f>
      </c>
      <c r="C98" s="3906" t="e">
        <f t="array" ref="C98">C34</f>
      </c>
      <c r="D98" s="3910" t="n">
        <f t="array" ref="D98">D34*D$70</f>
        <v>0</v>
      </c>
      <c r="E98" s="3910" t="n">
        <f t="array" ref="E98">E34*E$70</f>
        <v>27000</v>
      </c>
      <c r="F98" s="3910" t="n">
        <f t="array" ref="F98">F34*F$70</f>
        <v>0</v>
      </c>
      <c r="G98" s="3910" t="n">
        <f t="array" ref="G98">G34*G$70</f>
        <v>0</v>
      </c>
      <c r="H98" s="3910" t="n">
        <f t="array" ref="H98">H34*H$70</f>
        <v>0</v>
      </c>
      <c r="I98" s="3910" t="n">
        <f t="array" ref="I98">I34*I$70</f>
        <v>0</v>
      </c>
      <c r="J98" s="3910" t="n">
        <f t="array" ref="J98">J34*J$70</f>
        <v>0</v>
      </c>
      <c r="K98" s="3910" t="n">
        <f t="array" ref="K98">K34*K$70</f>
        <v>0</v>
      </c>
      <c r="L98" s="3911" t="n">
        <f t="array" ref="L98">SUBTOTAL(9,D98:K98)</f>
        <v>27000</v>
      </c>
      <c r="M98" s="38" t="str">
        <f t="array" ref="M98">IF(SUM(D98:L98)=0,"HIDE","")</f>
      </c>
      <c r="N98" s="26" t="n"/>
      <c r="O98" s="26" t="n"/>
      <c r="P98" s="26" t="n"/>
      <c r="Q98" s="26" t="n"/>
      <c r="R98" s="26" t="n"/>
      <c r="S98" s="26" t="n"/>
      <c r="T98" s="26" t="n"/>
      <c r="U98" s="26" t="n"/>
      <c r="V98" s="26" t="n"/>
      <c r="W98" s="26" t="n"/>
      <c r="X98" s="26" t="n"/>
      <c r="Y98" s="26" t="n"/>
      <c r="Z98" s="26" t="n"/>
      <c r="AA98" s="26" t="n"/>
      <c r="AB98" s="26" t="n"/>
      <c r="AC98" s="26" t="n"/>
      <c r="AD98" s="26" t="n"/>
      <c r="AE98" s="26" t="n"/>
      <c r="AF98" s="26" t="n"/>
      <c r="AG98" s="26" t="n"/>
      <c r="AH98" s="26" t="n"/>
      <c r="AI98" s="26" t="n"/>
      <c r="AJ98" s="26" t="n"/>
      <c r="AK98" s="26" t="n"/>
      <c r="AL98" s="26" t="n"/>
      <c r="AM98" s="26" t="n"/>
      <c r="AN98" s="26" t="n"/>
      <c r="AO98" s="26" t="n"/>
      <c r="AP98" s="26" t="n"/>
      <c r="AQ98" s="26" t="n"/>
      <c r="AR98" s="26" t="n"/>
      <c r="AS98" s="26" t="n"/>
      <c r="AT98" s="26" t="n"/>
      <c r="AU98" s="26" t="n"/>
      <c r="AV98" s="26" t="n"/>
      <c r="AW98" s="26" t="n"/>
      <c r="AX98" s="26" t="n"/>
      <c r="AY98" s="27" t="n"/>
    </row>
    <row r="99" s="3154" customFormat="1" ht="13.5" customHeight="1">
      <c r="A99" s="1910" t="e">
        <f t="array" ref="A99">A35</f>
      </c>
      <c r="B99" s="179" t="e">
        <f t="array" ref="B99">B35</f>
      </c>
      <c r="C99" s="3906" t="e">
        <f t="array" ref="C99">C35</f>
      </c>
      <c r="D99" s="3910" t="n">
        <f t="array" ref="D99">D35*D$70</f>
        <v>0</v>
      </c>
      <c r="E99" s="3910" t="n">
        <f t="array" ref="E99">E35*E$70</f>
        <v>0</v>
      </c>
      <c r="F99" s="3910" t="n">
        <f t="array" ref="F99">F35*F$70</f>
        <v>0</v>
      </c>
      <c r="G99" s="3910" t="n">
        <f t="array" ref="G99">G35*G$70</f>
        <v>0</v>
      </c>
      <c r="H99" s="3910" t="n">
        <f t="array" ref="H99">H35*H$70</f>
        <v>0</v>
      </c>
      <c r="I99" s="3910" t="n">
        <f t="array" ref="I99">I35*I$70</f>
        <v>0</v>
      </c>
      <c r="J99" s="3910" t="n">
        <f t="array" ref="J99">J35*J$70</f>
        <v>0</v>
      </c>
      <c r="K99" s="3910" t="n">
        <f t="array" ref="K99">K35*K$70</f>
        <v>0</v>
      </c>
      <c r="L99" s="3911" t="n">
        <f t="array" ref="L99">SUBTOTAL(9,D99:K99)</f>
        <v>0</v>
      </c>
      <c r="M99" s="38" t="str">
        <f t="array" ref="M99">IF(SUM(D99:L99)=0,"HIDE","")</f>
        <v>HIDE</v>
      </c>
      <c r="N99" s="26" t="n"/>
      <c r="O99" s="26" t="n"/>
      <c r="P99" s="26" t="n"/>
      <c r="Q99" s="26" t="n"/>
      <c r="R99" s="26" t="n"/>
      <c r="S99" s="26" t="n"/>
      <c r="T99" s="26" t="n"/>
      <c r="U99" s="26" t="n"/>
      <c r="V99" s="26" t="n"/>
      <c r="W99" s="26" t="n"/>
      <c r="X99" s="26" t="n"/>
      <c r="Y99" s="26" t="n"/>
      <c r="Z99" s="26" t="n"/>
      <c r="AA99" s="26" t="n"/>
      <c r="AB99" s="26" t="n"/>
      <c r="AC99" s="26" t="n"/>
      <c r="AD99" s="26" t="n"/>
      <c r="AE99" s="26" t="n"/>
      <c r="AF99" s="26" t="n"/>
      <c r="AG99" s="26" t="n"/>
      <c r="AH99" s="26" t="n"/>
      <c r="AI99" s="26" t="n"/>
      <c r="AJ99" s="26" t="n"/>
      <c r="AK99" s="26" t="n"/>
      <c r="AL99" s="26" t="n"/>
      <c r="AM99" s="26" t="n"/>
      <c r="AN99" s="26" t="n"/>
      <c r="AO99" s="26" t="n"/>
      <c r="AP99" s="26" t="n"/>
      <c r="AQ99" s="26" t="n"/>
      <c r="AR99" s="26" t="n"/>
      <c r="AS99" s="26" t="n"/>
      <c r="AT99" s="26" t="n"/>
      <c r="AU99" s="26" t="n"/>
      <c r="AV99" s="26" t="n"/>
      <c r="AW99" s="26" t="n"/>
      <c r="AX99" s="26" t="n"/>
      <c r="AY99" s="27" t="n"/>
    </row>
    <row r="100" s="3154" customFormat="1" ht="13.5" customHeight="1">
      <c r="A100" s="1910" t="e">
        <f t="array" ref="A100">A36</f>
      </c>
      <c r="B100" s="179" t="e">
        <f t="array" ref="B100">B36</f>
      </c>
      <c r="C100" s="3906" t="e">
        <f t="array" ref="C100">C36</f>
      </c>
      <c r="D100" s="3910" t="n">
        <f t="array" ref="D100">D36*D$70</f>
        <v>24808</v>
      </c>
      <c r="E100" s="3910" t="n">
        <f t="array" ref="E100">E36*E$70</f>
        <v>0</v>
      </c>
      <c r="F100" s="3910" t="n">
        <f t="array" ref="F100">F36*F$70</f>
        <v>0</v>
      </c>
      <c r="G100" s="3910" t="n">
        <f t="array" ref="G100">G36*G$70</f>
        <v>0</v>
      </c>
      <c r="H100" s="3910" t="n">
        <f t="array" ref="H100">H36*H$70</f>
        <v>0</v>
      </c>
      <c r="I100" s="3910" t="n">
        <f t="array" ref="I100">I36*I$70</f>
        <v>0</v>
      </c>
      <c r="J100" s="3910" t="n">
        <f t="array" ref="J100">J36*J$70</f>
        <v>0</v>
      </c>
      <c r="K100" s="3910" t="n">
        <f t="array" ref="K100">K36*K$70</f>
        <v>0</v>
      </c>
      <c r="L100" s="3911" t="n">
        <f t="array" ref="L100">SUBTOTAL(9,D100:K100)</f>
        <v>24808</v>
      </c>
      <c r="M100" s="38" t="str">
        <f t="array" ref="M100">IF(SUM(D100:L100)=0,"HIDE","")</f>
      </c>
      <c r="N100" s="26" t="n"/>
      <c r="O100" s="26" t="n"/>
      <c r="P100" s="26" t="n"/>
      <c r="Q100" s="26" t="n"/>
      <c r="R100" s="26" t="n"/>
      <c r="S100" s="26" t="n"/>
      <c r="T100" s="26" t="n"/>
      <c r="U100" s="26" t="n"/>
      <c r="V100" s="26" t="n"/>
      <c r="W100" s="26" t="n"/>
      <c r="X100" s="26" t="n"/>
      <c r="Y100" s="26" t="n"/>
      <c r="Z100" s="26" t="n"/>
      <c r="AA100" s="26" t="n"/>
      <c r="AB100" s="26" t="n"/>
      <c r="AC100" s="26" t="n"/>
      <c r="AD100" s="26" t="n"/>
      <c r="AE100" s="26" t="n"/>
      <c r="AF100" s="26" t="n"/>
      <c r="AG100" s="26" t="n"/>
      <c r="AH100" s="26" t="n"/>
      <c r="AI100" s="26" t="n"/>
      <c r="AJ100" s="26" t="n"/>
      <c r="AK100" s="26" t="n"/>
      <c r="AL100" s="26" t="n"/>
      <c r="AM100" s="26" t="n"/>
      <c r="AN100" s="26" t="n"/>
      <c r="AO100" s="26" t="n"/>
      <c r="AP100" s="26" t="n"/>
      <c r="AQ100" s="26" t="n"/>
      <c r="AR100" s="26" t="n"/>
      <c r="AS100" s="26" t="n"/>
      <c r="AT100" s="26" t="n"/>
      <c r="AU100" s="26" t="n"/>
      <c r="AV100" s="26" t="n"/>
      <c r="AW100" s="26" t="n"/>
      <c r="AX100" s="26" t="n"/>
      <c r="AY100" s="27" t="n"/>
    </row>
    <row r="101" s="3154" customFormat="1" ht="13.5" customHeight="1">
      <c r="A101" s="1910" t="e">
        <f t="array" ref="A101">A37</f>
      </c>
      <c r="B101" s="179" t="e">
        <f t="array" ref="B101">B37</f>
      </c>
      <c r="C101" s="3906" t="e">
        <f t="array" ref="C101">C37</f>
      </c>
      <c r="D101" s="3910" t="n">
        <f t="array" ref="D101">D37*D$70</f>
        <v>0</v>
      </c>
      <c r="E101" s="3910" t="n">
        <f t="array" ref="E101">E37*E$70</f>
        <v>0</v>
      </c>
      <c r="F101" s="3910" t="n">
        <f t="array" ref="F101">F37*F$70</f>
        <v>0</v>
      </c>
      <c r="G101" s="3910" t="n">
        <f t="array" ref="G101">G37*G$70</f>
        <v>0</v>
      </c>
      <c r="H101" s="3910" t="n">
        <f t="array" ref="H101">H37*H$70</f>
        <v>0</v>
      </c>
      <c r="I101" s="3910" t="n">
        <f t="array" ref="I101">I37*I$70</f>
        <v>0</v>
      </c>
      <c r="J101" s="3910" t="n">
        <f t="array" ref="J101">J37*J$70</f>
        <v>0</v>
      </c>
      <c r="K101" s="3910" t="n">
        <f t="array" ref="K101">K37*K$70</f>
        <v>0</v>
      </c>
      <c r="L101" s="3911" t="n">
        <f t="array" ref="L101">SUBTOTAL(9,D101:K101)</f>
        <v>0</v>
      </c>
      <c r="M101" s="38" t="str">
        <f t="array" ref="M101">IF(SUM(D101:L101)=0,"HIDE","")</f>
        <v>HIDE</v>
      </c>
      <c r="N101" s="26" t="n"/>
      <c r="O101" s="26" t="n"/>
      <c r="P101" s="26" t="n"/>
      <c r="Q101" s="26" t="n"/>
      <c r="R101" s="26" t="n"/>
      <c r="S101" s="26" t="n"/>
      <c r="T101" s="26" t="n"/>
      <c r="U101" s="26" t="n"/>
      <c r="V101" s="26" t="n"/>
      <c r="W101" s="26" t="n"/>
      <c r="X101" s="26" t="n"/>
      <c r="Y101" s="26" t="n"/>
      <c r="Z101" s="26" t="n"/>
      <c r="AA101" s="26" t="n"/>
      <c r="AB101" s="26" t="n"/>
      <c r="AC101" s="26" t="n"/>
      <c r="AD101" s="26" t="n"/>
      <c r="AE101" s="26" t="n"/>
      <c r="AF101" s="26" t="n"/>
      <c r="AG101" s="26" t="n"/>
      <c r="AH101" s="26" t="n"/>
      <c r="AI101" s="26" t="n"/>
      <c r="AJ101" s="26" t="n"/>
      <c r="AK101" s="26" t="n"/>
      <c r="AL101" s="26" t="n"/>
      <c r="AM101" s="26" t="n"/>
      <c r="AN101" s="26" t="n"/>
      <c r="AO101" s="26" t="n"/>
      <c r="AP101" s="26" t="n"/>
      <c r="AQ101" s="26" t="n"/>
      <c r="AR101" s="26" t="n"/>
      <c r="AS101" s="26" t="n"/>
      <c r="AT101" s="26" t="n"/>
      <c r="AU101" s="26" t="n"/>
      <c r="AV101" s="26" t="n"/>
      <c r="AW101" s="26" t="n"/>
      <c r="AX101" s="26" t="n"/>
      <c r="AY101" s="27" t="n"/>
    </row>
    <row r="102" s="3154" customFormat="1" ht="13.5" customHeight="1">
      <c r="A102" s="1910" t="e">
        <f t="array" ref="A102">A38</f>
      </c>
      <c r="B102" s="179" t="e">
        <f t="array" ref="B102">B38</f>
      </c>
      <c r="C102" s="3906" t="e">
        <f t="array" ref="C102">C38</f>
      </c>
      <c r="D102" s="3910" t="n">
        <f t="array" ref="D102">D38*D$70</f>
        <v>0</v>
      </c>
      <c r="E102" s="3910" t="n">
        <f t="array" ref="E102">E38*E$70</f>
        <v>0</v>
      </c>
      <c r="F102" s="3910" t="n">
        <f t="array" ref="F102">F38*F$70</f>
        <v>0</v>
      </c>
      <c r="G102" s="3910" t="n">
        <f t="array" ref="G102">G38*G$70</f>
        <v>0</v>
      </c>
      <c r="H102" s="3910" t="n">
        <f t="array" ref="H102">H38*H$70</f>
        <v>0</v>
      </c>
      <c r="I102" s="3910" t="n">
        <f t="array" ref="I102">I38*I$70</f>
        <v>0</v>
      </c>
      <c r="J102" s="3910" t="n">
        <f t="array" ref="J102">J38*J$70</f>
        <v>0</v>
      </c>
      <c r="K102" s="3910" t="n">
        <f t="array" ref="K102">K38*K$70</f>
        <v>0</v>
      </c>
      <c r="L102" s="3911" t="n">
        <f t="array" ref="L102">SUBTOTAL(9,D102:K102)</f>
        <v>0</v>
      </c>
      <c r="M102" s="38" t="str">
        <f t="array" ref="M102">IF(SUM(D102:L102)=0,"HIDE","")</f>
        <v>HIDE</v>
      </c>
      <c r="N102" s="26" t="n"/>
      <c r="O102" s="26" t="n"/>
      <c r="P102" s="26" t="n"/>
      <c r="Q102" s="26" t="n"/>
      <c r="R102" s="26" t="n"/>
      <c r="S102" s="26" t="n"/>
      <c r="T102" s="26" t="n"/>
      <c r="U102" s="26" t="n"/>
      <c r="V102" s="26" t="n"/>
      <c r="W102" s="26" t="n"/>
      <c r="X102" s="26" t="n"/>
      <c r="Y102" s="26" t="n"/>
      <c r="Z102" s="26" t="n"/>
      <c r="AA102" s="26" t="n"/>
      <c r="AB102" s="26" t="n"/>
      <c r="AC102" s="26" t="n"/>
      <c r="AD102" s="26" t="n"/>
      <c r="AE102" s="26" t="n"/>
      <c r="AF102" s="26" t="n"/>
      <c r="AG102" s="26" t="n"/>
      <c r="AH102" s="26" t="n"/>
      <c r="AI102" s="26" t="n"/>
      <c r="AJ102" s="26" t="n"/>
      <c r="AK102" s="26" t="n"/>
      <c r="AL102" s="26" t="n"/>
      <c r="AM102" s="26" t="n"/>
      <c r="AN102" s="26" t="n"/>
      <c r="AO102" s="26" t="n"/>
      <c r="AP102" s="26" t="n"/>
      <c r="AQ102" s="26" t="n"/>
      <c r="AR102" s="26" t="n"/>
      <c r="AS102" s="26" t="n"/>
      <c r="AT102" s="26" t="n"/>
      <c r="AU102" s="26" t="n"/>
      <c r="AV102" s="26" t="n"/>
      <c r="AW102" s="26" t="n"/>
      <c r="AX102" s="26" t="n"/>
      <c r="AY102" s="27" t="n"/>
    </row>
    <row r="103" s="3154" customFormat="1" ht="13.5" customHeight="1">
      <c r="A103" s="1910" t="e">
        <f t="array" ref="A103">A39</f>
      </c>
      <c r="B103" s="179" t="e">
        <f t="array" ref="B103">B39</f>
      </c>
      <c r="C103" s="3906" t="e">
        <f t="array" ref="C103">C39</f>
      </c>
      <c r="D103" s="3910" t="n">
        <f t="array" ref="D103">D39*D$70</f>
        <v>0</v>
      </c>
      <c r="E103" s="3910" t="n">
        <f t="array" ref="E103">E39*E$70</f>
        <v>0</v>
      </c>
      <c r="F103" s="3910" t="n">
        <f t="array" ref="F103">F39*F$70</f>
        <v>0</v>
      </c>
      <c r="G103" s="3910" t="n">
        <f t="array" ref="G103">G39*G$70</f>
        <v>0</v>
      </c>
      <c r="H103" s="3910" t="n">
        <f t="array" ref="H103">H39*H$70</f>
        <v>0</v>
      </c>
      <c r="I103" s="3910" t="n">
        <f t="array" ref="I103">I39*I$70</f>
        <v>0</v>
      </c>
      <c r="J103" s="3910" t="n">
        <f t="array" ref="J103">J39*J$70</f>
        <v>0</v>
      </c>
      <c r="K103" s="3910" t="n">
        <f t="array" ref="K103">K39*K$70</f>
        <v>0</v>
      </c>
      <c r="L103" s="3911" t="n">
        <f t="array" ref="L103">SUBTOTAL(9,D103:K103)</f>
        <v>0</v>
      </c>
      <c r="M103" s="38" t="str">
        <f t="array" ref="M103">IF(SUM(D103:L103)=0,"HIDE","")</f>
        <v>HIDE</v>
      </c>
      <c r="N103" s="26" t="n"/>
      <c r="O103" s="26" t="n"/>
      <c r="P103" s="26" t="n"/>
      <c r="Q103" s="26" t="n"/>
      <c r="R103" s="26" t="n"/>
      <c r="S103" s="26" t="n"/>
      <c r="T103" s="26" t="n"/>
      <c r="U103" s="26" t="n"/>
      <c r="V103" s="26" t="n"/>
      <c r="W103" s="26" t="n"/>
      <c r="X103" s="26" t="n"/>
      <c r="Y103" s="26" t="n"/>
      <c r="Z103" s="26" t="n"/>
      <c r="AA103" s="26" t="n"/>
      <c r="AB103" s="26" t="n"/>
      <c r="AC103" s="26" t="n"/>
      <c r="AD103" s="26" t="n"/>
      <c r="AE103" s="26" t="n"/>
      <c r="AF103" s="26" t="n"/>
      <c r="AG103" s="26" t="n"/>
      <c r="AH103" s="26" t="n"/>
      <c r="AI103" s="26" t="n"/>
      <c r="AJ103" s="26" t="n"/>
      <c r="AK103" s="26" t="n"/>
      <c r="AL103" s="26" t="n"/>
      <c r="AM103" s="26" t="n"/>
      <c r="AN103" s="26" t="n"/>
      <c r="AO103" s="26" t="n"/>
      <c r="AP103" s="26" t="n"/>
      <c r="AQ103" s="26" t="n"/>
      <c r="AR103" s="26" t="n"/>
      <c r="AS103" s="26" t="n"/>
      <c r="AT103" s="26" t="n"/>
      <c r="AU103" s="26" t="n"/>
      <c r="AV103" s="26" t="n"/>
      <c r="AW103" s="26" t="n"/>
      <c r="AX103" s="26" t="n"/>
      <c r="AY103" s="27" t="n"/>
    </row>
    <row r="104" s="3154" customFormat="1" ht="13.5" customHeight="1">
      <c r="A104" s="1910" t="e">
        <f t="array" ref="A104">A40</f>
      </c>
      <c r="B104" s="179" t="e">
        <f t="array" ref="B104">B40</f>
      </c>
      <c r="C104" s="3906" t="e">
        <f t="array" ref="C104">C40</f>
      </c>
      <c r="D104" s="3910" t="n">
        <f t="array" ref="D104">D40*D$70</f>
        <v>0</v>
      </c>
      <c r="E104" s="3910" t="n">
        <f t="array" ref="E104">E40*E$70</f>
        <v>0</v>
      </c>
      <c r="F104" s="3910" t="n">
        <f t="array" ref="F104">F40*F$70</f>
        <v>0</v>
      </c>
      <c r="G104" s="3910" t="n">
        <f t="array" ref="G104">G40*G$70</f>
        <v>0</v>
      </c>
      <c r="H104" s="3910" t="n">
        <f t="array" ref="H104">H40*H$70</f>
        <v>0</v>
      </c>
      <c r="I104" s="3910" t="n">
        <f t="array" ref="I104">I40*I$70</f>
        <v>0</v>
      </c>
      <c r="J104" s="3910" t="n">
        <f t="array" ref="J104">J40*J$70</f>
        <v>0</v>
      </c>
      <c r="K104" s="3910" t="n">
        <f t="array" ref="K104">K40*K$70</f>
        <v>0</v>
      </c>
      <c r="L104" s="3911" t="n">
        <f t="array" ref="L104">SUBTOTAL(9,D104:K104)</f>
        <v>0</v>
      </c>
      <c r="M104" s="38" t="str">
        <f t="array" ref="M104">IF(SUM(D104:L104)=0,"HIDE","")</f>
        <v>HIDE</v>
      </c>
      <c r="N104" s="26" t="n"/>
      <c r="O104" s="26" t="n"/>
      <c r="P104" s="26" t="n"/>
      <c r="Q104" s="26" t="n"/>
      <c r="R104" s="26" t="n"/>
      <c r="S104" s="26" t="n"/>
      <c r="T104" s="26" t="n"/>
      <c r="U104" s="26" t="n"/>
      <c r="V104" s="26" t="n"/>
      <c r="W104" s="26" t="n"/>
      <c r="X104" s="26" t="n"/>
      <c r="Y104" s="26" t="n"/>
      <c r="Z104" s="26" t="n"/>
      <c r="AA104" s="26" t="n"/>
      <c r="AB104" s="26" t="n"/>
      <c r="AC104" s="26" t="n"/>
      <c r="AD104" s="26" t="n"/>
      <c r="AE104" s="26" t="n"/>
      <c r="AF104" s="26" t="n"/>
      <c r="AG104" s="26" t="n"/>
      <c r="AH104" s="26" t="n"/>
      <c r="AI104" s="26" t="n"/>
      <c r="AJ104" s="26" t="n"/>
      <c r="AK104" s="26" t="n"/>
      <c r="AL104" s="26" t="n"/>
      <c r="AM104" s="26" t="n"/>
      <c r="AN104" s="26" t="n"/>
      <c r="AO104" s="26" t="n"/>
      <c r="AP104" s="26" t="n"/>
      <c r="AQ104" s="26" t="n"/>
      <c r="AR104" s="26" t="n"/>
      <c r="AS104" s="26" t="n"/>
      <c r="AT104" s="26" t="n"/>
      <c r="AU104" s="26" t="n"/>
      <c r="AV104" s="26" t="n"/>
      <c r="AW104" s="26" t="n"/>
      <c r="AX104" s="26" t="n"/>
      <c r="AY104" s="27" t="n"/>
    </row>
    <row r="105" s="3154" customFormat="1" ht="13.5" customHeight="1">
      <c r="A105" s="1910" t="e">
        <f t="array" ref="A105">A41</f>
      </c>
      <c r="B105" s="179" t="e">
        <f t="array" ref="B105">B41</f>
      </c>
      <c r="C105" s="3906" t="e">
        <f t="array" ref="C105">C41</f>
      </c>
      <c r="D105" s="3910" t="n">
        <f t="array" ref="D105">D41*D$70</f>
        <v>0</v>
      </c>
      <c r="E105" s="3910" t="n">
        <f t="array" ref="E105">E41*E$70</f>
        <v>0</v>
      </c>
      <c r="F105" s="3910" t="n">
        <f t="array" ref="F105">F41*F$70</f>
        <v>0</v>
      </c>
      <c r="G105" s="3910" t="n">
        <f t="array" ref="G105">G41*G$70</f>
        <v>0</v>
      </c>
      <c r="H105" s="3910" t="n">
        <f t="array" ref="H105">H41*H$70</f>
        <v>0</v>
      </c>
      <c r="I105" s="3910" t="n">
        <f t="array" ref="I105">I41*I$70</f>
        <v>0</v>
      </c>
      <c r="J105" s="3910" t="n">
        <f t="array" ref="J105">J41*J$70</f>
        <v>0</v>
      </c>
      <c r="K105" s="3910" t="n">
        <f t="array" ref="K105">K41*K$70</f>
        <v>0</v>
      </c>
      <c r="L105" s="3911" t="n">
        <f t="array" ref="L105">SUBTOTAL(9,D105:K105)</f>
        <v>0</v>
      </c>
      <c r="M105" s="38" t="str">
        <f t="array" ref="M105">IF(SUM(D105:L105)=0,"HIDE","")</f>
        <v>HIDE</v>
      </c>
      <c r="N105" s="26" t="n"/>
      <c r="O105" s="26" t="n"/>
      <c r="P105" s="26" t="n"/>
      <c r="Q105" s="26" t="n"/>
      <c r="R105" s="26" t="n"/>
      <c r="S105" s="26" t="n"/>
      <c r="T105" s="26" t="n"/>
      <c r="U105" s="26" t="n"/>
      <c r="V105" s="26" t="n"/>
      <c r="W105" s="26" t="n"/>
      <c r="X105" s="26" t="n"/>
      <c r="Y105" s="26" t="n"/>
      <c r="Z105" s="26" t="n"/>
      <c r="AA105" s="26" t="n"/>
      <c r="AB105" s="26" t="n"/>
      <c r="AC105" s="26" t="n"/>
      <c r="AD105" s="26" t="n"/>
      <c r="AE105" s="26" t="n"/>
      <c r="AF105" s="26" t="n"/>
      <c r="AG105" s="26" t="n"/>
      <c r="AH105" s="26" t="n"/>
      <c r="AI105" s="26" t="n"/>
      <c r="AJ105" s="26" t="n"/>
      <c r="AK105" s="26" t="n"/>
      <c r="AL105" s="26" t="n"/>
      <c r="AM105" s="26" t="n"/>
      <c r="AN105" s="26" t="n"/>
      <c r="AO105" s="26" t="n"/>
      <c r="AP105" s="26" t="n"/>
      <c r="AQ105" s="26" t="n"/>
      <c r="AR105" s="26" t="n"/>
      <c r="AS105" s="26" t="n"/>
      <c r="AT105" s="26" t="n"/>
      <c r="AU105" s="26" t="n"/>
      <c r="AV105" s="26" t="n"/>
      <c r="AW105" s="26" t="n"/>
      <c r="AX105" s="26" t="n"/>
      <c r="AY105" s="27" t="n"/>
    </row>
    <row r="106" s="3154" customFormat="1" ht="13.5" customHeight="1">
      <c r="A106" s="1910" t="e">
        <f t="array" ref="A106">A42</f>
      </c>
      <c r="B106" s="179" t="e">
        <f t="array" ref="B106">B42</f>
      </c>
      <c r="C106" s="3906" t="e">
        <f t="array" ref="C106">C42</f>
      </c>
      <c r="D106" s="3910" t="n">
        <f t="array" ref="D106">D42*D$70</f>
        <v>0</v>
      </c>
      <c r="E106" s="3910" t="n">
        <f t="array" ref="E106">E42*E$70</f>
        <v>0</v>
      </c>
      <c r="F106" s="3910" t="n">
        <f t="array" ref="F106">F42*F$70</f>
        <v>0</v>
      </c>
      <c r="G106" s="3910" t="n">
        <f t="array" ref="G106">G42*G$70</f>
        <v>0</v>
      </c>
      <c r="H106" s="3910" t="n">
        <f t="array" ref="H106">H42*H$70</f>
        <v>0</v>
      </c>
      <c r="I106" s="3910" t="n">
        <f t="array" ref="I106">I42*I$70</f>
        <v>0</v>
      </c>
      <c r="J106" s="3910" t="n">
        <f t="array" ref="J106">J42*J$70</f>
        <v>0</v>
      </c>
      <c r="K106" s="3910" t="n">
        <f t="array" ref="K106">K42*K$70</f>
        <v>0</v>
      </c>
      <c r="L106" s="3911" t="n">
        <f t="array" ref="L106">SUBTOTAL(9,D106:K106)</f>
        <v>0</v>
      </c>
      <c r="M106" s="38" t="str">
        <f t="array" ref="M106">IF(SUM(D106:L106)=0,"HIDE","")</f>
        <v>HIDE</v>
      </c>
      <c r="N106" s="26" t="n"/>
      <c r="O106" s="26" t="n"/>
      <c r="P106" s="26" t="n"/>
      <c r="Q106" s="26" t="n"/>
      <c r="R106" s="26" t="n"/>
      <c r="S106" s="26" t="n"/>
      <c r="T106" s="26" t="n"/>
      <c r="U106" s="26" t="n"/>
      <c r="V106" s="26" t="n"/>
      <c r="W106" s="26" t="n"/>
      <c r="X106" s="26" t="n"/>
      <c r="Y106" s="26" t="n"/>
      <c r="Z106" s="26" t="n"/>
      <c r="AA106" s="26" t="n"/>
      <c r="AB106" s="26" t="n"/>
      <c r="AC106" s="26" t="n"/>
      <c r="AD106" s="26" t="n"/>
      <c r="AE106" s="26" t="n"/>
      <c r="AF106" s="26" t="n"/>
      <c r="AG106" s="26" t="n"/>
      <c r="AH106" s="26" t="n"/>
      <c r="AI106" s="26" t="n"/>
      <c r="AJ106" s="26" t="n"/>
      <c r="AK106" s="26" t="n"/>
      <c r="AL106" s="26" t="n"/>
      <c r="AM106" s="26" t="n"/>
      <c r="AN106" s="26" t="n"/>
      <c r="AO106" s="26" t="n"/>
      <c r="AP106" s="26" t="n"/>
      <c r="AQ106" s="26" t="n"/>
      <c r="AR106" s="26" t="n"/>
      <c r="AS106" s="26" t="n"/>
      <c r="AT106" s="26" t="n"/>
      <c r="AU106" s="26" t="n"/>
      <c r="AV106" s="26" t="n"/>
      <c r="AW106" s="26" t="n"/>
      <c r="AX106" s="26" t="n"/>
      <c r="AY106" s="27" t="n"/>
    </row>
    <row r="107" s="3154" customFormat="1" ht="13.5" customHeight="1">
      <c r="A107" s="1910" t="e">
        <f t="array" ref="A107">A43</f>
      </c>
      <c r="B107" s="179" t="e">
        <f t="array" ref="B107">B43</f>
      </c>
      <c r="C107" s="3906" t="e">
        <f t="array" ref="C107">C43</f>
      </c>
      <c r="D107" s="3912" t="n">
        <f t="array" ref="D107">D43*D$70</f>
        <v>0</v>
      </c>
      <c r="E107" s="3912" t="n">
        <f t="array" ref="E107">E43*E$70</f>
        <v>0</v>
      </c>
      <c r="F107" s="3912" t="n">
        <f t="array" ref="F107">F43*F$70</f>
        <v>0</v>
      </c>
      <c r="G107" s="3912" t="n">
        <f t="array" ref="G107">G43*G$70</f>
        <v>0</v>
      </c>
      <c r="H107" s="3912" t="n">
        <f t="array" ref="H107">H43*H$70</f>
        <v>0</v>
      </c>
      <c r="I107" s="3912" t="n">
        <f t="array" ref="I107">I43*I$70</f>
        <v>0</v>
      </c>
      <c r="J107" s="3912" t="n">
        <f t="array" ref="J107">J43*J$70</f>
        <v>0</v>
      </c>
      <c r="K107" s="3912" t="n">
        <f t="array" ref="K107">K43*K$70</f>
        <v>0</v>
      </c>
      <c r="L107" s="3911" t="n">
        <f t="array" ref="L107">SUBTOTAL(9,D107:K107)</f>
        <v>0</v>
      </c>
      <c r="M107" s="38" t="str">
        <f t="array" ref="M107">IF(SUM(D107:L107)=0,"HIDE","")</f>
        <v>HIDE</v>
      </c>
      <c r="N107" s="26" t="n"/>
      <c r="O107" s="26" t="n"/>
      <c r="P107" s="26" t="n"/>
      <c r="Q107" s="26" t="n"/>
      <c r="R107" s="26" t="n"/>
      <c r="S107" s="26" t="n"/>
      <c r="T107" s="26" t="n"/>
      <c r="U107" s="26" t="n"/>
      <c r="V107" s="26" t="n"/>
      <c r="W107" s="26" t="n"/>
      <c r="X107" s="26" t="n"/>
      <c r="Y107" s="26" t="n"/>
      <c r="Z107" s="26" t="n"/>
      <c r="AA107" s="26" t="n"/>
      <c r="AB107" s="26" t="n"/>
      <c r="AC107" s="26" t="n"/>
      <c r="AD107" s="26" t="n"/>
      <c r="AE107" s="26" t="n"/>
      <c r="AF107" s="26" t="n"/>
      <c r="AG107" s="26" t="n"/>
      <c r="AH107" s="26" t="n"/>
      <c r="AI107" s="26" t="n"/>
      <c r="AJ107" s="26" t="n"/>
      <c r="AK107" s="26" t="n"/>
      <c r="AL107" s="26" t="n"/>
      <c r="AM107" s="26" t="n"/>
      <c r="AN107" s="26" t="n"/>
      <c r="AO107" s="26" t="n"/>
      <c r="AP107" s="26" t="n"/>
      <c r="AQ107" s="26" t="n"/>
      <c r="AR107" s="26" t="n"/>
      <c r="AS107" s="26" t="n"/>
      <c r="AT107" s="26" t="n"/>
      <c r="AU107" s="26" t="n"/>
      <c r="AV107" s="26" t="n"/>
      <c r="AW107" s="26" t="n"/>
      <c r="AX107" s="26" t="n"/>
      <c r="AY107" s="27" t="n"/>
    </row>
    <row r="108" s="3154" customFormat="1" ht="13.5" customHeight="1">
      <c r="A108" s="1910" t="e">
        <f t="array" ref="A108">A44</f>
      </c>
      <c r="B108" s="179" t="e">
        <f t="array" ref="B108">B44</f>
      </c>
      <c r="C108" s="3906" t="e">
        <f t="array" ref="C108">C44</f>
      </c>
      <c r="D108" s="3912" t="n">
        <f t="array" ref="D108">D44*D$70</f>
        <v>0</v>
      </c>
      <c r="E108" s="3912" t="n">
        <f t="array" ref="E108">E44*E$70</f>
        <v>0</v>
      </c>
      <c r="F108" s="3912" t="n">
        <f t="array" ref="F108">F44*F$70</f>
        <v>0</v>
      </c>
      <c r="G108" s="3912" t="n">
        <f t="array" ref="G108">G44*G$70</f>
        <v>0</v>
      </c>
      <c r="H108" s="3912" t="n">
        <f t="array" ref="H108">H44*H$70</f>
        <v>0</v>
      </c>
      <c r="I108" s="3912" t="n">
        <f t="array" ref="I108">I44*I$70</f>
        <v>0</v>
      </c>
      <c r="J108" s="3912" t="n">
        <f t="array" ref="J108">J44*J$70</f>
        <v>0</v>
      </c>
      <c r="K108" s="3912" t="n">
        <f t="array" ref="K108">K44*K$70</f>
        <v>0</v>
      </c>
      <c r="L108" s="3911" t="n">
        <f t="array" ref="L108">SUBTOTAL(9,D108:K108)</f>
        <v>0</v>
      </c>
      <c r="M108" s="38" t="str">
        <f t="array" ref="M108">IF(SUM(D108:L108)=0,"HIDE","")</f>
        <v>HIDE</v>
      </c>
      <c r="N108" s="26" t="n"/>
      <c r="O108" s="26" t="n"/>
      <c r="P108" s="26" t="n"/>
      <c r="Q108" s="26" t="n"/>
      <c r="R108" s="26" t="n"/>
      <c r="S108" s="26" t="n"/>
      <c r="T108" s="26" t="n"/>
      <c r="U108" s="26" t="n"/>
      <c r="V108" s="26" t="n"/>
      <c r="W108" s="26" t="n"/>
      <c r="X108" s="26" t="n"/>
      <c r="Y108" s="26" t="n"/>
      <c r="Z108" s="26" t="n"/>
      <c r="AA108" s="26" t="n"/>
      <c r="AB108" s="26" t="n"/>
      <c r="AC108" s="26" t="n"/>
      <c r="AD108" s="26" t="n"/>
      <c r="AE108" s="26" t="n"/>
      <c r="AF108" s="26" t="n"/>
      <c r="AG108" s="26" t="n"/>
      <c r="AH108" s="26" t="n"/>
      <c r="AI108" s="26" t="n"/>
      <c r="AJ108" s="26" t="n"/>
      <c r="AK108" s="26" t="n"/>
      <c r="AL108" s="26" t="n"/>
      <c r="AM108" s="26" t="n"/>
      <c r="AN108" s="26" t="n"/>
      <c r="AO108" s="26" t="n"/>
      <c r="AP108" s="26" t="n"/>
      <c r="AQ108" s="26" t="n"/>
      <c r="AR108" s="26" t="n"/>
      <c r="AS108" s="26" t="n"/>
      <c r="AT108" s="26" t="n"/>
      <c r="AU108" s="26" t="n"/>
      <c r="AV108" s="26" t="n"/>
      <c r="AW108" s="26" t="n"/>
      <c r="AX108" s="26" t="n"/>
      <c r="AY108" s="27" t="n"/>
    </row>
    <row r="109" s="3154" customFormat="1" ht="13.5" customHeight="1">
      <c r="A109" s="1910" t="e">
        <f t="array" ref="A109">A45</f>
      </c>
      <c r="B109" s="179" t="e">
        <f t="array" ref="B109">B45</f>
      </c>
      <c r="C109" s="3906" t="e">
        <f t="array" ref="C109">C45</f>
      </c>
      <c r="D109" s="3912" t="n">
        <f t="array" ref="D109">D45*D$70</f>
        <v>0</v>
      </c>
      <c r="E109" s="3912" t="n">
        <f t="array" ref="E109">E45*E$70</f>
        <v>0</v>
      </c>
      <c r="F109" s="3912" t="n">
        <f t="array" ref="F109">F45*F$70</f>
        <v>0</v>
      </c>
      <c r="G109" s="3912" t="n">
        <f t="array" ref="G109">G45*G$70</f>
        <v>0</v>
      </c>
      <c r="H109" s="3912" t="n">
        <f t="array" ref="H109">H45*H$70</f>
        <v>0</v>
      </c>
      <c r="I109" s="3912" t="n">
        <f t="array" ref="I109">I45*I$70</f>
        <v>0</v>
      </c>
      <c r="J109" s="3912" t="n">
        <f t="array" ref="J109">J45*J$70</f>
        <v>0</v>
      </c>
      <c r="K109" s="3912" t="n">
        <f t="array" ref="K109">K45*K$70</f>
        <v>0</v>
      </c>
      <c r="L109" s="3911" t="n">
        <f t="array" ref="L109">SUBTOTAL(9,D109:K109)</f>
        <v>0</v>
      </c>
      <c r="M109" s="38" t="str">
        <f t="array" ref="M109">IF(SUM(D109:L109)=0,"HIDE","")</f>
        <v>HIDE</v>
      </c>
      <c r="N109" s="26" t="n"/>
      <c r="O109" s="26" t="n"/>
      <c r="P109" s="26" t="n"/>
      <c r="Q109" s="26" t="n"/>
      <c r="R109" s="26" t="n"/>
      <c r="S109" s="26" t="n"/>
      <c r="T109" s="26" t="n"/>
      <c r="U109" s="26" t="n"/>
      <c r="V109" s="26" t="n"/>
      <c r="W109" s="26" t="n"/>
      <c r="X109" s="26" t="n"/>
      <c r="Y109" s="26" t="n"/>
      <c r="Z109" s="26" t="n"/>
      <c r="AA109" s="26" t="n"/>
      <c r="AB109" s="26" t="n"/>
      <c r="AC109" s="26" t="n"/>
      <c r="AD109" s="26" t="n"/>
      <c r="AE109" s="26" t="n"/>
      <c r="AF109" s="26" t="n"/>
      <c r="AG109" s="26" t="n"/>
      <c r="AH109" s="26" t="n"/>
      <c r="AI109" s="26" t="n"/>
      <c r="AJ109" s="26" t="n"/>
      <c r="AK109" s="26" t="n"/>
      <c r="AL109" s="26" t="n"/>
      <c r="AM109" s="26" t="n"/>
      <c r="AN109" s="26" t="n"/>
      <c r="AO109" s="26" t="n"/>
      <c r="AP109" s="26" t="n"/>
      <c r="AQ109" s="26" t="n"/>
      <c r="AR109" s="26" t="n"/>
      <c r="AS109" s="26" t="n"/>
      <c r="AT109" s="26" t="n"/>
      <c r="AU109" s="26" t="n"/>
      <c r="AV109" s="26" t="n"/>
      <c r="AW109" s="26" t="n"/>
      <c r="AX109" s="26" t="n"/>
      <c r="AY109" s="27" t="n"/>
    </row>
    <row r="110" s="3154" customFormat="1" ht="13.5" customHeight="1">
      <c r="A110" s="1910" t="e">
        <f t="array" ref="A110">A46</f>
      </c>
      <c r="B110" s="179" t="e">
        <f t="array" ref="B110">B46</f>
      </c>
      <c r="C110" s="3906" t="e">
        <f t="array" ref="C110">C46</f>
      </c>
      <c r="D110" s="3912" t="n">
        <f t="array" ref="D110">D46*D$70</f>
        <v>0</v>
      </c>
      <c r="E110" s="3912" t="n">
        <f t="array" ref="E110">E46*E$70</f>
        <v>0</v>
      </c>
      <c r="F110" s="3912" t="n">
        <f t="array" ref="F110">F46*F$70</f>
        <v>0</v>
      </c>
      <c r="G110" s="3912" t="n">
        <f t="array" ref="G110">G46*G$70</f>
        <v>0</v>
      </c>
      <c r="H110" s="3912" t="n">
        <f t="array" ref="H110">H46*H$70</f>
        <v>0</v>
      </c>
      <c r="I110" s="3912" t="n">
        <f t="array" ref="I110">I46*I$70</f>
        <v>0</v>
      </c>
      <c r="J110" s="3912" t="n">
        <f t="array" ref="J110">J46*J$70</f>
        <v>0</v>
      </c>
      <c r="K110" s="3912" t="n">
        <f t="array" ref="K110">K46*K$70</f>
        <v>0</v>
      </c>
      <c r="L110" s="3911" t="n">
        <f t="array" ref="L110">SUBTOTAL(9,D110:K110)</f>
        <v>0</v>
      </c>
      <c r="M110" s="38" t="str">
        <f t="array" ref="M110">IF(SUM(D110:L110)=0,"HIDE","")</f>
        <v>HIDE</v>
      </c>
      <c r="N110" s="26" t="n"/>
      <c r="O110" s="26" t="n"/>
      <c r="P110" s="26" t="n"/>
      <c r="Q110" s="26" t="n"/>
      <c r="R110" s="26" t="n"/>
      <c r="S110" s="26" t="n"/>
      <c r="T110" s="26" t="n"/>
      <c r="U110" s="26" t="n"/>
      <c r="V110" s="26" t="n"/>
      <c r="W110" s="26" t="n"/>
      <c r="X110" s="26" t="n"/>
      <c r="Y110" s="26" t="n"/>
      <c r="Z110" s="26" t="n"/>
      <c r="AA110" s="26" t="n"/>
      <c r="AB110" s="26" t="n"/>
      <c r="AC110" s="26" t="n"/>
      <c r="AD110" s="26" t="n"/>
      <c r="AE110" s="26" t="n"/>
      <c r="AF110" s="26" t="n"/>
      <c r="AG110" s="26" t="n"/>
      <c r="AH110" s="26" t="n"/>
      <c r="AI110" s="26" t="n"/>
      <c r="AJ110" s="26" t="n"/>
      <c r="AK110" s="26" t="n"/>
      <c r="AL110" s="26" t="n"/>
      <c r="AM110" s="26" t="n"/>
      <c r="AN110" s="26" t="n"/>
      <c r="AO110" s="26" t="n"/>
      <c r="AP110" s="26" t="n"/>
      <c r="AQ110" s="26" t="n"/>
      <c r="AR110" s="26" t="n"/>
      <c r="AS110" s="26" t="n"/>
      <c r="AT110" s="26" t="n"/>
      <c r="AU110" s="26" t="n"/>
      <c r="AV110" s="26" t="n"/>
      <c r="AW110" s="26" t="n"/>
      <c r="AX110" s="26" t="n"/>
      <c r="AY110" s="27" t="n"/>
    </row>
    <row r="111" s="3154" customFormat="1" ht="13.5" customHeight="1">
      <c r="A111" s="1910" t="e">
        <f t="array" ref="A111">A47</f>
      </c>
      <c r="B111" s="179" t="e">
        <f t="array" ref="B111">B47</f>
      </c>
      <c r="C111" s="3906" t="e">
        <f t="array" ref="C111">C47</f>
      </c>
      <c r="D111" s="3912" t="n">
        <f t="array" ref="D111">D47*D$70</f>
        <v>0</v>
      </c>
      <c r="E111" s="3912" t="n">
        <f t="array" ref="E111">E47*E$70</f>
        <v>0</v>
      </c>
      <c r="F111" s="3912" t="n">
        <f t="array" ref="F111">F47*F$70</f>
        <v>0</v>
      </c>
      <c r="G111" s="3912" t="n">
        <f t="array" ref="G111">G47*G$70</f>
        <v>0</v>
      </c>
      <c r="H111" s="3912" t="n">
        <f t="array" ref="H111">H47*H$70</f>
        <v>0</v>
      </c>
      <c r="I111" s="3912" t="n">
        <f t="array" ref="I111">I47*I$70</f>
        <v>0</v>
      </c>
      <c r="J111" s="3912" t="n">
        <f t="array" ref="J111">J47*J$70</f>
        <v>0</v>
      </c>
      <c r="K111" s="3912" t="n">
        <f t="array" ref="K111">K47*K$70</f>
        <v>0</v>
      </c>
      <c r="L111" s="3911" t="n">
        <f t="array" ref="L111">SUBTOTAL(9,D111:K111)</f>
        <v>0</v>
      </c>
      <c r="M111" s="38" t="str">
        <f t="array" ref="M111">IF(SUM(D111:L111)=0,"HIDE","")</f>
        <v>HIDE</v>
      </c>
      <c r="N111" s="26" t="n"/>
      <c r="O111" s="26" t="n"/>
      <c r="P111" s="26" t="n"/>
      <c r="Q111" s="26" t="n"/>
      <c r="R111" s="26" t="n"/>
      <c r="S111" s="26" t="n"/>
      <c r="T111" s="26" t="n"/>
      <c r="U111" s="26" t="n"/>
      <c r="V111" s="26" t="n"/>
      <c r="W111" s="26" t="n"/>
      <c r="X111" s="26" t="n"/>
      <c r="Y111" s="26" t="n"/>
      <c r="Z111" s="26" t="n"/>
      <c r="AA111" s="26" t="n"/>
      <c r="AB111" s="26" t="n"/>
      <c r="AC111" s="26" t="n"/>
      <c r="AD111" s="26" t="n"/>
      <c r="AE111" s="26" t="n"/>
      <c r="AF111" s="26" t="n"/>
      <c r="AG111" s="26" t="n"/>
      <c r="AH111" s="26" t="n"/>
      <c r="AI111" s="26" t="n"/>
      <c r="AJ111" s="26" t="n"/>
      <c r="AK111" s="26" t="n"/>
      <c r="AL111" s="26" t="n"/>
      <c r="AM111" s="26" t="n"/>
      <c r="AN111" s="26" t="n"/>
      <c r="AO111" s="26" t="n"/>
      <c r="AP111" s="26" t="n"/>
      <c r="AQ111" s="26" t="n"/>
      <c r="AR111" s="26" t="n"/>
      <c r="AS111" s="26" t="n"/>
      <c r="AT111" s="26" t="n"/>
      <c r="AU111" s="26" t="n"/>
      <c r="AV111" s="26" t="n"/>
      <c r="AW111" s="26" t="n"/>
      <c r="AX111" s="26" t="n"/>
      <c r="AY111" s="27" t="n"/>
    </row>
    <row r="112" s="3154" customFormat="1" ht="13.5" customHeight="1">
      <c r="A112" s="1910" t="e">
        <f t="array" ref="A112">A48</f>
      </c>
      <c r="B112" s="179" t="e">
        <f t="array" ref="B112">B48</f>
      </c>
      <c r="C112" s="3906" t="e">
        <f t="array" ref="C112">C48</f>
      </c>
      <c r="D112" s="3912" t="n">
        <f t="array" ref="D112">D48*D$70</f>
        <v>0</v>
      </c>
      <c r="E112" s="3912" t="n">
        <f t="array" ref="E112">E48*E$70</f>
        <v>0</v>
      </c>
      <c r="F112" s="3912" t="n">
        <f t="array" ref="F112">F48*F$70</f>
        <v>0</v>
      </c>
      <c r="G112" s="3912" t="n">
        <f t="array" ref="G112">G48*G$70</f>
        <v>0</v>
      </c>
      <c r="H112" s="3912" t="n">
        <f t="array" ref="H112">H48*H$70</f>
        <v>0</v>
      </c>
      <c r="I112" s="3912" t="n">
        <f t="array" ref="I112">I48*I$70</f>
        <v>0</v>
      </c>
      <c r="J112" s="3912" t="n">
        <f t="array" ref="J112">J48*J$70</f>
        <v>0</v>
      </c>
      <c r="K112" s="3912" t="n">
        <f t="array" ref="K112">K48*K$70</f>
        <v>0</v>
      </c>
      <c r="L112" s="3911" t="n">
        <f t="array" ref="L112">SUBTOTAL(9,D112:K112)</f>
        <v>0</v>
      </c>
      <c r="M112" s="38" t="str">
        <f t="array" ref="M112">IF(SUM(D112:L112)=0,"HIDE","")</f>
        <v>HIDE</v>
      </c>
      <c r="N112" s="26" t="n"/>
      <c r="O112" s="26" t="n"/>
      <c r="P112" s="26" t="n"/>
      <c r="Q112" s="26" t="n"/>
      <c r="R112" s="26" t="n"/>
      <c r="S112" s="26" t="n"/>
      <c r="T112" s="26" t="n"/>
      <c r="U112" s="26" t="n"/>
      <c r="V112" s="26" t="n"/>
      <c r="W112" s="26" t="n"/>
      <c r="X112" s="26" t="n"/>
      <c r="Y112" s="26" t="n"/>
      <c r="Z112" s="26" t="n"/>
      <c r="AA112" s="26" t="n"/>
      <c r="AB112" s="26" t="n"/>
      <c r="AC112" s="26" t="n"/>
      <c r="AD112" s="26" t="n"/>
      <c r="AE112" s="26" t="n"/>
      <c r="AF112" s="26" t="n"/>
      <c r="AG112" s="26" t="n"/>
      <c r="AH112" s="26" t="n"/>
      <c r="AI112" s="26" t="n"/>
      <c r="AJ112" s="26" t="n"/>
      <c r="AK112" s="26" t="n"/>
      <c r="AL112" s="26" t="n"/>
      <c r="AM112" s="26" t="n"/>
      <c r="AN112" s="26" t="n"/>
      <c r="AO112" s="26" t="n"/>
      <c r="AP112" s="26" t="n"/>
      <c r="AQ112" s="26" t="n"/>
      <c r="AR112" s="26" t="n"/>
      <c r="AS112" s="26" t="n"/>
      <c r="AT112" s="26" t="n"/>
      <c r="AU112" s="26" t="n"/>
      <c r="AV112" s="26" t="n"/>
      <c r="AW112" s="26" t="n"/>
      <c r="AX112" s="26" t="n"/>
      <c r="AY112" s="27" t="n"/>
    </row>
    <row r="113" s="3154" customFormat="1" ht="13.5" customHeight="1">
      <c r="A113" s="1910" t="e">
        <f t="array" ref="A113">A49</f>
      </c>
      <c r="B113" s="179" t="e">
        <f t="array" ref="B113">B49</f>
      </c>
      <c r="C113" s="3906" t="e">
        <f t="array" ref="C113">C49</f>
      </c>
      <c r="D113" s="3912" t="n">
        <f t="array" ref="D113">D49*D$70</f>
        <v>0</v>
      </c>
      <c r="E113" s="3912" t="n">
        <f t="array" ref="E113">E49*E$70</f>
        <v>0</v>
      </c>
      <c r="F113" s="3912" t="n">
        <f t="array" ref="F113">F49*F$70</f>
        <v>0</v>
      </c>
      <c r="G113" s="3912" t="n">
        <f t="array" ref="G113">G49*G$70</f>
        <v>0</v>
      </c>
      <c r="H113" s="3912" t="n">
        <f t="array" ref="H113">H49*H$70</f>
        <v>0</v>
      </c>
      <c r="I113" s="3912" t="n">
        <f t="array" ref="I113">I49*I$70</f>
        <v>0</v>
      </c>
      <c r="J113" s="3912" t="n">
        <f t="array" ref="J113">J49*J$70</f>
        <v>0</v>
      </c>
      <c r="K113" s="3912" t="n">
        <f t="array" ref="K113">K49*K$70</f>
        <v>0</v>
      </c>
      <c r="L113" s="3911" t="n">
        <f t="array" ref="L113">SUBTOTAL(9,D113:K113)</f>
        <v>0</v>
      </c>
      <c r="M113" s="38" t="str">
        <f t="array" ref="M113">IF(SUM(D113:L113)=0,"HIDE","")</f>
        <v>HIDE</v>
      </c>
      <c r="N113" s="26" t="n"/>
      <c r="O113" s="26" t="n"/>
      <c r="P113" s="26" t="n"/>
      <c r="Q113" s="26" t="n"/>
      <c r="R113" s="26" t="n"/>
      <c r="S113" s="26" t="n"/>
      <c r="T113" s="26" t="n"/>
      <c r="U113" s="26" t="n"/>
      <c r="V113" s="26" t="n"/>
      <c r="W113" s="26" t="n"/>
      <c r="X113" s="26" t="n"/>
      <c r="Y113" s="26" t="n"/>
      <c r="Z113" s="26" t="n"/>
      <c r="AA113" s="26" t="n"/>
      <c r="AB113" s="26" t="n"/>
      <c r="AC113" s="26" t="n"/>
      <c r="AD113" s="26" t="n"/>
      <c r="AE113" s="26" t="n"/>
      <c r="AF113" s="26" t="n"/>
      <c r="AG113" s="26" t="n"/>
      <c r="AH113" s="26" t="n"/>
      <c r="AI113" s="26" t="n"/>
      <c r="AJ113" s="26" t="n"/>
      <c r="AK113" s="26" t="n"/>
      <c r="AL113" s="26" t="n"/>
      <c r="AM113" s="26" t="n"/>
      <c r="AN113" s="26" t="n"/>
      <c r="AO113" s="26" t="n"/>
      <c r="AP113" s="26" t="n"/>
      <c r="AQ113" s="26" t="n"/>
      <c r="AR113" s="26" t="n"/>
      <c r="AS113" s="26" t="n"/>
      <c r="AT113" s="26" t="n"/>
      <c r="AU113" s="26" t="n"/>
      <c r="AV113" s="26" t="n"/>
      <c r="AW113" s="26" t="n"/>
      <c r="AX113" s="26" t="n"/>
      <c r="AY113" s="27" t="n"/>
    </row>
    <row r="114" s="3154" customFormat="1" ht="13.5" customHeight="1">
      <c r="A114" s="1910" t="e">
        <f t="array" ref="A114">A50</f>
      </c>
      <c r="B114" s="179" t="e">
        <f t="array" ref="B114">B50</f>
      </c>
      <c r="C114" s="3906" t="e">
        <f t="array" ref="C114">C50</f>
      </c>
      <c r="D114" s="3912" t="n">
        <f t="array" ref="D114">D50*D$70</f>
        <v>0</v>
      </c>
      <c r="E114" s="3912" t="n">
        <f t="array" ref="E114">E50*E$70</f>
        <v>0</v>
      </c>
      <c r="F114" s="3912" t="n">
        <f t="array" ref="F114">F50*F$70</f>
        <v>0</v>
      </c>
      <c r="G114" s="3912" t="n">
        <f t="array" ref="G114">G50*G$70</f>
        <v>0</v>
      </c>
      <c r="H114" s="3912" t="n">
        <f t="array" ref="H114">H50*H$70</f>
        <v>0</v>
      </c>
      <c r="I114" s="3912" t="n">
        <f t="array" ref="I114">I50*I$70</f>
        <v>0</v>
      </c>
      <c r="J114" s="3912" t="n">
        <f t="array" ref="J114">J50*J$70</f>
        <v>0</v>
      </c>
      <c r="K114" s="3912" t="n">
        <f t="array" ref="K114">K50*K$70</f>
        <v>0</v>
      </c>
      <c r="L114" s="3911" t="n">
        <f t="array" ref="L114">SUBTOTAL(9,D114:K114)</f>
        <v>0</v>
      </c>
      <c r="M114" s="38" t="str">
        <f t="array" ref="M114">IF(SUM(D114:L114)=0,"HIDE","")</f>
        <v>HIDE</v>
      </c>
      <c r="N114" s="26" t="n"/>
      <c r="O114" s="26" t="n"/>
      <c r="P114" s="26" t="n"/>
      <c r="Q114" s="26" t="n"/>
      <c r="R114" s="26" t="n"/>
      <c r="S114" s="26" t="n"/>
      <c r="T114" s="26" t="n"/>
      <c r="U114" s="26" t="n"/>
      <c r="V114" s="26" t="n"/>
      <c r="W114" s="26" t="n"/>
      <c r="X114" s="26" t="n"/>
      <c r="Y114" s="26" t="n"/>
      <c r="Z114" s="26" t="n"/>
      <c r="AA114" s="26" t="n"/>
      <c r="AB114" s="26" t="n"/>
      <c r="AC114" s="26" t="n"/>
      <c r="AD114" s="26" t="n"/>
      <c r="AE114" s="26" t="n"/>
      <c r="AF114" s="26" t="n"/>
      <c r="AG114" s="26" t="n"/>
      <c r="AH114" s="26" t="n"/>
      <c r="AI114" s="26" t="n"/>
      <c r="AJ114" s="26" t="n"/>
      <c r="AK114" s="26" t="n"/>
      <c r="AL114" s="26" t="n"/>
      <c r="AM114" s="26" t="n"/>
      <c r="AN114" s="26" t="n"/>
      <c r="AO114" s="26" t="n"/>
      <c r="AP114" s="26" t="n"/>
      <c r="AQ114" s="26" t="n"/>
      <c r="AR114" s="26" t="n"/>
      <c r="AS114" s="26" t="n"/>
      <c r="AT114" s="26" t="n"/>
      <c r="AU114" s="26" t="n"/>
      <c r="AV114" s="26" t="n"/>
      <c r="AW114" s="26" t="n"/>
      <c r="AX114" s="26" t="n"/>
      <c r="AY114" s="27" t="n"/>
    </row>
    <row r="115" s="3154" customFormat="1" ht="13.5" customHeight="1">
      <c r="A115" s="1910" t="e">
        <f t="array" ref="A115">A51</f>
      </c>
      <c r="B115" s="179" t="e">
        <f t="array" ref="B115">B51</f>
      </c>
      <c r="C115" s="3906" t="e">
        <f t="array" ref="C115">C51</f>
      </c>
      <c r="D115" s="3912" t="n">
        <f t="array" ref="D115">D51*D$70</f>
        <v>0</v>
      </c>
      <c r="E115" s="3912" t="n">
        <f t="array" ref="E115">E51*E$70</f>
        <v>0</v>
      </c>
      <c r="F115" s="3912" t="n">
        <f t="array" ref="F115">F51*F$70</f>
        <v>0</v>
      </c>
      <c r="G115" s="3912" t="n">
        <f t="array" ref="G115">G51*G$70</f>
        <v>0</v>
      </c>
      <c r="H115" s="3912" t="n">
        <f t="array" ref="H115">H51*H$70</f>
        <v>0</v>
      </c>
      <c r="I115" s="3912" t="n">
        <f t="array" ref="I115">I51*I$70</f>
        <v>0</v>
      </c>
      <c r="J115" s="3912" t="n">
        <f t="array" ref="J115">J51*J$70</f>
        <v>0</v>
      </c>
      <c r="K115" s="3912" t="n">
        <f t="array" ref="K115">K51*K$70</f>
        <v>0</v>
      </c>
      <c r="L115" s="3911" t="n">
        <f t="array" ref="L115">SUBTOTAL(9,D115:K115)</f>
        <v>0</v>
      </c>
      <c r="M115" s="38" t="str">
        <f t="array" ref="M115">IF(SUM(D115:L115)=0,"HIDE","")</f>
        <v>HIDE</v>
      </c>
      <c r="N115" s="26" t="n"/>
      <c r="O115" s="26" t="n"/>
      <c r="P115" s="26" t="n"/>
      <c r="Q115" s="26" t="n"/>
      <c r="R115" s="26" t="n"/>
      <c r="S115" s="26" t="n"/>
      <c r="T115" s="26" t="n"/>
      <c r="U115" s="26" t="n"/>
      <c r="V115" s="26" t="n"/>
      <c r="W115" s="26" t="n"/>
      <c r="X115" s="26" t="n"/>
      <c r="Y115" s="26" t="n"/>
      <c r="Z115" s="26" t="n"/>
      <c r="AA115" s="26" t="n"/>
      <c r="AB115" s="26" t="n"/>
      <c r="AC115" s="26" t="n"/>
      <c r="AD115" s="26" t="n"/>
      <c r="AE115" s="26" t="n"/>
      <c r="AF115" s="26" t="n"/>
      <c r="AG115" s="26" t="n"/>
      <c r="AH115" s="26" t="n"/>
      <c r="AI115" s="26" t="n"/>
      <c r="AJ115" s="26" t="n"/>
      <c r="AK115" s="26" t="n"/>
      <c r="AL115" s="26" t="n"/>
      <c r="AM115" s="26" t="n"/>
      <c r="AN115" s="26" t="n"/>
      <c r="AO115" s="26" t="n"/>
      <c r="AP115" s="26" t="n"/>
      <c r="AQ115" s="26" t="n"/>
      <c r="AR115" s="26" t="n"/>
      <c r="AS115" s="26" t="n"/>
      <c r="AT115" s="26" t="n"/>
      <c r="AU115" s="26" t="n"/>
      <c r="AV115" s="26" t="n"/>
      <c r="AW115" s="26" t="n"/>
      <c r="AX115" s="26" t="n"/>
      <c r="AY115" s="27" t="n"/>
    </row>
    <row r="116" s="3154" customFormat="1" ht="13.5" customHeight="1">
      <c r="A116" s="1910" t="e">
        <f t="array" ref="A116">A52</f>
      </c>
      <c r="B116" s="179" t="e">
        <f t="array" ref="B116">B52</f>
      </c>
      <c r="C116" s="3906" t="e">
        <f t="array" ref="C116">C52</f>
      </c>
      <c r="D116" s="3912" t="n">
        <f t="array" ref="D116">D52*D$70</f>
        <v>0</v>
      </c>
      <c r="E116" s="3912" t="n">
        <f t="array" ref="E116">E52*E$70</f>
        <v>0</v>
      </c>
      <c r="F116" s="3912" t="n">
        <f t="array" ref="F116">F52*F$70</f>
        <v>0</v>
      </c>
      <c r="G116" s="3912" t="n">
        <f t="array" ref="G116">G52*G$70</f>
        <v>0</v>
      </c>
      <c r="H116" s="3912" t="n">
        <f t="array" ref="H116">H52*H$70</f>
        <v>0</v>
      </c>
      <c r="I116" s="3912" t="n">
        <f t="array" ref="I116">I52*I$70</f>
        <v>0</v>
      </c>
      <c r="J116" s="3912" t="n">
        <f t="array" ref="J116">J52*J$70</f>
        <v>0</v>
      </c>
      <c r="K116" s="3912" t="n">
        <f t="array" ref="K116">K52*K$70</f>
        <v>0</v>
      </c>
      <c r="L116" s="3911" t="n">
        <f t="array" ref="L116">SUBTOTAL(9,D116:K116)</f>
        <v>0</v>
      </c>
      <c r="M116" s="38" t="str">
        <f t="array" ref="M116">IF(SUM(D116:L116)=0,"HIDE","")</f>
        <v>HIDE</v>
      </c>
      <c r="N116" s="26" t="n"/>
      <c r="O116" s="26" t="n"/>
      <c r="P116" s="26" t="n"/>
      <c r="Q116" s="26" t="n"/>
      <c r="R116" s="26" t="n"/>
      <c r="S116" s="26" t="n"/>
      <c r="T116" s="26" t="n"/>
      <c r="U116" s="26" t="n"/>
      <c r="V116" s="26" t="n"/>
      <c r="W116" s="26" t="n"/>
      <c r="X116" s="26" t="n"/>
      <c r="Y116" s="26" t="n"/>
      <c r="Z116" s="26" t="n"/>
      <c r="AA116" s="26" t="n"/>
      <c r="AB116" s="26" t="n"/>
      <c r="AC116" s="26" t="n"/>
      <c r="AD116" s="26" t="n"/>
      <c r="AE116" s="26" t="n"/>
      <c r="AF116" s="26" t="n"/>
      <c r="AG116" s="26" t="n"/>
      <c r="AH116" s="26" t="n"/>
      <c r="AI116" s="26" t="n"/>
      <c r="AJ116" s="26" t="n"/>
      <c r="AK116" s="26" t="n"/>
      <c r="AL116" s="26" t="n"/>
      <c r="AM116" s="26" t="n"/>
      <c r="AN116" s="26" t="n"/>
      <c r="AO116" s="26" t="n"/>
      <c r="AP116" s="26" t="n"/>
      <c r="AQ116" s="26" t="n"/>
      <c r="AR116" s="26" t="n"/>
      <c r="AS116" s="26" t="n"/>
      <c r="AT116" s="26" t="n"/>
      <c r="AU116" s="26" t="n"/>
      <c r="AV116" s="26" t="n"/>
      <c r="AW116" s="26" t="n"/>
      <c r="AX116" s="26" t="n"/>
      <c r="AY116" s="27" t="n"/>
    </row>
    <row r="117" s="3154" customFormat="1" ht="13.5" customHeight="1">
      <c r="A117" s="1910" t="e">
        <f t="array" ref="A117">A53</f>
      </c>
      <c r="B117" s="179" t="e">
        <f t="array" ref="B117">B53</f>
      </c>
      <c r="C117" s="3906" t="e">
        <f t="array" ref="C117">C53</f>
      </c>
      <c r="D117" s="3912" t="n">
        <f t="array" ref="D117">D53*D$70</f>
        <v>0</v>
      </c>
      <c r="E117" s="3912" t="n">
        <f t="array" ref="E117">E53*E$70</f>
        <v>0</v>
      </c>
      <c r="F117" s="3912" t="n">
        <f t="array" ref="F117">F53*F$70</f>
        <v>0</v>
      </c>
      <c r="G117" s="3912" t="n">
        <f t="array" ref="G117">G53*G$70</f>
        <v>0</v>
      </c>
      <c r="H117" s="3912" t="n">
        <f t="array" ref="H117">H53*H$70</f>
        <v>0</v>
      </c>
      <c r="I117" s="3912" t="n">
        <f t="array" ref="I117">I53*I$70</f>
        <v>0</v>
      </c>
      <c r="J117" s="3912" t="n">
        <f t="array" ref="J117">J53*J$70</f>
        <v>0</v>
      </c>
      <c r="K117" s="3912" t="n">
        <f t="array" ref="K117">K53*K$70</f>
        <v>0</v>
      </c>
      <c r="L117" s="3911" t="n">
        <f t="array" ref="L117">SUBTOTAL(9,D117:K117)</f>
        <v>0</v>
      </c>
      <c r="M117" s="38" t="str">
        <f t="array" ref="M117">IF(SUM(D117:L117)=0,"HIDE","")</f>
        <v>HIDE</v>
      </c>
      <c r="N117" s="26" t="n"/>
      <c r="O117" s="26" t="n"/>
      <c r="P117" s="26" t="n"/>
      <c r="Q117" s="26" t="n"/>
      <c r="R117" s="26" t="n"/>
      <c r="S117" s="26" t="n"/>
      <c r="T117" s="26" t="n"/>
      <c r="U117" s="26" t="n"/>
      <c r="V117" s="26" t="n"/>
      <c r="W117" s="26" t="n"/>
      <c r="X117" s="26" t="n"/>
      <c r="Y117" s="26" t="n"/>
      <c r="Z117" s="26" t="n"/>
      <c r="AA117" s="26" t="n"/>
      <c r="AB117" s="26" t="n"/>
      <c r="AC117" s="26" t="n"/>
      <c r="AD117" s="26" t="n"/>
      <c r="AE117" s="26" t="n"/>
      <c r="AF117" s="26" t="n"/>
      <c r="AG117" s="26" t="n"/>
      <c r="AH117" s="26" t="n"/>
      <c r="AI117" s="26" t="n"/>
      <c r="AJ117" s="26" t="n"/>
      <c r="AK117" s="26" t="n"/>
      <c r="AL117" s="26" t="n"/>
      <c r="AM117" s="26" t="n"/>
      <c r="AN117" s="26" t="n"/>
      <c r="AO117" s="26" t="n"/>
      <c r="AP117" s="26" t="n"/>
      <c r="AQ117" s="26" t="n"/>
      <c r="AR117" s="26" t="n"/>
      <c r="AS117" s="26" t="n"/>
      <c r="AT117" s="26" t="n"/>
      <c r="AU117" s="26" t="n"/>
      <c r="AV117" s="26" t="n"/>
      <c r="AW117" s="26" t="n"/>
      <c r="AX117" s="26" t="n"/>
      <c r="AY117" s="27" t="n"/>
    </row>
    <row r="118" s="3154" customFormat="1" ht="13.5" customHeight="1">
      <c r="A118" s="1910" t="e">
        <f t="array" ref="A118">A54</f>
      </c>
      <c r="B118" s="179" t="e">
        <f t="array" ref="B118">B54</f>
      </c>
      <c r="C118" s="3906" t="e">
        <f t="array" ref="C118">C54</f>
      </c>
      <c r="D118" s="3912" t="n">
        <f t="array" ref="D118">D54*D$70</f>
        <v>0</v>
      </c>
      <c r="E118" s="3912" t="n">
        <f t="array" ref="E118">E54*E$70</f>
        <v>0</v>
      </c>
      <c r="F118" s="3912" t="n">
        <f t="array" ref="F118">F54*F$70</f>
        <v>0</v>
      </c>
      <c r="G118" s="3912" t="n">
        <f t="array" ref="G118">G54*G$70</f>
        <v>0</v>
      </c>
      <c r="H118" s="3912" t="n">
        <f t="array" ref="H118">H54*H$70</f>
        <v>0</v>
      </c>
      <c r="I118" s="3912" t="n">
        <f t="array" ref="I118">I54*I$70</f>
        <v>0</v>
      </c>
      <c r="J118" s="3912" t="n">
        <f t="array" ref="J118">J54*J$70</f>
        <v>0</v>
      </c>
      <c r="K118" s="3912" t="n">
        <f t="array" ref="K118">K54*K$70</f>
        <v>0</v>
      </c>
      <c r="L118" s="3911" t="n">
        <f t="array" ref="L118">SUBTOTAL(9,D118:K118)</f>
        <v>0</v>
      </c>
      <c r="M118" s="38" t="str">
        <f t="array" ref="M118">IF(SUM(D118:L118)=0,"HIDE","")</f>
        <v>HIDE</v>
      </c>
      <c r="N118" s="26" t="n"/>
      <c r="O118" s="26" t="n"/>
      <c r="P118" s="26" t="n"/>
      <c r="Q118" s="26" t="n"/>
      <c r="R118" s="26" t="n"/>
      <c r="S118" s="26" t="n"/>
      <c r="T118" s="26" t="n"/>
      <c r="U118" s="26" t="n"/>
      <c r="V118" s="26" t="n"/>
      <c r="W118" s="26" t="n"/>
      <c r="X118" s="26" t="n"/>
      <c r="Y118" s="26" t="n"/>
      <c r="Z118" s="26" t="n"/>
      <c r="AA118" s="26" t="n"/>
      <c r="AB118" s="26" t="n"/>
      <c r="AC118" s="26" t="n"/>
      <c r="AD118" s="26" t="n"/>
      <c r="AE118" s="26" t="n"/>
      <c r="AF118" s="26" t="n"/>
      <c r="AG118" s="26" t="n"/>
      <c r="AH118" s="26" t="n"/>
      <c r="AI118" s="26" t="n"/>
      <c r="AJ118" s="26" t="n"/>
      <c r="AK118" s="26" t="n"/>
      <c r="AL118" s="26" t="n"/>
      <c r="AM118" s="26" t="n"/>
      <c r="AN118" s="26" t="n"/>
      <c r="AO118" s="26" t="n"/>
      <c r="AP118" s="26" t="n"/>
      <c r="AQ118" s="26" t="n"/>
      <c r="AR118" s="26" t="n"/>
      <c r="AS118" s="26" t="n"/>
      <c r="AT118" s="26" t="n"/>
      <c r="AU118" s="26" t="n"/>
      <c r="AV118" s="26" t="n"/>
      <c r="AW118" s="26" t="n"/>
      <c r="AX118" s="26" t="n"/>
      <c r="AY118" s="27" t="n"/>
    </row>
    <row r="119" s="3154" customFormat="1" ht="13.5" customHeight="1">
      <c r="A119" s="1910" t="e">
        <f t="array" ref="A119">A55</f>
      </c>
      <c r="B119" s="179" t="e">
        <f t="array" ref="B119">B55</f>
      </c>
      <c r="C119" s="3906" t="e">
        <f t="array" ref="C119">C55</f>
      </c>
      <c r="D119" s="3912" t="n">
        <f t="array" ref="D119">D55*D$70</f>
        <v>0</v>
      </c>
      <c r="E119" s="3912" t="n">
        <f t="array" ref="E119">E55*E$70</f>
        <v>0</v>
      </c>
      <c r="F119" s="3912" t="n">
        <f t="array" ref="F119">F55*F$70</f>
        <v>0</v>
      </c>
      <c r="G119" s="3912" t="n">
        <f t="array" ref="G119">G55*G$70</f>
        <v>0</v>
      </c>
      <c r="H119" s="3912" t="n">
        <f t="array" ref="H119">H55*H$70</f>
        <v>0</v>
      </c>
      <c r="I119" s="3912" t="n">
        <f t="array" ref="I119">I55*I$70</f>
        <v>0</v>
      </c>
      <c r="J119" s="3912" t="n">
        <f t="array" ref="J119">J55*J$70</f>
        <v>0</v>
      </c>
      <c r="K119" s="3912" t="n">
        <f t="array" ref="K119">K55*K$70</f>
        <v>0</v>
      </c>
      <c r="L119" s="3911" t="n">
        <f t="array" ref="L119">SUBTOTAL(9,D119:K119)</f>
        <v>0</v>
      </c>
      <c r="M119" s="38" t="str">
        <f t="array" ref="M119">IF(SUM(D119:L119)=0,"HIDE","")</f>
        <v>HIDE</v>
      </c>
      <c r="N119" s="26" t="n"/>
      <c r="O119" s="26" t="n"/>
      <c r="P119" s="26" t="n"/>
      <c r="Q119" s="26" t="n"/>
      <c r="R119" s="26" t="n"/>
      <c r="S119" s="26" t="n"/>
      <c r="T119" s="26" t="n"/>
      <c r="U119" s="26" t="n"/>
      <c r="V119" s="26" t="n"/>
      <c r="W119" s="26" t="n"/>
      <c r="X119" s="26" t="n"/>
      <c r="Y119" s="26" t="n"/>
      <c r="Z119" s="26" t="n"/>
      <c r="AA119" s="26" t="n"/>
      <c r="AB119" s="26" t="n"/>
      <c r="AC119" s="26" t="n"/>
      <c r="AD119" s="26" t="n"/>
      <c r="AE119" s="26" t="n"/>
      <c r="AF119" s="26" t="n"/>
      <c r="AG119" s="26" t="n"/>
      <c r="AH119" s="26" t="n"/>
      <c r="AI119" s="26" t="n"/>
      <c r="AJ119" s="26" t="n"/>
      <c r="AK119" s="26" t="n"/>
      <c r="AL119" s="26" t="n"/>
      <c r="AM119" s="26" t="n"/>
      <c r="AN119" s="26" t="n"/>
      <c r="AO119" s="26" t="n"/>
      <c r="AP119" s="26" t="n"/>
      <c r="AQ119" s="26" t="n"/>
      <c r="AR119" s="26" t="n"/>
      <c r="AS119" s="26" t="n"/>
      <c r="AT119" s="26" t="n"/>
      <c r="AU119" s="26" t="n"/>
      <c r="AV119" s="26" t="n"/>
      <c r="AW119" s="26" t="n"/>
      <c r="AX119" s="26" t="n"/>
      <c r="AY119" s="27" t="n"/>
    </row>
    <row r="120" s="3154" customFormat="1" ht="13.5" customHeight="1">
      <c r="A120" s="1910" t="e">
        <f t="array" ref="A120">A56</f>
      </c>
      <c r="B120" s="179" t="e">
        <f t="array" ref="B120">B56</f>
      </c>
      <c r="C120" s="3906" t="e">
        <f t="array" ref="C120">C56</f>
      </c>
      <c r="D120" s="3912" t="n">
        <f t="array" ref="D120">D56*D$70</f>
        <v>0</v>
      </c>
      <c r="E120" s="3912" t="n">
        <f t="array" ref="E120">E56*E$70</f>
        <v>0</v>
      </c>
      <c r="F120" s="3912" t="n">
        <f t="array" ref="F120">F56*F$70</f>
        <v>0</v>
      </c>
      <c r="G120" s="3912" t="n">
        <f t="array" ref="G120">G56*G$70</f>
        <v>0</v>
      </c>
      <c r="H120" s="3912" t="n">
        <f t="array" ref="H120">H56*H$70</f>
        <v>0</v>
      </c>
      <c r="I120" s="3912" t="n">
        <f t="array" ref="I120">I56*I$70</f>
        <v>0</v>
      </c>
      <c r="J120" s="3912" t="n">
        <f t="array" ref="J120">J56*J$70</f>
        <v>0</v>
      </c>
      <c r="K120" s="3912" t="n">
        <f t="array" ref="K120">K56*K$70</f>
        <v>0</v>
      </c>
      <c r="L120" s="3911" t="n">
        <f t="array" ref="L120">SUBTOTAL(9,D120:K120)</f>
        <v>0</v>
      </c>
      <c r="M120" s="38" t="str">
        <f t="array" ref="M120">IF(SUM(D120:L120)=0,"HIDE","")</f>
        <v>HIDE</v>
      </c>
      <c r="N120" s="26" t="n"/>
      <c r="O120" s="26" t="n"/>
      <c r="P120" s="26" t="n"/>
      <c r="Q120" s="26" t="n"/>
      <c r="R120" s="26" t="n"/>
      <c r="S120" s="26" t="n"/>
      <c r="T120" s="26" t="n"/>
      <c r="U120" s="26" t="n"/>
      <c r="V120" s="26" t="n"/>
      <c r="W120" s="26" t="n"/>
      <c r="X120" s="26" t="n"/>
      <c r="Y120" s="26" t="n"/>
      <c r="Z120" s="26" t="n"/>
      <c r="AA120" s="26" t="n"/>
      <c r="AB120" s="26" t="n"/>
      <c r="AC120" s="26" t="n"/>
      <c r="AD120" s="26" t="n"/>
      <c r="AE120" s="26" t="n"/>
      <c r="AF120" s="26" t="n"/>
      <c r="AG120" s="26" t="n"/>
      <c r="AH120" s="26" t="n"/>
      <c r="AI120" s="26" t="n"/>
      <c r="AJ120" s="26" t="n"/>
      <c r="AK120" s="26" t="n"/>
      <c r="AL120" s="26" t="n"/>
      <c r="AM120" s="26" t="n"/>
      <c r="AN120" s="26" t="n"/>
      <c r="AO120" s="26" t="n"/>
      <c r="AP120" s="26" t="n"/>
      <c r="AQ120" s="26" t="n"/>
      <c r="AR120" s="26" t="n"/>
      <c r="AS120" s="26" t="n"/>
      <c r="AT120" s="26" t="n"/>
      <c r="AU120" s="26" t="n"/>
      <c r="AV120" s="26" t="n"/>
      <c r="AW120" s="26" t="n"/>
      <c r="AX120" s="26" t="n"/>
      <c r="AY120" s="27" t="n"/>
    </row>
    <row r="121" s="3154" customFormat="1" ht="13.5" customHeight="1">
      <c r="A121" s="1910" t="e">
        <f t="array" ref="A121">A57</f>
      </c>
      <c r="B121" s="179" t="e">
        <f t="array" ref="B121">B57</f>
      </c>
      <c r="C121" s="3906" t="e">
        <f t="array" ref="C121">C57</f>
      </c>
      <c r="D121" s="3912" t="n">
        <f t="array" ref="D121">D57*D$70</f>
        <v>0</v>
      </c>
      <c r="E121" s="3912" t="n">
        <f t="array" ref="E121">E57*E$70</f>
        <v>0</v>
      </c>
      <c r="F121" s="3912" t="n">
        <f t="array" ref="F121">F57*F$70</f>
        <v>0</v>
      </c>
      <c r="G121" s="3912" t="n">
        <f t="array" ref="G121">G57*G$70</f>
        <v>0</v>
      </c>
      <c r="H121" s="3912" t="n">
        <f t="array" ref="H121">H57*H$70</f>
        <v>0</v>
      </c>
      <c r="I121" s="3912" t="n">
        <f t="array" ref="I121">I57*I$70</f>
        <v>0</v>
      </c>
      <c r="J121" s="3912" t="n">
        <f t="array" ref="J121">J57*J$70</f>
        <v>0</v>
      </c>
      <c r="K121" s="3912" t="n">
        <f t="array" ref="K121">K57*K$70</f>
        <v>0</v>
      </c>
      <c r="L121" s="3911" t="n">
        <f t="array" ref="L121">SUBTOTAL(9,D121:K121)</f>
        <v>0</v>
      </c>
      <c r="M121" s="38" t="str">
        <f t="array" ref="M121">IF(SUM(D121:L121)=0,"HIDE","")</f>
        <v>HIDE</v>
      </c>
      <c r="N121" s="26" t="n"/>
      <c r="O121" s="26" t="n"/>
      <c r="P121" s="26" t="n"/>
      <c r="Q121" s="26" t="n"/>
      <c r="R121" s="26" t="n"/>
      <c r="S121" s="26" t="n"/>
      <c r="T121" s="26" t="n"/>
      <c r="U121" s="26" t="n"/>
      <c r="V121" s="26" t="n"/>
      <c r="W121" s="26" t="n"/>
      <c r="X121" s="26" t="n"/>
      <c r="Y121" s="26" t="n"/>
      <c r="Z121" s="26" t="n"/>
      <c r="AA121" s="26" t="n"/>
      <c r="AB121" s="26" t="n"/>
      <c r="AC121" s="26" t="n"/>
      <c r="AD121" s="26" t="n"/>
      <c r="AE121" s="26" t="n"/>
      <c r="AF121" s="26" t="n"/>
      <c r="AG121" s="26" t="n"/>
      <c r="AH121" s="26" t="n"/>
      <c r="AI121" s="26" t="n"/>
      <c r="AJ121" s="26" t="n"/>
      <c r="AK121" s="26" t="n"/>
      <c r="AL121" s="26" t="n"/>
      <c r="AM121" s="26" t="n"/>
      <c r="AN121" s="26" t="n"/>
      <c r="AO121" s="26" t="n"/>
      <c r="AP121" s="26" t="n"/>
      <c r="AQ121" s="26" t="n"/>
      <c r="AR121" s="26" t="n"/>
      <c r="AS121" s="26" t="n"/>
      <c r="AT121" s="26" t="n"/>
      <c r="AU121" s="26" t="n"/>
      <c r="AV121" s="26" t="n"/>
      <c r="AW121" s="26" t="n"/>
      <c r="AX121" s="26" t="n"/>
      <c r="AY121" s="27" t="n"/>
    </row>
    <row r="122" s="3154" customFormat="1" ht="13.5" customHeight="1">
      <c r="A122" s="1910" t="e">
        <f t="array" ref="A122">A58</f>
      </c>
      <c r="B122" s="179" t="e">
        <f t="array" ref="B122">B58</f>
      </c>
      <c r="C122" s="3906" t="e">
        <f t="array" ref="C122">C58</f>
      </c>
      <c r="D122" s="3912" t="n">
        <f t="array" ref="D122">D58*D$70</f>
        <v>0</v>
      </c>
      <c r="E122" s="3912" t="n">
        <f t="array" ref="E122">E58*E$70</f>
        <v>0</v>
      </c>
      <c r="F122" s="3912" t="n">
        <f t="array" ref="F122">F58*F$70</f>
        <v>0</v>
      </c>
      <c r="G122" s="3912" t="n">
        <f t="array" ref="G122">G58*G$70</f>
        <v>0</v>
      </c>
      <c r="H122" s="3912" t="n">
        <f t="array" ref="H122">H58*H$70</f>
        <v>0</v>
      </c>
      <c r="I122" s="3912" t="n">
        <f t="array" ref="I122">I58*I$70</f>
        <v>0</v>
      </c>
      <c r="J122" s="3912" t="n">
        <f t="array" ref="J122">J58*J$70</f>
        <v>0</v>
      </c>
      <c r="K122" s="3912" t="n">
        <f t="array" ref="K122">K58*K$70</f>
        <v>0</v>
      </c>
      <c r="L122" s="3911" t="n">
        <f t="array" ref="L122">SUBTOTAL(9,D122:K122)</f>
        <v>0</v>
      </c>
      <c r="M122" s="38" t="str">
        <f t="array" ref="M122">IF(SUM(D122:L122)=0,"HIDE","")</f>
        <v>HIDE</v>
      </c>
      <c r="N122" s="26" t="n"/>
      <c r="O122" s="26" t="n"/>
      <c r="P122" s="26" t="n"/>
      <c r="Q122" s="26" t="n"/>
      <c r="R122" s="26" t="n"/>
      <c r="S122" s="26" t="n"/>
      <c r="T122" s="26" t="n"/>
      <c r="U122" s="26" t="n"/>
      <c r="V122" s="26" t="n"/>
      <c r="W122" s="26" t="n"/>
      <c r="X122" s="26" t="n"/>
      <c r="Y122" s="26" t="n"/>
      <c r="Z122" s="26" t="n"/>
      <c r="AA122" s="26" t="n"/>
      <c r="AB122" s="26" t="n"/>
      <c r="AC122" s="26" t="n"/>
      <c r="AD122" s="26" t="n"/>
      <c r="AE122" s="26" t="n"/>
      <c r="AF122" s="26" t="n"/>
      <c r="AG122" s="26" t="n"/>
      <c r="AH122" s="26" t="n"/>
      <c r="AI122" s="26" t="n"/>
      <c r="AJ122" s="26" t="n"/>
      <c r="AK122" s="26" t="n"/>
      <c r="AL122" s="26" t="n"/>
      <c r="AM122" s="26" t="n"/>
      <c r="AN122" s="26" t="n"/>
      <c r="AO122" s="26" t="n"/>
      <c r="AP122" s="26" t="n"/>
      <c r="AQ122" s="26" t="n"/>
      <c r="AR122" s="26" t="n"/>
      <c r="AS122" s="26" t="n"/>
      <c r="AT122" s="26" t="n"/>
      <c r="AU122" s="26" t="n"/>
      <c r="AV122" s="26" t="n"/>
      <c r="AW122" s="26" t="n"/>
      <c r="AX122" s="26" t="n"/>
      <c r="AY122" s="27" t="n"/>
    </row>
    <row r="123" s="3154" customFormat="1" ht="13.5" customHeight="1">
      <c r="A123" s="1910" t="e">
        <f t="array" ref="A123">A59</f>
      </c>
      <c r="B123" s="179" t="e">
        <f t="array" ref="B123">B59</f>
      </c>
      <c r="C123" s="3906" t="e">
        <f t="array" ref="C123">C59</f>
      </c>
      <c r="D123" s="3912" t="n">
        <f t="array" ref="D123">D59*D$70</f>
        <v>0</v>
      </c>
      <c r="E123" s="3912" t="n">
        <f t="array" ref="E123">E59*E$70</f>
        <v>0</v>
      </c>
      <c r="F123" s="3912" t="n">
        <f t="array" ref="F123">F59*F$70</f>
        <v>0</v>
      </c>
      <c r="G123" s="3912" t="n">
        <f t="array" ref="G123">G59*G$70</f>
        <v>0</v>
      </c>
      <c r="H123" s="3912" t="n">
        <f t="array" ref="H123">H59*H$70</f>
        <v>0</v>
      </c>
      <c r="I123" s="3912" t="n">
        <f t="array" ref="I123">I59*I$70</f>
        <v>0</v>
      </c>
      <c r="J123" s="3912" t="n">
        <f t="array" ref="J123">J59*J$70</f>
        <v>0</v>
      </c>
      <c r="K123" s="3912" t="n">
        <f t="array" ref="K123">K59*K$70</f>
        <v>0</v>
      </c>
      <c r="L123" s="3911" t="n">
        <f t="array" ref="L123">SUBTOTAL(9,D123:K123)</f>
        <v>0</v>
      </c>
      <c r="M123" s="38" t="str">
        <f t="array" ref="M123">IF(SUM(D123:L123)=0,"HIDE","")</f>
        <v>HIDE</v>
      </c>
      <c r="N123" s="26" t="n"/>
      <c r="O123" s="26" t="n"/>
      <c r="P123" s="26" t="n"/>
      <c r="Q123" s="26" t="n"/>
      <c r="R123" s="26" t="n"/>
      <c r="S123" s="26" t="n"/>
      <c r="T123" s="26" t="n"/>
      <c r="U123" s="26" t="n"/>
      <c r="V123" s="26" t="n"/>
      <c r="W123" s="26" t="n"/>
      <c r="X123" s="26" t="n"/>
      <c r="Y123" s="26" t="n"/>
      <c r="Z123" s="26" t="n"/>
      <c r="AA123" s="26" t="n"/>
      <c r="AB123" s="26" t="n"/>
      <c r="AC123" s="26" t="n"/>
      <c r="AD123" s="26" t="n"/>
      <c r="AE123" s="26" t="n"/>
      <c r="AF123" s="26" t="n"/>
      <c r="AG123" s="26" t="n"/>
      <c r="AH123" s="26" t="n"/>
      <c r="AI123" s="26" t="n"/>
      <c r="AJ123" s="26" t="n"/>
      <c r="AK123" s="26" t="n"/>
      <c r="AL123" s="26" t="n"/>
      <c r="AM123" s="26" t="n"/>
      <c r="AN123" s="26" t="n"/>
      <c r="AO123" s="26" t="n"/>
      <c r="AP123" s="26" t="n"/>
      <c r="AQ123" s="26" t="n"/>
      <c r="AR123" s="26" t="n"/>
      <c r="AS123" s="26" t="n"/>
      <c r="AT123" s="26" t="n"/>
      <c r="AU123" s="26" t="n"/>
      <c r="AV123" s="26" t="n"/>
      <c r="AW123" s="26" t="n"/>
      <c r="AX123" s="26" t="n"/>
      <c r="AY123" s="27" t="n"/>
    </row>
    <row r="124" s="3154" customFormat="1" ht="13.5" customHeight="1">
      <c r="A124" s="1910" t="e">
        <f t="array" ref="A124">A60</f>
      </c>
      <c r="B124" s="179" t="e">
        <f t="array" ref="B124">B60</f>
      </c>
      <c r="C124" s="3906" t="e">
        <f t="array" ref="C124">C60</f>
      </c>
      <c r="D124" s="3912" t="n">
        <f t="array" ref="D124">D60*D$70</f>
        <v>0</v>
      </c>
      <c r="E124" s="3912" t="n">
        <f t="array" ref="E124">E60*E$70</f>
        <v>0</v>
      </c>
      <c r="F124" s="3912" t="n">
        <f t="array" ref="F124">F60*F$70</f>
        <v>0</v>
      </c>
      <c r="G124" s="3912" t="n">
        <f t="array" ref="G124">G60*G$70</f>
        <v>0</v>
      </c>
      <c r="H124" s="3912" t="n">
        <f t="array" ref="H124">H60*H$70</f>
        <v>0</v>
      </c>
      <c r="I124" s="3912" t="n">
        <f t="array" ref="I124">I60*I$70</f>
        <v>0</v>
      </c>
      <c r="J124" s="3912" t="n">
        <f t="array" ref="J124">J60*J$70</f>
        <v>0</v>
      </c>
      <c r="K124" s="3912" t="n">
        <f t="array" ref="K124">K60*K$70</f>
        <v>0</v>
      </c>
      <c r="L124" s="3911" t="n">
        <f t="array" ref="L124">SUBTOTAL(9,D124:K124)</f>
        <v>0</v>
      </c>
      <c r="M124" s="38" t="str">
        <f t="array" ref="M124">IF(SUM(D124:L124)=0,"HIDE","")</f>
        <v>HIDE</v>
      </c>
      <c r="N124" s="26" t="n"/>
      <c r="O124" s="26" t="n"/>
      <c r="P124" s="26" t="n"/>
      <c r="Q124" s="26" t="n"/>
      <c r="R124" s="26" t="n"/>
      <c r="S124" s="26" t="n"/>
      <c r="T124" s="26" t="n"/>
      <c r="U124" s="26" t="n"/>
      <c r="V124" s="26" t="n"/>
      <c r="W124" s="26" t="n"/>
      <c r="X124" s="26" t="n"/>
      <c r="Y124" s="26" t="n"/>
      <c r="Z124" s="26" t="n"/>
      <c r="AA124" s="26" t="n"/>
      <c r="AB124" s="26" t="n"/>
      <c r="AC124" s="26" t="n"/>
      <c r="AD124" s="26" t="n"/>
      <c r="AE124" s="26" t="n"/>
      <c r="AF124" s="26" t="n"/>
      <c r="AG124" s="26" t="n"/>
      <c r="AH124" s="26" t="n"/>
      <c r="AI124" s="26" t="n"/>
      <c r="AJ124" s="26" t="n"/>
      <c r="AK124" s="26" t="n"/>
      <c r="AL124" s="26" t="n"/>
      <c r="AM124" s="26" t="n"/>
      <c r="AN124" s="26" t="n"/>
      <c r="AO124" s="26" t="n"/>
      <c r="AP124" s="26" t="n"/>
      <c r="AQ124" s="26" t="n"/>
      <c r="AR124" s="26" t="n"/>
      <c r="AS124" s="26" t="n"/>
      <c r="AT124" s="26" t="n"/>
      <c r="AU124" s="26" t="n"/>
      <c r="AV124" s="26" t="n"/>
      <c r="AW124" s="26" t="n"/>
      <c r="AX124" s="26" t="n"/>
      <c r="AY124" s="27" t="n"/>
    </row>
    <row r="125" s="3154" customFormat="1" ht="13.5" customHeight="1">
      <c r="A125" s="1910" t="e">
        <f t="array" ref="A125">A61</f>
      </c>
      <c r="B125" s="179" t="e">
        <f t="array" ref="B125">B61</f>
      </c>
      <c r="C125" s="3906" t="e">
        <f t="array" ref="C125">C61</f>
      </c>
      <c r="D125" s="3912" t="n">
        <f t="array" ref="D125">D61*D$70</f>
        <v>0</v>
      </c>
      <c r="E125" s="3912" t="n">
        <f t="array" ref="E125">E61*E$70</f>
        <v>0</v>
      </c>
      <c r="F125" s="3912" t="n">
        <f t="array" ref="F125">F61*F$70</f>
        <v>0</v>
      </c>
      <c r="G125" s="3912" t="n">
        <f t="array" ref="G125">G61*G$70</f>
        <v>0</v>
      </c>
      <c r="H125" s="3912" t="n">
        <f t="array" ref="H125">H61*H$70</f>
        <v>0</v>
      </c>
      <c r="I125" s="3912" t="n">
        <f t="array" ref="I125">I61*I$70</f>
        <v>0</v>
      </c>
      <c r="J125" s="3912" t="n">
        <f t="array" ref="J125">J61*J$70</f>
        <v>0</v>
      </c>
      <c r="K125" s="3912" t="n">
        <f t="array" ref="K125">K61*K$70</f>
        <v>0</v>
      </c>
      <c r="L125" s="3911" t="n">
        <f t="array" ref="L125">SUBTOTAL(9,D125:K125)</f>
        <v>0</v>
      </c>
      <c r="M125" s="38" t="str">
        <f t="array" ref="M125">IF(SUM(D125:L125)=0,"HIDE","")</f>
        <v>HIDE</v>
      </c>
      <c r="N125" s="26" t="n"/>
      <c r="O125" s="26" t="n"/>
      <c r="P125" s="26" t="n"/>
      <c r="Q125" s="26" t="n"/>
      <c r="R125" s="26" t="n"/>
      <c r="S125" s="26" t="n"/>
      <c r="T125" s="26" t="n"/>
      <c r="U125" s="26" t="n"/>
      <c r="V125" s="26" t="n"/>
      <c r="W125" s="26" t="n"/>
      <c r="X125" s="26" t="n"/>
      <c r="Y125" s="26" t="n"/>
      <c r="Z125" s="26" t="n"/>
      <c r="AA125" s="26" t="n"/>
      <c r="AB125" s="26" t="n"/>
      <c r="AC125" s="26" t="n"/>
      <c r="AD125" s="26" t="n"/>
      <c r="AE125" s="26" t="n"/>
      <c r="AF125" s="26" t="n"/>
      <c r="AG125" s="26" t="n"/>
      <c r="AH125" s="26" t="n"/>
      <c r="AI125" s="26" t="n"/>
      <c r="AJ125" s="26" t="n"/>
      <c r="AK125" s="26" t="n"/>
      <c r="AL125" s="26" t="n"/>
      <c r="AM125" s="26" t="n"/>
      <c r="AN125" s="26" t="n"/>
      <c r="AO125" s="26" t="n"/>
      <c r="AP125" s="26" t="n"/>
      <c r="AQ125" s="26" t="n"/>
      <c r="AR125" s="26" t="n"/>
      <c r="AS125" s="26" t="n"/>
      <c r="AT125" s="26" t="n"/>
      <c r="AU125" s="26" t="n"/>
      <c r="AV125" s="26" t="n"/>
      <c r="AW125" s="26" t="n"/>
      <c r="AX125" s="26" t="n"/>
      <c r="AY125" s="27" t="n"/>
    </row>
    <row r="126" s="3154" customFormat="1" ht="13.5" customHeight="1">
      <c r="A126" s="1910" t="e">
        <f t="array" ref="A126">A62</f>
      </c>
      <c r="B126" s="179" t="e">
        <f t="array" ref="B126">B62</f>
      </c>
      <c r="C126" s="3906" t="e">
        <f t="array" ref="C126">C62</f>
      </c>
      <c r="D126" s="3912" t="n">
        <f t="array" ref="D126">D62*D$70</f>
        <v>0</v>
      </c>
      <c r="E126" s="3912" t="n">
        <f t="array" ref="E126">E62*E$70</f>
        <v>0</v>
      </c>
      <c r="F126" s="3912" t="n">
        <f t="array" ref="F126">F62*F$70</f>
        <v>0</v>
      </c>
      <c r="G126" s="3912" t="n">
        <f t="array" ref="G126">G62*G$70</f>
        <v>0</v>
      </c>
      <c r="H126" s="3912" t="n">
        <f t="array" ref="H126">H62*H$70</f>
        <v>0</v>
      </c>
      <c r="I126" s="3912" t="n">
        <f t="array" ref="I126">I62*I$70</f>
        <v>0</v>
      </c>
      <c r="J126" s="3912" t="n">
        <f t="array" ref="J126">J62*J$70</f>
        <v>0</v>
      </c>
      <c r="K126" s="3912" t="n">
        <f t="array" ref="K126">K62*K$70</f>
        <v>0</v>
      </c>
      <c r="L126" s="3911" t="n">
        <f t="array" ref="L126">SUBTOTAL(9,D126:K126)</f>
        <v>0</v>
      </c>
      <c r="M126" s="38" t="str">
        <f t="array" ref="M126">IF(SUM(D126:L126)=0,"HIDE","")</f>
        <v>HIDE</v>
      </c>
      <c r="N126" s="26" t="n"/>
      <c r="O126" s="26" t="n"/>
      <c r="P126" s="26" t="n"/>
      <c r="Q126" s="26" t="n"/>
      <c r="R126" s="26" t="n"/>
      <c r="S126" s="26" t="n"/>
      <c r="T126" s="26" t="n"/>
      <c r="U126" s="26" t="n"/>
      <c r="V126" s="26" t="n"/>
      <c r="W126" s="26" t="n"/>
      <c r="X126" s="26" t="n"/>
      <c r="Y126" s="26" t="n"/>
      <c r="Z126" s="26" t="n"/>
      <c r="AA126" s="26" t="n"/>
      <c r="AB126" s="26" t="n"/>
      <c r="AC126" s="26" t="n"/>
      <c r="AD126" s="26" t="n"/>
      <c r="AE126" s="26" t="n"/>
      <c r="AF126" s="26" t="n"/>
      <c r="AG126" s="26" t="n"/>
      <c r="AH126" s="26" t="n"/>
      <c r="AI126" s="26" t="n"/>
      <c r="AJ126" s="26" t="n"/>
      <c r="AK126" s="26" t="n"/>
      <c r="AL126" s="26" t="n"/>
      <c r="AM126" s="26" t="n"/>
      <c r="AN126" s="26" t="n"/>
      <c r="AO126" s="26" t="n"/>
      <c r="AP126" s="26" t="n"/>
      <c r="AQ126" s="26" t="n"/>
      <c r="AR126" s="26" t="n"/>
      <c r="AS126" s="26" t="n"/>
      <c r="AT126" s="26" t="n"/>
      <c r="AU126" s="26" t="n"/>
      <c r="AV126" s="26" t="n"/>
      <c r="AW126" s="26" t="n"/>
      <c r="AX126" s="26" t="n"/>
      <c r="AY126" s="27" t="n"/>
    </row>
    <row r="127" s="3154" customFormat="1" ht="13.5" customHeight="1">
      <c r="A127" s="1910" t="e">
        <f t="array" ref="A127">A63</f>
      </c>
      <c r="B127" s="179" t="e">
        <f t="array" ref="B127">B63</f>
      </c>
      <c r="C127" s="3906" t="e">
        <f t="array" ref="C127">C63</f>
      </c>
      <c r="D127" s="3912" t="n">
        <f t="array" ref="D127">D63*D$70</f>
        <v>0</v>
      </c>
      <c r="E127" s="3912" t="n">
        <f t="array" ref="E127">E63*E$70</f>
        <v>0</v>
      </c>
      <c r="F127" s="3912" t="n">
        <f t="array" ref="F127">F63*F$70</f>
        <v>0</v>
      </c>
      <c r="G127" s="3912" t="n">
        <f t="array" ref="G127">G63*G$70</f>
        <v>0</v>
      </c>
      <c r="H127" s="3912" t="n">
        <f t="array" ref="H127">H63*H$70</f>
        <v>0</v>
      </c>
      <c r="I127" s="3912" t="n">
        <f t="array" ref="I127">I63*I$70</f>
        <v>0</v>
      </c>
      <c r="J127" s="3912" t="n">
        <f t="array" ref="J127">J63*J$70</f>
        <v>0</v>
      </c>
      <c r="K127" s="3912" t="n">
        <f t="array" ref="K127">K63*K$70</f>
        <v>0</v>
      </c>
      <c r="L127" s="3911" t="n">
        <f t="array" ref="L127">SUBTOTAL(9,D127:K127)</f>
        <v>0</v>
      </c>
      <c r="M127" s="38" t="str">
        <f t="array" ref="M127">IF(SUM(D127:L127)=0,"HIDE","")</f>
        <v>HIDE</v>
      </c>
      <c r="N127" s="26" t="n"/>
      <c r="O127" s="26" t="n"/>
      <c r="P127" s="26" t="n"/>
      <c r="Q127" s="26" t="n"/>
      <c r="R127" s="26" t="n"/>
      <c r="S127" s="26" t="n"/>
      <c r="T127" s="26" t="n"/>
      <c r="U127" s="26" t="n"/>
      <c r="V127" s="26" t="n"/>
      <c r="W127" s="26" t="n"/>
      <c r="X127" s="26" t="n"/>
      <c r="Y127" s="26" t="n"/>
      <c r="Z127" s="26" t="n"/>
      <c r="AA127" s="26" t="n"/>
      <c r="AB127" s="26" t="n"/>
      <c r="AC127" s="26" t="n"/>
      <c r="AD127" s="26" t="n"/>
      <c r="AE127" s="26" t="n"/>
      <c r="AF127" s="26" t="n"/>
      <c r="AG127" s="26" t="n"/>
      <c r="AH127" s="26" t="n"/>
      <c r="AI127" s="26" t="n"/>
      <c r="AJ127" s="26" t="n"/>
      <c r="AK127" s="26" t="n"/>
      <c r="AL127" s="26" t="n"/>
      <c r="AM127" s="26" t="n"/>
      <c r="AN127" s="26" t="n"/>
      <c r="AO127" s="26" t="n"/>
      <c r="AP127" s="26" t="n"/>
      <c r="AQ127" s="26" t="n"/>
      <c r="AR127" s="26" t="n"/>
      <c r="AS127" s="26" t="n"/>
      <c r="AT127" s="26" t="n"/>
      <c r="AU127" s="26" t="n"/>
      <c r="AV127" s="26" t="n"/>
      <c r="AW127" s="26" t="n"/>
      <c r="AX127" s="26" t="n"/>
      <c r="AY127" s="27" t="n"/>
    </row>
    <row r="128" s="3154" customFormat="1" ht="13.5" customHeight="1">
      <c r="A128" s="1910" t="e">
        <f t="array" ref="A128">A64</f>
      </c>
      <c r="B128" s="179" t="e">
        <f t="array" ref="B128">B64</f>
      </c>
      <c r="C128" s="3906" t="e">
        <f t="array" ref="C128">C64</f>
      </c>
      <c r="D128" s="3912" t="n">
        <f t="array" ref="D128">D64*D$70</f>
        <v>0</v>
      </c>
      <c r="E128" s="3912" t="n">
        <f t="array" ref="E128">E64*E$70</f>
        <v>0</v>
      </c>
      <c r="F128" s="3912" t="n">
        <f t="array" ref="F128">F64*F$70</f>
        <v>0</v>
      </c>
      <c r="G128" s="3912" t="n">
        <f t="array" ref="G128">G64*G$70</f>
        <v>0</v>
      </c>
      <c r="H128" s="3912" t="n">
        <f t="array" ref="H128">H64*H$70</f>
        <v>0</v>
      </c>
      <c r="I128" s="3912" t="n">
        <f t="array" ref="I128">I64*I$70</f>
        <v>0</v>
      </c>
      <c r="J128" s="3912" t="n">
        <f t="array" ref="J128">J64*J$70</f>
        <v>0</v>
      </c>
      <c r="K128" s="3912" t="n">
        <f t="array" ref="K128">K64*K$70</f>
        <v>0</v>
      </c>
      <c r="L128" s="3911" t="n">
        <f t="array" ref="L128">SUBTOTAL(9,D128:K128)</f>
        <v>0</v>
      </c>
      <c r="M128" s="38" t="str">
        <f t="array" ref="M128">IF(SUM(D128:L128)=0,"HIDE","")</f>
        <v>HIDE</v>
      </c>
      <c r="N128" s="26" t="n"/>
      <c r="O128" s="26" t="n"/>
      <c r="P128" s="26" t="n"/>
      <c r="Q128" s="26" t="n"/>
      <c r="R128" s="26" t="n"/>
      <c r="S128" s="26" t="n"/>
      <c r="T128" s="26" t="n"/>
      <c r="U128" s="26" t="n"/>
      <c r="V128" s="26" t="n"/>
      <c r="W128" s="26" t="n"/>
      <c r="X128" s="26" t="n"/>
      <c r="Y128" s="26" t="n"/>
      <c r="Z128" s="26" t="n"/>
      <c r="AA128" s="26" t="n"/>
      <c r="AB128" s="26" t="n"/>
      <c r="AC128" s="26" t="n"/>
      <c r="AD128" s="26" t="n"/>
      <c r="AE128" s="26" t="n"/>
      <c r="AF128" s="26" t="n"/>
      <c r="AG128" s="26" t="n"/>
      <c r="AH128" s="26" t="n"/>
      <c r="AI128" s="26" t="n"/>
      <c r="AJ128" s="26" t="n"/>
      <c r="AK128" s="26" t="n"/>
      <c r="AL128" s="26" t="n"/>
      <c r="AM128" s="26" t="n"/>
      <c r="AN128" s="26" t="n"/>
      <c r="AO128" s="26" t="n"/>
      <c r="AP128" s="26" t="n"/>
      <c r="AQ128" s="26" t="n"/>
      <c r="AR128" s="26" t="n"/>
      <c r="AS128" s="26" t="n"/>
      <c r="AT128" s="26" t="n"/>
      <c r="AU128" s="26" t="n"/>
      <c r="AV128" s="26" t="n"/>
      <c r="AW128" s="26" t="n"/>
      <c r="AX128" s="26" t="n"/>
      <c r="AY128" s="27" t="n"/>
    </row>
    <row r="129" s="3154" customFormat="1" ht="13.5" customHeight="1">
      <c r="A129" s="1910" t="e">
        <f t="array" ref="A129">A65</f>
      </c>
      <c r="B129" s="179" t="e">
        <f t="array" ref="B129">B65</f>
      </c>
      <c r="C129" s="3906" t="e">
        <f t="array" ref="C129">C65</f>
      </c>
      <c r="D129" s="3912" t="n">
        <f t="array" ref="D129">D65*D$70</f>
        <v>0</v>
      </c>
      <c r="E129" s="3912" t="n">
        <f t="array" ref="E129">E65*E$70</f>
        <v>0</v>
      </c>
      <c r="F129" s="3912" t="n">
        <f t="array" ref="F129">F65*F$70</f>
        <v>0</v>
      </c>
      <c r="G129" s="3912" t="n">
        <f t="array" ref="G129">G65*G$70</f>
        <v>0</v>
      </c>
      <c r="H129" s="3912" t="n">
        <f t="array" ref="H129">H65*H$70</f>
        <v>0</v>
      </c>
      <c r="I129" s="3912" t="n">
        <f t="array" ref="I129">I65*I$70</f>
        <v>0</v>
      </c>
      <c r="J129" s="3912" t="n">
        <f t="array" ref="J129">J65*J$70</f>
        <v>0</v>
      </c>
      <c r="K129" s="3912" t="n">
        <f t="array" ref="K129">K65*K$70</f>
        <v>0</v>
      </c>
      <c r="L129" s="3911" t="n">
        <f t="array" ref="L129">SUBTOTAL(9,D129:K129)</f>
        <v>0</v>
      </c>
      <c r="M129" s="38" t="str">
        <f t="array" ref="M129">IF(SUM(D129:L129)=0,"HIDE","")</f>
        <v>HIDE</v>
      </c>
      <c r="N129" s="26" t="n"/>
      <c r="O129" s="26" t="n"/>
      <c r="P129" s="26" t="n"/>
      <c r="Q129" s="26" t="n"/>
      <c r="R129" s="26" t="n"/>
      <c r="S129" s="26" t="n"/>
      <c r="T129" s="26" t="n"/>
      <c r="U129" s="26" t="n"/>
      <c r="V129" s="26" t="n"/>
      <c r="W129" s="26" t="n"/>
      <c r="X129" s="26" t="n"/>
      <c r="Y129" s="26" t="n"/>
      <c r="Z129" s="26" t="n"/>
      <c r="AA129" s="26" t="n"/>
      <c r="AB129" s="26" t="n"/>
      <c r="AC129" s="26" t="n"/>
      <c r="AD129" s="26" t="n"/>
      <c r="AE129" s="26" t="n"/>
      <c r="AF129" s="26" t="n"/>
      <c r="AG129" s="26" t="n"/>
      <c r="AH129" s="26" t="n"/>
      <c r="AI129" s="26" t="n"/>
      <c r="AJ129" s="26" t="n"/>
      <c r="AK129" s="26" t="n"/>
      <c r="AL129" s="26" t="n"/>
      <c r="AM129" s="26" t="n"/>
      <c r="AN129" s="26" t="n"/>
      <c r="AO129" s="26" t="n"/>
      <c r="AP129" s="26" t="n"/>
      <c r="AQ129" s="26" t="n"/>
      <c r="AR129" s="26" t="n"/>
      <c r="AS129" s="26" t="n"/>
      <c r="AT129" s="26" t="n"/>
      <c r="AU129" s="26" t="n"/>
      <c r="AV129" s="26" t="n"/>
      <c r="AW129" s="26" t="n"/>
      <c r="AX129" s="26" t="n"/>
      <c r="AY129" s="27" t="n"/>
    </row>
    <row r="130" s="3154" customFormat="1" ht="13.5" customHeight="1">
      <c r="A130" s="1910" t="e">
        <f t="array" ref="A130">A66</f>
      </c>
      <c r="B130" s="179" t="e">
        <f t="array" ref="B130">B66</f>
      </c>
      <c r="C130" s="3906" t="e">
        <f t="array" ref="C130">C66</f>
      </c>
      <c r="D130" s="3912" t="n">
        <f t="array" ref="D130">D66*D$70</f>
        <v>0</v>
      </c>
      <c r="E130" s="3912" t="n">
        <f t="array" ref="E130">E66*E$70</f>
        <v>0</v>
      </c>
      <c r="F130" s="3912" t="n">
        <f t="array" ref="F130">F66*F$70</f>
        <v>0</v>
      </c>
      <c r="G130" s="3912" t="n">
        <f t="array" ref="G130">G66*G$70</f>
        <v>0</v>
      </c>
      <c r="H130" s="3912" t="n">
        <f t="array" ref="H130">H66*H$70</f>
        <v>0</v>
      </c>
      <c r="I130" s="3912" t="n">
        <f t="array" ref="I130">I66*I$70</f>
        <v>0</v>
      </c>
      <c r="J130" s="3912" t="n">
        <f t="array" ref="J130">J66*J$70</f>
        <v>0</v>
      </c>
      <c r="K130" s="3912" t="n">
        <f t="array" ref="K130">K66*K$70</f>
        <v>0</v>
      </c>
      <c r="L130" s="3911" t="n">
        <f t="array" ref="L130">SUBTOTAL(9,D130:K130)</f>
        <v>0</v>
      </c>
      <c r="M130" s="38" t="str">
        <f t="array" ref="M130">IF(SUM(D130:L130)=0,"HIDE","")</f>
        <v>HIDE</v>
      </c>
      <c r="N130" s="26" t="n"/>
      <c r="O130" s="26" t="n"/>
      <c r="P130" s="26" t="n"/>
      <c r="Q130" s="26" t="n"/>
      <c r="R130" s="26" t="n"/>
      <c r="S130" s="26" t="n"/>
      <c r="T130" s="26" t="n"/>
      <c r="U130" s="26" t="n"/>
      <c r="V130" s="26" t="n"/>
      <c r="W130" s="26" t="n"/>
      <c r="X130" s="26" t="n"/>
      <c r="Y130" s="26" t="n"/>
      <c r="Z130" s="26" t="n"/>
      <c r="AA130" s="26" t="n"/>
      <c r="AB130" s="26" t="n"/>
      <c r="AC130" s="26" t="n"/>
      <c r="AD130" s="26" t="n"/>
      <c r="AE130" s="26" t="n"/>
      <c r="AF130" s="26" t="n"/>
      <c r="AG130" s="26" t="n"/>
      <c r="AH130" s="26" t="n"/>
      <c r="AI130" s="26" t="n"/>
      <c r="AJ130" s="26" t="n"/>
      <c r="AK130" s="26" t="n"/>
      <c r="AL130" s="26" t="n"/>
      <c r="AM130" s="26" t="n"/>
      <c r="AN130" s="26" t="n"/>
      <c r="AO130" s="26" t="n"/>
      <c r="AP130" s="26" t="n"/>
      <c r="AQ130" s="26" t="n"/>
      <c r="AR130" s="26" t="n"/>
      <c r="AS130" s="26" t="n"/>
      <c r="AT130" s="26" t="n"/>
      <c r="AU130" s="26" t="n"/>
      <c r="AV130" s="26" t="n"/>
      <c r="AW130" s="26" t="n"/>
      <c r="AX130" s="26" t="n"/>
      <c r="AY130" s="27" t="n"/>
    </row>
    <row r="131" s="3154" customFormat="1" ht="13.5" customHeight="1">
      <c r="A131" s="1910" t="e">
        <f t="array" ref="A131">A67</f>
      </c>
      <c r="B131" s="179" t="e">
        <f t="array" ref="B131">B67</f>
      </c>
      <c r="C131" s="3906" t="e">
        <f t="array" ref="C131">C67</f>
      </c>
      <c r="D131" s="3912" t="n">
        <f t="array" ref="D131">D67*D$70</f>
        <v>0</v>
      </c>
      <c r="E131" s="3912" t="n">
        <f t="array" ref="E131">E67*E$70</f>
        <v>0</v>
      </c>
      <c r="F131" s="3912" t="n">
        <f t="array" ref="F131">F67*F$70</f>
        <v>0</v>
      </c>
      <c r="G131" s="3912" t="n">
        <f t="array" ref="G131">G67*G$70</f>
        <v>0</v>
      </c>
      <c r="H131" s="3912" t="n">
        <f t="array" ref="H131">H67*H$70</f>
        <v>0</v>
      </c>
      <c r="I131" s="3912" t="n">
        <f t="array" ref="I131">I67*I$70</f>
        <v>0</v>
      </c>
      <c r="J131" s="3912" t="n">
        <f t="array" ref="J131">J67*J$70</f>
        <v>0</v>
      </c>
      <c r="K131" s="3912" t="n">
        <f t="array" ref="K131">K67*K$70</f>
        <v>0</v>
      </c>
      <c r="L131" s="3911" t="n">
        <f t="array" ref="L131">SUBTOTAL(9,D131:K131)</f>
        <v>0</v>
      </c>
      <c r="M131" s="26" t="n"/>
      <c r="N131" s="26" t="n"/>
      <c r="O131" s="26" t="n">
        <f t="array" ref="O131">'Construction Interest'!B70</f>
        <v>0</v>
      </c>
      <c r="P131" s="1922" t="n">
        <f t="array" ref="P131">'Construction Interest'!F70/'Construction Interest'!$C$5*(1-$P$77)</f>
        <v>0</v>
      </c>
      <c r="Q131" s="26" t="n"/>
      <c r="R131" s="26" t="n"/>
      <c r="S131" s="26" t="n"/>
      <c r="T131" s="26" t="n"/>
      <c r="U131" s="26" t="n"/>
      <c r="V131" s="26" t="n"/>
      <c r="W131" s="26" t="n"/>
      <c r="X131" s="26" t="n"/>
      <c r="Y131" s="26" t="n"/>
      <c r="Z131" s="26" t="n"/>
      <c r="AA131" s="26" t="n"/>
      <c r="AB131" s="26" t="n"/>
      <c r="AC131" s="26" t="n"/>
      <c r="AD131" s="26" t="n"/>
      <c r="AE131" s="26" t="n"/>
      <c r="AF131" s="26" t="n"/>
      <c r="AG131" s="26" t="n"/>
      <c r="AH131" s="26" t="n"/>
      <c r="AI131" s="26" t="n"/>
      <c r="AJ131" s="26" t="n"/>
      <c r="AK131" s="26" t="n"/>
      <c r="AL131" s="26" t="n"/>
      <c r="AM131" s="26" t="n"/>
      <c r="AN131" s="26" t="n"/>
      <c r="AO131" s="26" t="n"/>
      <c r="AP131" s="26" t="n"/>
      <c r="AQ131" s="26" t="n"/>
      <c r="AR131" s="26" t="n"/>
      <c r="AS131" s="26" t="n"/>
      <c r="AT131" s="26" t="n"/>
      <c r="AU131" s="26" t="n"/>
      <c r="AV131" s="26" t="n"/>
      <c r="AW131" s="26" t="n"/>
      <c r="AX131" s="26" t="n"/>
      <c r="AY131" s="27" t="n"/>
    </row>
    <row r="132" s="3154" customFormat="1" ht="13.5" customHeight="1">
      <c r="A132" s="1926" t="inlineStr">
        <is>
          <t xml:space="preserve">TOTAL</t>
        </is>
      </c>
      <c r="B132" s="179" t="n"/>
      <c r="C132" s="1927" t="n"/>
      <c r="D132" s="3912" t="n">
        <f t="array" ref="D132">SUM(D71:D130)</f>
        <v>1240400</v>
      </c>
      <c r="E132" s="3912" t="n">
        <f t="array" ref="E132">SUM(E71:E130)</f>
        <v>120000</v>
      </c>
      <c r="F132" s="3912" t="n">
        <f t="array" ref="F132">SUM(F71:F130)</f>
        <v>183425</v>
      </c>
      <c r="G132" s="3912" t="n">
        <f t="array" ref="G132">SUM(G71:G130)</f>
        <v>195000</v>
      </c>
      <c r="H132" s="3912" t="n">
        <f t="array" ref="H132">SUM(H71:H130)</f>
        <v>538000</v>
      </c>
      <c r="I132" s="3912" t="n">
        <f t="array" ref="I132">SUM(I71:I130)</f>
        <v>4410870.4519178085</v>
      </c>
      <c r="J132" s="3912" t="n">
        <f t="array" ref="J132">SUM(J71:J130)</f>
        <v>287635.76544937503</v>
      </c>
      <c r="K132" s="3912" t="n">
        <f t="array" ref="K132">SUM(K71:K130)</f>
        <v>243184.53203953768</v>
      </c>
      <c r="L132" s="3911" t="n">
        <f t="array" ref="L132">SUM(L71:L130)</f>
        <v>7218515.74940672</v>
      </c>
      <c r="M132" s="26" t="n"/>
      <c r="N132" s="26" t="n"/>
      <c r="O132" s="26" t="n">
        <f t="array" ref="O132">'Construction Interest'!B71</f>
        <v>0</v>
      </c>
      <c r="P132" s="1922" t="n">
        <f t="array" ref="P132">'Construction Interest'!F71/'Construction Interest'!$C$5*(1-$P$77)</f>
        <v>0</v>
      </c>
      <c r="Q132" s="26" t="n"/>
      <c r="R132" s="26" t="n"/>
      <c r="S132" s="26" t="n"/>
      <c r="T132" s="26" t="n"/>
      <c r="U132" s="26" t="n"/>
      <c r="V132" s="26" t="n"/>
      <c r="W132" s="26" t="n"/>
      <c r="X132" s="26" t="n"/>
      <c r="Y132" s="26" t="n"/>
      <c r="Z132" s="26" t="n"/>
      <c r="AA132" s="26" t="n"/>
      <c r="AB132" s="26" t="n"/>
      <c r="AC132" s="26" t="n"/>
      <c r="AD132" s="26" t="n"/>
      <c r="AE132" s="26" t="n"/>
      <c r="AF132" s="26" t="n"/>
      <c r="AG132" s="26" t="n"/>
      <c r="AH132" s="26" t="n"/>
      <c r="AI132" s="26" t="n"/>
      <c r="AJ132" s="26" t="n"/>
      <c r="AK132" s="26" t="n"/>
      <c r="AL132" s="26" t="n"/>
      <c r="AM132" s="26" t="n"/>
      <c r="AN132" s="26" t="n"/>
      <c r="AO132" s="26" t="n"/>
      <c r="AP132" s="26" t="n"/>
      <c r="AQ132" s="26" t="n"/>
      <c r="AR132" s="26" t="n"/>
      <c r="AS132" s="26" t="n"/>
      <c r="AT132" s="26" t="n"/>
      <c r="AU132" s="26" t="n"/>
      <c r="AV132" s="26" t="n"/>
      <c r="AW132" s="26" t="n"/>
      <c r="AX132" s="26" t="n"/>
      <c r="AY132" s="27" t="n"/>
    </row>
    <row r="133" s="3154" customFormat="1" ht="13.5" customHeight="1">
      <c r="A133" s="1928" t="n"/>
      <c r="B133" s="189" t="n"/>
      <c r="C133" s="189" t="n"/>
      <c r="D133" s="189" t="n"/>
      <c r="E133" s="189" t="n"/>
      <c r="F133" s="189" t="n"/>
      <c r="G133" s="189" t="n"/>
      <c r="H133" s="189" t="n"/>
      <c r="I133" s="189" t="n"/>
      <c r="J133" s="189" t="n"/>
      <c r="K133" s="189" t="n"/>
      <c r="L133" s="189" t="n"/>
      <c r="M133" s="26" t="n"/>
      <c r="N133" s="26" t="n"/>
      <c r="O133" s="26" t="n">
        <f t="array" ref="O133">'Construction Interest'!B72</f>
        <v>0</v>
      </c>
      <c r="P133" s="1922" t="n">
        <f t="array" ref="P133">'Construction Interest'!F72/'Construction Interest'!$C$5*(1-$P$77)</f>
        <v>0</v>
      </c>
      <c r="Q133" s="26" t="n"/>
      <c r="R133" s="26" t="n"/>
      <c r="S133" s="26" t="n"/>
      <c r="T133" s="26" t="n"/>
      <c r="U133" s="26" t="n"/>
      <c r="V133" s="26" t="n"/>
      <c r="W133" s="26" t="n"/>
      <c r="X133" s="26" t="n"/>
      <c r="Y133" s="26" t="n"/>
      <c r="Z133" s="26" t="n"/>
      <c r="AA133" s="26" t="n"/>
      <c r="AB133" s="26" t="n"/>
      <c r="AC133" s="26" t="n"/>
      <c r="AD133" s="26" t="n"/>
      <c r="AE133" s="26" t="n"/>
      <c r="AF133" s="26" t="n"/>
      <c r="AG133" s="26" t="n"/>
      <c r="AH133" s="26" t="n"/>
      <c r="AI133" s="26" t="n"/>
      <c r="AJ133" s="26" t="n"/>
      <c r="AK133" s="26" t="n"/>
      <c r="AL133" s="26" t="n"/>
      <c r="AM133" s="26" t="n"/>
      <c r="AN133" s="26" t="n"/>
      <c r="AO133" s="26" t="n"/>
      <c r="AP133" s="26" t="n"/>
      <c r="AQ133" s="26" t="n"/>
      <c r="AR133" s="26" t="n"/>
      <c r="AS133" s="26" t="n"/>
      <c r="AT133" s="26" t="n"/>
      <c r="AU133" s="26" t="n"/>
      <c r="AV133" s="26" t="n"/>
      <c r="AW133" s="26" t="n"/>
      <c r="AX133" s="26" t="n"/>
      <c r="AY133" s="27" t="n"/>
    </row>
    <row r="134" s="3154" customFormat="1" ht="13.5" customHeight="1">
      <c r="A134" s="627" t="n"/>
      <c r="B134" s="26" t="n"/>
      <c r="C134" s="26" t="n"/>
      <c r="D134" s="26" t="n"/>
      <c r="E134" s="26" t="n"/>
      <c r="F134" s="26" t="n"/>
      <c r="G134" s="26" t="n"/>
      <c r="H134" s="26" t="n"/>
      <c r="I134" s="26" t="n"/>
      <c r="J134" s="26" t="n"/>
      <c r="K134" s="26" t="n"/>
      <c r="L134" s="26" t="n"/>
      <c r="M134" s="26" t="n"/>
      <c r="N134" s="26" t="n"/>
      <c r="O134" s="26" t="n">
        <f t="array" ref="O134">'Construction Interest'!B73</f>
        <v>0</v>
      </c>
      <c r="P134" s="1922" t="n">
        <f t="array" ref="P134">'Construction Interest'!F73/'Construction Interest'!$C$5*(1-$P$77)</f>
        <v>0</v>
      </c>
      <c r="Q134" s="26" t="n"/>
      <c r="R134" s="26" t="n"/>
      <c r="S134" s="26" t="n"/>
      <c r="T134" s="26" t="n"/>
      <c r="U134" s="26" t="n"/>
      <c r="V134" s="26" t="n"/>
      <c r="W134" s="26" t="n"/>
      <c r="X134" s="26" t="n"/>
      <c r="Y134" s="26" t="n"/>
      <c r="Z134" s="26" t="n"/>
      <c r="AA134" s="26" t="n"/>
      <c r="AB134" s="26" t="n"/>
      <c r="AC134" s="26" t="n"/>
      <c r="AD134" s="26" t="n"/>
      <c r="AE134" s="26" t="n"/>
      <c r="AF134" s="26" t="n"/>
      <c r="AG134" s="26" t="n"/>
      <c r="AH134" s="26" t="n"/>
      <c r="AI134" s="26" t="n"/>
      <c r="AJ134" s="26" t="n"/>
      <c r="AK134" s="26" t="n"/>
      <c r="AL134" s="26" t="n"/>
      <c r="AM134" s="26" t="n"/>
      <c r="AN134" s="26" t="n"/>
      <c r="AO134" s="26" t="n"/>
      <c r="AP134" s="26" t="n"/>
      <c r="AQ134" s="26" t="n"/>
      <c r="AR134" s="26" t="n"/>
      <c r="AS134" s="26" t="n"/>
      <c r="AT134" s="26" t="n"/>
      <c r="AU134" s="26" t="n"/>
      <c r="AV134" s="26" t="n"/>
      <c r="AW134" s="26" t="n"/>
      <c r="AX134" s="26" t="n"/>
      <c r="AY134" s="27" t="n"/>
    </row>
    <row r="135" s="3154" customFormat="1" ht="13.5" customHeight="1">
      <c r="A135" s="627" t="n"/>
      <c r="B135" s="26" t="n"/>
      <c r="C135" s="26" t="n"/>
      <c r="D135" s="26" t="n"/>
      <c r="E135" s="26" t="n"/>
      <c r="F135" s="26" t="n"/>
      <c r="G135" s="26" t="n"/>
      <c r="H135" s="26" t="n"/>
      <c r="I135" s="26" t="n"/>
      <c r="J135" s="26" t="n"/>
      <c r="K135" s="26" t="n"/>
      <c r="L135" s="26" t="n"/>
      <c r="M135" s="26" t="n"/>
      <c r="N135" s="26" t="n"/>
      <c r="O135" s="26" t="n">
        <f t="array" ref="O135">'Construction Interest'!B74</f>
        <v>0</v>
      </c>
      <c r="P135" s="1922" t="n">
        <f t="array" ref="P135">'Construction Interest'!F74/'Construction Interest'!$C$5*(1-$P$77)</f>
        <v>0</v>
      </c>
      <c r="Q135" s="26" t="n"/>
      <c r="R135" s="26" t="n"/>
      <c r="S135" s="26" t="n"/>
      <c r="T135" s="26" t="n"/>
      <c r="U135" s="26" t="n"/>
      <c r="V135" s="26" t="n"/>
      <c r="W135" s="26" t="n"/>
      <c r="X135" s="26" t="n"/>
      <c r="Y135" s="26" t="n"/>
      <c r="Z135" s="26" t="n"/>
      <c r="AA135" s="26" t="n"/>
      <c r="AB135" s="26" t="n"/>
      <c r="AC135" s="26" t="n"/>
      <c r="AD135" s="26" t="n"/>
      <c r="AE135" s="26" t="n"/>
      <c r="AF135" s="26" t="n"/>
      <c r="AG135" s="26" t="n"/>
      <c r="AH135" s="26" t="n"/>
      <c r="AI135" s="26" t="n"/>
      <c r="AJ135" s="26" t="n"/>
      <c r="AK135" s="26" t="n"/>
      <c r="AL135" s="26" t="n"/>
      <c r="AM135" s="26" t="n"/>
      <c r="AN135" s="26" t="n"/>
      <c r="AO135" s="26" t="n"/>
      <c r="AP135" s="26" t="n"/>
      <c r="AQ135" s="26" t="n"/>
      <c r="AR135" s="26" t="n"/>
      <c r="AS135" s="26" t="n"/>
      <c r="AT135" s="26" t="n"/>
      <c r="AU135" s="26" t="n"/>
      <c r="AV135" s="26" t="n"/>
      <c r="AW135" s="26" t="n"/>
      <c r="AX135" s="26" t="n"/>
      <c r="AY135" s="27" t="n"/>
    </row>
    <row r="136" s="3154" customFormat="1" ht="13.5" customHeight="1">
      <c r="A136" s="627" t="n"/>
      <c r="B136" s="26" t="n"/>
      <c r="C136" s="26" t="n"/>
      <c r="D136" s="26" t="n"/>
      <c r="E136" s="26" t="n"/>
      <c r="F136" s="26" t="n"/>
      <c r="G136" s="26" t="n"/>
      <c r="H136" s="26" t="n"/>
      <c r="I136" s="26" t="n"/>
      <c r="J136" s="26" t="n"/>
      <c r="K136" s="26" t="n"/>
      <c r="L136" s="26" t="n"/>
      <c r="M136" s="26" t="n"/>
      <c r="N136" s="26" t="n"/>
      <c r="O136" s="26" t="n">
        <f t="array" ref="O136">'Construction Interest'!B75</f>
        <v>0</v>
      </c>
      <c r="P136" s="1922" t="n">
        <f t="array" ref="P136">'Construction Interest'!F75/'Construction Interest'!$C$5*(1-$P$77)</f>
        <v>0</v>
      </c>
      <c r="Q136" s="26" t="n"/>
      <c r="R136" s="26" t="n"/>
      <c r="S136" s="26" t="n"/>
      <c r="T136" s="26" t="n"/>
      <c r="U136" s="26" t="n"/>
      <c r="V136" s="26" t="n"/>
      <c r="W136" s="26" t="n"/>
      <c r="X136" s="26" t="n"/>
      <c r="Y136" s="26" t="n"/>
      <c r="Z136" s="26" t="n"/>
      <c r="AA136" s="26" t="n"/>
      <c r="AB136" s="26" t="n"/>
      <c r="AC136" s="26" t="n"/>
      <c r="AD136" s="26" t="n"/>
      <c r="AE136" s="26" t="n"/>
      <c r="AF136" s="26" t="n"/>
      <c r="AG136" s="26" t="n"/>
      <c r="AH136" s="26" t="n"/>
      <c r="AI136" s="26" t="n"/>
      <c r="AJ136" s="26" t="n"/>
      <c r="AK136" s="26" t="n"/>
      <c r="AL136" s="26" t="n"/>
      <c r="AM136" s="26" t="n"/>
      <c r="AN136" s="26" t="n"/>
      <c r="AO136" s="26" t="n"/>
      <c r="AP136" s="26" t="n"/>
      <c r="AQ136" s="26" t="n"/>
      <c r="AR136" s="26" t="n"/>
      <c r="AS136" s="26" t="n"/>
      <c r="AT136" s="26" t="n"/>
      <c r="AU136" s="26" t="n"/>
      <c r="AV136" s="26" t="n"/>
      <c r="AW136" s="26" t="n"/>
      <c r="AX136" s="26" t="n"/>
      <c r="AY136" s="27" t="n"/>
    </row>
    <row r="137" s="3154" customFormat="1" ht="13.5" customHeight="1">
      <c r="A137" s="633" t="n"/>
      <c r="B137" s="634" t="n"/>
      <c r="C137" s="634" t="n"/>
      <c r="D137" s="634" t="n"/>
      <c r="E137" s="634" t="n"/>
      <c r="F137" s="634" t="n"/>
      <c r="G137" s="634" t="n"/>
      <c r="H137" s="634" t="n"/>
      <c r="I137" s="634" t="n"/>
      <c r="J137" s="634" t="n"/>
      <c r="K137" s="634" t="n"/>
      <c r="L137" s="634" t="n"/>
      <c r="M137" s="634" t="n"/>
      <c r="N137" s="634" t="n"/>
      <c r="O137" s="634" t="n">
        <f t="array" ref="O137">'Construction Interest'!B76</f>
        <v>0</v>
      </c>
      <c r="P137" s="1929" t="n">
        <f t="array" ref="P137">'Construction Interest'!F76/'Construction Interest'!$C$5*(1-$P$77)</f>
        <v>0</v>
      </c>
      <c r="Q137" s="634" t="n"/>
      <c r="R137" s="634" t="n"/>
      <c r="S137" s="634" t="n"/>
      <c r="T137" s="634" t="n"/>
      <c r="U137" s="634" t="n"/>
      <c r="V137" s="634" t="n"/>
      <c r="W137" s="634" t="n"/>
      <c r="X137" s="634" t="n"/>
      <c r="Y137" s="634" t="n"/>
      <c r="Z137" s="634" t="n"/>
      <c r="AA137" s="634" t="n"/>
      <c r="AB137" s="634" t="n"/>
      <c r="AC137" s="634" t="n"/>
      <c r="AD137" s="634" t="n"/>
      <c r="AE137" s="634" t="n"/>
      <c r="AF137" s="634" t="n"/>
      <c r="AG137" s="634" t="n"/>
      <c r="AH137" s="634" t="n"/>
      <c r="AI137" s="634" t="n"/>
      <c r="AJ137" s="634" t="n"/>
      <c r="AK137" s="634" t="n"/>
      <c r="AL137" s="634" t="n"/>
      <c r="AM137" s="634" t="n"/>
      <c r="AN137" s="634" t="n"/>
      <c r="AO137" s="634" t="n"/>
      <c r="AP137" s="634" t="n"/>
      <c r="AQ137" s="634" t="n"/>
      <c r="AR137" s="634" t="n"/>
      <c r="AS137" s="634" t="n"/>
      <c r="AT137" s="634" t="n"/>
      <c r="AU137" s="634" t="n"/>
      <c r="AV137" s="634" t="n"/>
      <c r="AW137" s="634" t="n"/>
      <c r="AX137" s="634" t="n"/>
      <c r="AY137" s="635" t="n"/>
    </row>
  </sheetData>
  <conditionalFormatting sqref="D7:L67">
    <cfRule type="cellIs" dxfId="9" priority="1" stopIfTrue="1" operator="greaterThan">
      <formula>0</formula>
    </cfRule>
  </conditionalFormatting>
  <pageMargins left="0.7" right="0.7" top="0.75" bottom="0.75" header="0.3" footer="0.3"/>
</worksheet>
</file>

<file path=xl/worksheets/sheet13.xml><?xml version="1.0" encoding="utf-8"?>
<worksheet xmlns="http://schemas.openxmlformats.org/spreadsheetml/2006/main">
  <sheetViews>
    <sheetView showGridLines="0" workbookViewId="0"/>
  </sheetViews>
  <sheetFormatPr baseColWidth="8" defaultColWidth="8.333330154418945" defaultRowHeight="13.5"/>
  <cols>
    <col min="1" max="1" width="19.351600646972656" style="3136" customWidth="1"/>
    <col min="2" max="12" width="11.85159969329834" style="3136" customWidth="1"/>
    <col min="13" max="13" width="8.35155963897705" style="3136" customWidth="1"/>
    <col min="14" max="16384" width="8.35155963897705" style="3136" customWidth="1"/>
  </cols>
  <sheetData>
    <row r="1" s="3154" customFormat="1" ht="19.5" customHeight="1">
      <c r="A1" s="1890" t="inlineStr">
        <is>
          <t xml:space="preserve">ANNUAL CASH FLOW</t>
        </is>
      </c>
      <c r="B1" s="153" t="n"/>
      <c r="C1" s="153" t="n"/>
      <c r="D1" s="153" t="n"/>
      <c r="E1" s="153" t="n"/>
      <c r="F1" s="153" t="n"/>
      <c r="G1" s="153" t="n"/>
      <c r="H1" s="153" t="n"/>
      <c r="I1" s="153" t="n"/>
      <c r="J1" s="153" t="n"/>
      <c r="K1" s="153" t="n"/>
      <c r="L1" s="1931" t="inlineStr">
        <is>
          <t xml:space="preserve">MODEL REVISED: Mar 25, 2025</t>
        </is>
      </c>
      <c r="M1" s="657" t="n"/>
    </row>
    <row r="2" s="3154" customFormat="1" ht="17.25" customHeight="1">
      <c r="A2" s="157" t="str">
        <f t="array" ref="A2">'Assumptions'!$D$6&amp;" / "&amp;'Assumptions'!$D$7&amp;" / "&amp;'Assumptions'!$D$9</f>
        <v>INDEPENDENT (No Flag) / SLEEP SPACE — 100-KEY PREFAB (50 EP + 50 E) / Austin, TX</v>
      </c>
      <c r="B2" s="158" t="n"/>
      <c r="C2" s="158" t="n"/>
      <c r="D2" s="158" t="n"/>
      <c r="E2" s="158" t="n"/>
      <c r="F2" s="158" t="n"/>
      <c r="G2" s="158" t="n"/>
      <c r="H2" s="158" t="n"/>
      <c r="I2" s="158" t="n"/>
      <c r="J2" s="158" t="n"/>
      <c r="K2" s="158" t="n"/>
      <c r="L2" s="158" t="n"/>
      <c r="M2" s="39" t="n"/>
    </row>
    <row r="3" s="3154" customFormat="1" ht="13.5" customHeight="1">
      <c r="A3" s="580" t="str">
        <f t="array" ref="A3">'Assumptions'!A3</f>
        <v>Version Notes: Added 1st round of GPM Costs from Pinkerton and Laws. We anticipate further cost savings. </v>
      </c>
      <c r="B3" s="26" t="n"/>
      <c r="C3" s="26" t="n"/>
      <c r="D3" s="26" t="n"/>
      <c r="E3" s="26" t="n"/>
      <c r="F3" s="26" t="n"/>
      <c r="G3" s="26" t="n"/>
      <c r="H3" s="26" t="n"/>
      <c r="I3" s="26" t="n"/>
      <c r="J3" s="26" t="n"/>
      <c r="K3" s="26" t="n"/>
      <c r="L3" s="26" t="n"/>
      <c r="M3" s="39" t="n"/>
    </row>
    <row r="4" s="3154" customFormat="1" ht="17.25" customHeight="1">
      <c r="A4" s="1932" t="n"/>
      <c r="B4" s="163" t="n"/>
      <c r="C4" s="163" t="n"/>
      <c r="D4" s="163" t="n"/>
      <c r="E4" s="163" t="n"/>
      <c r="F4" s="163" t="n"/>
      <c r="G4" s="163" t="n"/>
      <c r="H4" s="163" t="n"/>
      <c r="I4" s="163" t="n"/>
      <c r="J4" s="163" t="n"/>
      <c r="K4" s="163" t="n"/>
      <c r="L4" s="163" t="n"/>
      <c r="M4" s="39" t="n"/>
    </row>
    <row r="5" s="3154" customFormat="1" ht="13.5" customHeight="1">
      <c r="A5" s="1933" t="n"/>
      <c r="B5" s="3913" t="n">
        <v>0</v>
      </c>
      <c r="C5" s="3913" t="n">
        <v>1</v>
      </c>
      <c r="D5" s="3913" t="n">
        <v>2</v>
      </c>
      <c r="E5" s="3913" t="n">
        <v>3</v>
      </c>
      <c r="F5" s="3913" t="n">
        <v>4</v>
      </c>
      <c r="G5" s="3913" t="n">
        <v>5</v>
      </c>
      <c r="H5" s="3913" t="n">
        <v>6</v>
      </c>
      <c r="I5" s="3913" t="n">
        <v>7</v>
      </c>
      <c r="J5" s="3913" t="n">
        <v>8</v>
      </c>
      <c r="K5" s="3913" t="n">
        <v>9</v>
      </c>
      <c r="L5" s="3913" t="n">
        <v>10</v>
      </c>
      <c r="M5" s="39" t="n"/>
    </row>
    <row r="6" s="3154" customFormat="1" ht="13.5" customHeight="1">
      <c r="A6" s="1935" t="n"/>
      <c r="B6" s="1936" t="n">
        <f t="array" ref="B6">'Project Summary'!C24</f>
        <v>2026</v>
      </c>
      <c r="C6" s="1936" t="n">
        <f t="array" ref="C6">'Project Summary'!D24</f>
        <v>2027</v>
      </c>
      <c r="D6" s="1936" t="n">
        <f t="array" ref="D6">'Project Summary'!E24</f>
        <v>2028</v>
      </c>
      <c r="E6" s="1936" t="n">
        <f t="array" ref="E6">'Project Summary'!F24</f>
        <v>2029</v>
      </c>
      <c r="F6" s="1936" t="n">
        <f t="array" ref="F6">'Project Summary'!G24</f>
        <v>2030</v>
      </c>
      <c r="G6" s="1936" t="n">
        <f t="array" ref="G6">'Project Summary'!H24</f>
        <v>2031</v>
      </c>
      <c r="H6" s="1936" t="n">
        <f t="array" ref="H6">'Project Summary'!I24</f>
        <v>2032</v>
      </c>
      <c r="I6" s="1936" t="n">
        <f t="array" ref="I6">'Project Summary'!J24</f>
        <v>2033</v>
      </c>
      <c r="J6" s="1936" t="n">
        <f t="array" ref="J6">'Project Summary'!K24</f>
        <v>2034</v>
      </c>
      <c r="K6" s="1936" t="n">
        <f t="array" ref="K6">'Project Summary'!L24</f>
        <v>2035</v>
      </c>
      <c r="L6" s="1936" t="n">
        <f t="array" ref="L6">'Project Summary'!M24</f>
        <v>2036</v>
      </c>
      <c r="M6" s="39" t="n"/>
    </row>
    <row r="7" s="3154" customFormat="1" ht="8.25" customHeight="1">
      <c r="A7" s="443" t="n"/>
      <c r="B7" s="158" t="n"/>
      <c r="C7" s="158" t="n"/>
      <c r="D7" s="158" t="n"/>
      <c r="E7" s="158" t="n"/>
      <c r="F7" s="158" t="n"/>
      <c r="G7" s="158" t="n"/>
      <c r="H7" s="158" t="n"/>
      <c r="I7" s="158" t="n"/>
      <c r="J7" s="158" t="n"/>
      <c r="K7" s="158" t="n"/>
      <c r="L7" s="158" t="n"/>
      <c r="M7" s="39" t="n"/>
    </row>
    <row r="8" s="3154" customFormat="1" ht="13.5" customHeight="1">
      <c r="A8" s="161" t="inlineStr">
        <is>
          <t xml:space="preserve">% OF YEAR OPERATING</t>
        </is>
      </c>
      <c r="B8" s="1922" t="n">
        <f t="array" ref="B8">IF(ISERROR(HLOOKUP(B$6,'S&amp;U-Timeline'!$AB$8:$AL$12,5,0)),0,HLOOKUP(B$6,'S&amp;U-Timeline'!$AB$8:$AL$12,5,0))</f>
        <v>0</v>
      </c>
      <c r="C8" s="1922" t="n">
        <f t="array" ref="C8">IF(ISERROR(HLOOKUP(C$6,'S&amp;U-Timeline'!$AB$8:$AL$12,5,0)),0,HLOOKUP(C$6,'S&amp;U-Timeline'!$AB$8:$AL$12,5,0))</f>
        <v>0</v>
      </c>
      <c r="D8" s="1922" t="n">
        <f t="array" ref="D8">IF(ISERROR(HLOOKUP(D$6,'S&amp;U-Timeline'!$AB$8:$AL$12,5,0)),0,HLOOKUP(D$6,'S&amp;U-Timeline'!$AB$8:$AL$12,5,0))</f>
        <v>0</v>
      </c>
      <c r="E8" s="1922" t="n">
        <f t="array" ref="E8">IF(ISERROR(HLOOKUP(E$6,'S&amp;U-Timeline'!$AB$8:$AL$12,5,0)),0,HLOOKUP(E$6,'S&amp;U-Timeline'!$AB$8:$AL$12,5,0))</f>
        <v>0</v>
      </c>
      <c r="F8" s="1922" t="n">
        <f t="array" ref="F8">IF(ISERROR(HLOOKUP(F$6,'S&amp;U-Timeline'!$AB$8:$AL$12,5,0)),0,HLOOKUP(F$6,'S&amp;U-Timeline'!$AB$8:$AL$12,5,0))</f>
        <v>0</v>
      </c>
      <c r="G8" s="1922" t="n">
        <f t="array" ref="G8">IF(ISERROR(HLOOKUP(G$6,'S&amp;U-Timeline'!$AB$8:$AL$12,5,0)),0,HLOOKUP(G$6,'S&amp;U-Timeline'!$AB$8:$AL$12,5,0))</f>
        <v>0</v>
      </c>
      <c r="H8" s="1922" t="n">
        <f t="array" ref="H8">IF(ISERROR(HLOOKUP(H$6,'S&amp;U-Timeline'!$AB$8:$AL$12,5,0)),0,HLOOKUP(H$6,'S&amp;U-Timeline'!$AB$8:$AL$12,5,0))</f>
        <v>0</v>
      </c>
      <c r="I8" s="1922" t="n">
        <f t="array" ref="I8">IF(ISERROR(HLOOKUP(I$6,'S&amp;U-Timeline'!$AB$8:$AL$12,5,0)),0,HLOOKUP(I$6,'S&amp;U-Timeline'!$AB$8:$AL$12,5,0))</f>
        <v>0</v>
      </c>
      <c r="J8" s="1922" t="n">
        <f t="array" ref="J8">IF(ISERROR(HLOOKUP(J$6,'S&amp;U-Timeline'!$AB$8:$AL$12,5,0)),0,HLOOKUP(J$6,'S&amp;U-Timeline'!$AB$8:$AL$12,5,0))</f>
        <v>0</v>
      </c>
      <c r="K8" s="1922" t="n">
        <f t="array" ref="K8">IF(ISERROR(HLOOKUP(K$6,'S&amp;U-Timeline'!$AB$8:$AL$12,5,0)),0,HLOOKUP(K$6,'S&amp;U-Timeline'!$AB$8:$AL$12,5,0))</f>
        <v>0</v>
      </c>
      <c r="L8" s="1922" t="n">
        <f t="array" ref="L8">IF(ISERROR(HLOOKUP(L$6,'S&amp;U-Timeline'!$AB$8:$AL$12,5,0)),0,HLOOKUP(L$6,'S&amp;U-Timeline'!$AB$8:$AL$12,5,0))</f>
        <v>0</v>
      </c>
      <c r="M8" s="39" t="n"/>
    </row>
    <row r="9" s="3154" customFormat="1" ht="8.25" customHeight="1">
      <c r="A9" s="162" t="n"/>
      <c r="B9" s="163" t="n"/>
      <c r="C9" s="163" t="n"/>
      <c r="D9" s="163" t="n"/>
      <c r="E9" s="163" t="n"/>
      <c r="F9" s="163" t="n"/>
      <c r="G9" s="163" t="n"/>
      <c r="H9" s="163" t="n"/>
      <c r="I9" s="163" t="n"/>
      <c r="J9" s="163" t="n"/>
      <c r="K9" s="163" t="n"/>
      <c r="L9" s="163" t="n"/>
      <c r="M9" s="39" t="n"/>
    </row>
    <row r="10" s="3154" customFormat="1" ht="13.5" customHeight="1">
      <c r="A10" s="1937" t="inlineStr">
        <is>
          <t xml:space="preserve">Equity &amp; Financing Cash Flows</t>
        </is>
      </c>
      <c r="B10" s="3914" t="n"/>
      <c r="C10" s="3914" t="n"/>
      <c r="D10" s="3914" t="n"/>
      <c r="E10" s="3914" t="n"/>
      <c r="F10" s="3914" t="n"/>
      <c r="G10" s="3914" t="n"/>
      <c r="H10" s="3914" t="n"/>
      <c r="I10" s="3914" t="n"/>
      <c r="J10" s="3914" t="n"/>
      <c r="K10" s="3914" t="n"/>
      <c r="L10" s="3914" t="n"/>
      <c r="M10" s="39" t="n"/>
    </row>
    <row r="11" s="3154" customFormat="1" ht="13.5" customHeight="1">
      <c r="A11" s="1939" t="inlineStr">
        <is>
          <t xml:space="preserve">Total Project Costs</t>
        </is>
      </c>
      <c r="B11" s="3226" t="n">
        <f t="array" ref="B11">'Cost Detail'!C177</f>
        <v>7218515.749406721</v>
      </c>
      <c r="C11" s="3226" t="n"/>
      <c r="D11" s="3226" t="n"/>
      <c r="E11" s="3226" t="n"/>
      <c r="F11" s="3226" t="n"/>
      <c r="G11" s="3226" t="n"/>
      <c r="H11" s="3226" t="n"/>
      <c r="I11" s="3226" t="n"/>
      <c r="J11" s="3226" t="n"/>
      <c r="K11" s="3226" t="n"/>
      <c r="L11" s="3226" t="n"/>
      <c r="M11" s="39" t="n"/>
    </row>
    <row r="12" s="3154" customFormat="1" ht="13.5" customHeight="1">
      <c r="A12" s="1940" t="inlineStr">
        <is>
          <t xml:space="preserve">Project Equity</t>
        </is>
      </c>
      <c r="B12" s="3322" t="n">
        <f t="array" ref="B12">-SUMIF('Construction Interest'!$M$10:$M$69,B$6,'Construction Interest'!$D$10:$D$69)</f>
        <v>0</v>
      </c>
      <c r="C12" s="3322" t="n">
        <f t="array" ref="C12">-SUMIF('Construction Interest'!$M$10:$M$69,C$6,'Construction Interest'!$D$10:$D$69)</f>
        <v>0</v>
      </c>
      <c r="D12" s="3322" t="n">
        <f t="array" ref="D12">-SUMIF('Construction Interest'!$M$10:$M$69,D$6,'Construction Interest'!$D$10:$D$69)</f>
        <v>0</v>
      </c>
      <c r="E12" s="3322" t="n">
        <f t="array" ref="E12">-SUMIF('Construction Interest'!$M$10:$M$69,E$6,'Construction Interest'!$D$10:$D$69)</f>
        <v>0</v>
      </c>
      <c r="F12" s="3322" t="n"/>
      <c r="G12" s="3322" t="n"/>
      <c r="H12" s="3322" t="n"/>
      <c r="I12" s="3322" t="n"/>
      <c r="J12" s="3322" t="n"/>
      <c r="K12" s="3322" t="n"/>
      <c r="L12" s="3322" t="n"/>
      <c r="M12" s="39" t="n"/>
    </row>
    <row r="13" s="3154" customFormat="1" ht="13.5" customHeight="1">
      <c r="A13" s="1940" t="inlineStr">
        <is>
          <t xml:space="preserve">Construction Loan</t>
        </is>
      </c>
      <c r="B13" s="3322" t="e">
        <f t="array" ref="B13">IF(B6=YEAR('Assumptions'!$D$20),'Assumptions'!$D$101,0)+IF(B6='Assumptions'!$E$112,-'Assumptions'!$D$101,0)</f>
      </c>
      <c r="C13" s="3322" t="e">
        <f t="array" ref="C13">IF(C6=YEAR('Assumptions'!$D$20),'Assumptions'!$D$101,0)+IF(C6='Assumptions'!$E$112,-'Assumptions'!$D$101,0)</f>
      </c>
      <c r="D13" s="3322" t="e">
        <f t="array" ref="D13">IF(D6=YEAR('Assumptions'!$D$20),'Assumptions'!$D$101,0)+IF(D6='Assumptions'!$E$112,-'Assumptions'!$D$101,0)</f>
      </c>
      <c r="E13" s="3322" t="e">
        <f t="array" ref="E13">IF(E6=YEAR('Assumptions'!$D$20),'Assumptions'!$D$101,0)+IF(E6='Assumptions'!$E$112,-'Assumptions'!$D$101,0)</f>
      </c>
      <c r="F13" s="3322" t="e">
        <f t="array" ref="F13">IF(F6=YEAR('Assumptions'!$D$20),'Assumptions'!$D$101,0)+IF(F6='Assumptions'!$E$112,-'Assumptions'!$D$101,0)</f>
      </c>
      <c r="G13" s="3322" t="e">
        <f t="array" ref="G13">IF(G6=YEAR('Assumptions'!$D$20),'Assumptions'!$D$101,0)+IF(G6='Assumptions'!$E$112,-'Assumptions'!$D$101,0)</f>
      </c>
      <c r="H13" s="3322" t="e">
        <f t="array" ref="H13">IF(H6=YEAR('Assumptions'!$D$20),'Assumptions'!$D$101,0)+IF(H6='Assumptions'!$E$112,-'Assumptions'!$D$101,0)</f>
      </c>
      <c r="I13" s="3322" t="e">
        <f t="array" ref="I13">IF(I6=YEAR('Assumptions'!$D$20),'Assumptions'!$D$101,0)+IF(I6='Assumptions'!$E$112,-'Assumptions'!$D$101,0)</f>
      </c>
      <c r="J13" s="3322" t="e">
        <f t="array" ref="J13">IF(J6=YEAR('Assumptions'!$D$20),'Assumptions'!$D$101,0)+IF(J6='Assumptions'!$E$112,-'Assumptions'!$D$101,0)</f>
      </c>
      <c r="K13" s="3322" t="e">
        <f t="array" ref="K13">IF(K6=YEAR('Assumptions'!$D$20),'Assumptions'!$D$101,0)+IF(K6='Assumptions'!$E$112,-'Assumptions'!$D$101,0)</f>
      </c>
      <c r="L13" s="3322" t="e">
        <f t="array" ref="L13">IF(L6=YEAR('Assumptions'!$D$20),'Assumptions'!$D$101,0)+IF(L6='Assumptions'!$E$112,-'Assumptions'!$D$101,0)</f>
      </c>
      <c r="M13" s="39" t="n"/>
    </row>
    <row r="14" s="3154" customFormat="1" ht="13.5" customHeight="1">
      <c r="A14" s="1941" t="inlineStr">
        <is>
          <t xml:space="preserve">Permanent Loan</t>
        </is>
      </c>
      <c r="B14" s="3915" t="n">
        <f t="array" ref="B14">IF(B5='Assumptions'!$D$112,'Assumptions'!$D$124,0)</f>
        <v>0</v>
      </c>
      <c r="C14" s="3915" t="n">
        <f t="array" ref="C14">IF(C5='Assumptions'!$D$112,'Assumptions'!$D$124,0)</f>
        <v>0</v>
      </c>
      <c r="D14" s="3915" t="n">
        <f t="array" ref="D14">IF(D5='Assumptions'!$D$112,'Assumptions'!$D$124,0)</f>
        <v>0</v>
      </c>
      <c r="E14" s="3915" t="n">
        <f t="array" ref="E14">IF(E5='Assumptions'!$D$112,'Assumptions'!$D$124,0)</f>
        <v>5003304.429259213</v>
      </c>
      <c r="F14" s="3915" t="n">
        <f t="array" ref="F14">IF(F5='Assumptions'!$D$112,'Assumptions'!$D$124,0)</f>
        <v>0</v>
      </c>
      <c r="G14" s="3915" t="n">
        <f t="array" ref="G14">IF(G5='Assumptions'!$D$112,'Assumptions'!$D$124,0)</f>
        <v>0</v>
      </c>
      <c r="H14" s="3915" t="n">
        <f t="array" ref="H14">IF(H5='Assumptions'!$D$112,'Assumptions'!$D$124,0)</f>
        <v>0</v>
      </c>
      <c r="I14" s="3915" t="n">
        <f t="array" ref="I14">IF(I5='Assumptions'!$D$112,'Assumptions'!$D$124,0)</f>
        <v>0</v>
      </c>
      <c r="J14" s="3915" t="n">
        <f t="array" ref="J14">IF(J5='Assumptions'!$D$112,'Assumptions'!$D$124,0)</f>
        <v>0</v>
      </c>
      <c r="K14" s="3915" t="n">
        <f t="array" ref="K14">IF(K5='Assumptions'!$D$112,'Assumptions'!$D$124,0)</f>
        <v>0</v>
      </c>
      <c r="L14" s="3915" t="n">
        <f t="array" ref="L14">IF(L5='Assumptions'!$D$112,'Assumptions'!$D$124,0)</f>
        <v>0</v>
      </c>
      <c r="M14" s="39" t="n"/>
    </row>
    <row r="15" s="3154" customFormat="1" ht="13.5" customHeight="1">
      <c r="A15" s="200" t="n"/>
      <c r="B15" s="3916" t="n"/>
      <c r="C15" s="3916" t="n"/>
      <c r="D15" s="3916" t="n"/>
      <c r="E15" s="3916" t="n"/>
      <c r="F15" s="3916" t="n"/>
      <c r="G15" s="3916" t="n"/>
      <c r="H15" s="3916" t="n"/>
      <c r="I15" s="3916" t="n"/>
      <c r="J15" s="3916" t="n"/>
      <c r="K15" s="3916" t="n"/>
      <c r="L15" s="3916" t="n"/>
      <c r="M15" s="39" t="n"/>
    </row>
    <row r="16" s="3154" customFormat="1" ht="13.5" customHeight="1">
      <c r="A16" s="1937" t="inlineStr">
        <is>
          <t xml:space="preserve">CF from Operations</t>
        </is>
      </c>
      <c r="B16" s="3914" t="n"/>
      <c r="C16" s="3914" t="n"/>
      <c r="D16" s="3914" t="n"/>
      <c r="E16" s="3914" t="n"/>
      <c r="F16" s="3914" t="n"/>
      <c r="G16" s="3914" t="n"/>
      <c r="H16" s="3914" t="n"/>
      <c r="I16" s="3914" t="n"/>
      <c r="J16" s="3914" t="n"/>
      <c r="K16" s="3914" t="n"/>
      <c r="L16" s="3914" t="n"/>
      <c r="M16" s="39" t="n"/>
    </row>
    <row r="17" s="3154" customFormat="1" ht="13.5" customHeight="1">
      <c r="A17" s="1939" t="inlineStr">
        <is>
          <t xml:space="preserve">Net Operating Income</t>
        </is>
      </c>
      <c r="B17" s="3226" t="n">
        <v>0</v>
      </c>
      <c r="C17" s="3226" t="n">
        <v>198797.310739431</v>
      </c>
      <c r="D17" s="3226" t="n">
        <v>447246.715866305</v>
      </c>
      <c r="E17" s="3226" t="n">
        <v>545292.674112339</v>
      </c>
      <c r="F17" s="3226" t="n">
        <v>563019.633833825</v>
      </c>
      <c r="G17" s="3226" t="n">
        <v>597889.404504124</v>
      </c>
      <c r="H17" s="3226" t="n">
        <v>619338.422352027</v>
      </c>
      <c r="I17" s="3226" t="n">
        <v>641601.409459988</v>
      </c>
      <c r="J17" s="3226" t="n">
        <v>662286.588636958</v>
      </c>
      <c r="K17" s="3226" t="n">
        <v>683621.0659271</v>
      </c>
      <c r="L17" s="3226" t="n">
        <v>707975.949955803</v>
      </c>
      <c r="M17" s="39" t="n"/>
    </row>
    <row r="18" s="3154" customFormat="1" ht="13.5" customHeight="1">
      <c r="A18" s="1940" t="inlineStr">
        <is>
          <t xml:space="preserve">Incentives/Rebates</t>
        </is>
      </c>
      <c r="B18" s="3322" t="n">
        <v>0</v>
      </c>
      <c r="C18" s="3322" t="n">
        <v>193398.042</v>
      </c>
      <c r="D18" s="3322" t="n">
        <v>178078.423736</v>
      </c>
      <c r="E18" s="3322" t="n">
        <v>166766.472726294</v>
      </c>
      <c r="F18" s="3322" t="n">
        <v>158698.782761525</v>
      </c>
      <c r="G18" s="3322" t="n">
        <v>153266.169214761</v>
      </c>
      <c r="H18" s="3322" t="n">
        <v>149982.886954773</v>
      </c>
      <c r="I18" s="3322" t="n">
        <v>148462.007190735</v>
      </c>
      <c r="J18" s="3322" t="n">
        <v>148395.721563632</v>
      </c>
      <c r="K18" s="3322" t="n">
        <v>149539.588140716</v>
      </c>
      <c r="L18" s="3322" t="n">
        <v>151699.931042331</v>
      </c>
      <c r="M18" s="39" t="n"/>
    </row>
    <row r="19" s="3154" customFormat="1" ht="13.5" customHeight="1">
      <c r="A19" s="1940" t="inlineStr">
        <is>
          <t xml:space="preserve">Constr Debt Service [1]</t>
        </is>
      </c>
      <c r="B19" s="3322" t="e">
        <f t="array" ref="B19">-SUMIFS('Construction Interest'!$J$10:$J$69,'Construction Interest'!$A$10:$A$69,"Operating",'Construction Interest'!$M$10:$M$69,B$6)</f>
      </c>
      <c r="C19" s="3322" t="e">
        <f t="array" ref="C19">-SUMIFS('Construction Interest'!$J$10:$J$47,'Construction Interest'!$M$10:$M$47,C$6,'Construction Interest'!$A$10:$A$47,"Operating")</f>
      </c>
      <c r="D19" s="3322" t="e">
        <f t="array" ref="D19">-SUMIFS('Construction Interest'!$J$10:$J$47,'Construction Interest'!$M$10:$M$47,D$6,'Construction Interest'!$A$10:$A$47,"Operating")</f>
      </c>
      <c r="E19" s="3322" t="e">
        <f t="array" ref="E19">-SUMIFS('Construction Interest'!$J$10:$J$47,'Construction Interest'!$M$10:$M$47,E$6,'Construction Interest'!$A$10:$A$47,"Operating")</f>
      </c>
      <c r="F19" s="3322" t="e">
        <f t="array" ref="F19">-SUMIFS('Construction Interest'!$J$10:$J$47,'Construction Interest'!$M$10:$M$47,F$6,'Construction Interest'!$A$10:$A$47,"Operating")</f>
      </c>
      <c r="G19" s="3322" t="e">
        <f t="array" ref="G19">-SUMIFS('Construction Interest'!$J$10:$J$47,'Construction Interest'!$M$10:$M$47,G$6,'Construction Interest'!$A$10:$A$47,"Operating")</f>
      </c>
      <c r="H19" s="3322" t="e">
        <f t="array" ref="H19">-SUMIFS('Construction Interest'!$J$10:$J$47,'Construction Interest'!$M$10:$M$47,H$6,'Construction Interest'!$A$10:$A$47,"Operating")</f>
      </c>
      <c r="I19" s="3322" t="e">
        <f t="array" ref="I19">-SUMIFS('Construction Interest'!$J$10:$J$47,'Construction Interest'!$M$10:$M$47,I$6,'Construction Interest'!$A$10:$A$47,"Operating")</f>
      </c>
      <c r="J19" s="3322" t="e">
        <f t="array" ref="J19">-SUMIFS('Construction Interest'!$J$10:$J$47,'Construction Interest'!$M$10:$M$47,J$6,'Construction Interest'!$A$10:$A$47,"Operating")</f>
      </c>
      <c r="K19" s="3322" t="e">
        <f t="array" ref="K19">-SUMIFS('Construction Interest'!$J$10:$J$47,'Construction Interest'!$M$10:$M$47,K$6,'Construction Interest'!$A$10:$A$47,"Operating")</f>
      </c>
      <c r="L19" s="3322" t="e">
        <f t="array" ref="L19">-SUMIFS('Construction Interest'!$J$10:$J$47,'Construction Interest'!$M$10:$M$47,L$6,'Construction Interest'!$A$10:$A$47,"Operating")</f>
      </c>
      <c r="M19" s="39" t="n"/>
    </row>
    <row r="20" s="3154" customFormat="1" ht="13.5" customHeight="1">
      <c r="A20" s="1941" t="inlineStr">
        <is>
          <t xml:space="preserve">Perm Debt Service</t>
        </is>
      </c>
      <c r="B20" s="3915" t="n">
        <f t="array" ref="B20">IF(ISERROR(VLOOKUP(B$6,'Perm Loan &amp; Amort'!$L$11:$M$21,2,0)),0,-VLOOKUP(B$6,'Perm Loan &amp; Amort'!$L$11:$M$21,2,0))</f>
        <v>0</v>
      </c>
      <c r="C20" s="3915" t="n">
        <f t="array" ref="C20">IF(ISERROR(VLOOKUP(C$6,'Perm Loan &amp; Amort'!$L$11:$M$21,2,0)),0,-VLOOKUP(C$6,'Perm Loan &amp; Amort'!$L$11:$M$21,2,0))</f>
        <v>0</v>
      </c>
      <c r="D20" s="3915" t="n">
        <f t="array" ref="D20">IF(ISERROR(VLOOKUP(D$6,'Perm Loan &amp; Amort'!$L$11:$M$21,2,0)),0,-VLOOKUP(D$6,'Perm Loan &amp; Amort'!$L$11:$M$21,2,0))</f>
        <v>0</v>
      </c>
      <c r="E20" s="3915" t="n">
        <f t="array" ref="E20">IF(ISERROR(VLOOKUP(E$6,'Perm Loan &amp; Amort'!$L$11:$M$21,2,0)),0,-VLOOKUP(E$6,'Perm Loan &amp; Amort'!$L$11:$M$21,2,0))</f>
        <v>0</v>
      </c>
      <c r="F20" s="3915" t="n">
        <f t="array" ref="F20">IF(ISERROR(VLOOKUP(F$6,'Perm Loan &amp; Amort'!$L$11:$M$21,2,0)),0,-VLOOKUP(F$6,'Perm Loan &amp; Amort'!$L$11:$M$21,2,0))</f>
        <v>0</v>
      </c>
      <c r="G20" s="3915" t="n">
        <f t="array" ref="G20">IF(ISERROR(VLOOKUP(G$6,'Perm Loan &amp; Amort'!$L$11:$M$21,2,0)),0,-VLOOKUP(G$6,'Perm Loan &amp; Amort'!$L$11:$M$21,2,0))</f>
        <v>0</v>
      </c>
      <c r="H20" s="3915" t="n">
        <f t="array" ref="H20">IF(ISERROR(VLOOKUP(H$6,'Perm Loan &amp; Amort'!$L$11:$M$21,2,0)),0,-VLOOKUP(H$6,'Perm Loan &amp; Amort'!$L$11:$M$21,2,0))</f>
        <v>0</v>
      </c>
      <c r="I20" s="3915" t="n">
        <f t="array" ref="I20">IF(ISERROR(VLOOKUP(I$6,'Perm Loan &amp; Amort'!$L$11:$M$21,2,0)),0,-VLOOKUP(I$6,'Perm Loan &amp; Amort'!$L$11:$M$21,2,0))</f>
        <v>0</v>
      </c>
      <c r="J20" s="3915" t="n">
        <f t="array" ref="J20">IF(ISERROR(VLOOKUP(J$6,'Perm Loan &amp; Amort'!$L$11:$M$21,2,0)),0,-VLOOKUP(J$6,'Perm Loan &amp; Amort'!$L$11:$M$21,2,0))</f>
        <v>0</v>
      </c>
      <c r="K20" s="3915" t="n">
        <f t="array" ref="K20">IF(ISERROR(VLOOKUP(K$6,'Perm Loan &amp; Amort'!$L$11:$M$21,2,0)),0,-VLOOKUP(K$6,'Perm Loan &amp; Amort'!$L$11:$M$21,2,0))</f>
        <v>0</v>
      </c>
      <c r="L20" s="3915" t="n">
        <f t="array" ref="L20">IF(ISERROR(VLOOKUP(L$6,'Perm Loan &amp; Amort'!$L$11:$M$21,2,0)),0,-VLOOKUP(L$6,'Perm Loan &amp; Amort'!$L$11:$M$21,2,0))</f>
        <v>0</v>
      </c>
      <c r="M20" s="39" t="n"/>
    </row>
    <row r="21" s="3154" customFormat="1" ht="13.5" customHeight="1">
      <c r="A21" s="1944" t="inlineStr">
        <is>
          <t xml:space="preserve">CF from Operations</t>
        </is>
      </c>
      <c r="B21" s="3917" t="e">
        <f t="array" ref="B21">SUM(B17:B20)</f>
      </c>
      <c r="C21" s="3917" t="e">
        <f t="array" ref="C21">SUM(C17:C20)</f>
      </c>
      <c r="D21" s="3917" t="e">
        <f t="array" ref="D21">SUM(D17:D20)</f>
      </c>
      <c r="E21" s="3917" t="e">
        <f t="array" ref="E21">SUM(E17:E20)</f>
      </c>
      <c r="F21" s="3917" t="e">
        <f t="array" ref="F21">SUM(F17:F20)</f>
      </c>
      <c r="G21" s="3917" t="e">
        <f t="array" ref="G21">SUM(G17:G20)</f>
      </c>
      <c r="H21" s="3917" t="e">
        <f t="array" ref="H21">SUM(H17:H20)</f>
      </c>
      <c r="I21" s="3917" t="e">
        <f t="array" ref="I21">SUM(I17:I20)</f>
      </c>
      <c r="J21" s="3917" t="e">
        <f t="array" ref="J21">SUM(J17:J20)</f>
      </c>
      <c r="K21" s="3917" t="e">
        <f t="array" ref="K21">SUM(K17:K20)</f>
      </c>
      <c r="L21" s="3917" t="e">
        <f t="array" ref="L21">SUM(L17:L20)</f>
      </c>
      <c r="M21" s="39" t="n"/>
    </row>
    <row r="22" s="3154" customFormat="1" ht="13.5" customHeight="1">
      <c r="A22" s="200" t="n"/>
      <c r="B22" s="3916" t="n"/>
      <c r="C22" s="3916" t="n"/>
      <c r="D22" s="3916" t="n"/>
      <c r="E22" s="3916" t="n"/>
      <c r="F22" s="3916" t="n"/>
      <c r="G22" s="3916" t="n"/>
      <c r="H22" s="3916" t="n"/>
      <c r="I22" s="3916" t="n"/>
      <c r="J22" s="3916" t="n"/>
      <c r="K22" s="3916" t="n"/>
      <c r="L22" s="3916" t="n"/>
      <c r="M22" s="39" t="n"/>
    </row>
    <row r="23" s="3154" customFormat="1" ht="13.5" customHeight="1">
      <c r="A23" s="1937" t="inlineStr">
        <is>
          <t xml:space="preserve">CF from Sale</t>
        </is>
      </c>
      <c r="B23" s="3914" t="n"/>
      <c r="C23" s="3914" t="n"/>
      <c r="D23" s="3914" t="n"/>
      <c r="E23" s="3914" t="n"/>
      <c r="F23" s="3914" t="n"/>
      <c r="G23" s="3914" t="n"/>
      <c r="H23" s="3914" t="n"/>
      <c r="I23" s="3914" t="n"/>
      <c r="J23" s="3914" t="n"/>
      <c r="K23" s="3914" t="n"/>
      <c r="L23" s="3914" t="n"/>
      <c r="M23" s="39" t="n"/>
    </row>
    <row r="24" s="3154" customFormat="1" ht="13.5" customHeight="1">
      <c r="A24" s="1939" t="inlineStr">
        <is>
          <t xml:space="preserve">Gross Sale Price</t>
        </is>
      </c>
      <c r="B24" s="3226" t="n">
        <f t="array" ref="B24">IF(B$6=YEAR('Assumptions'!$G$23),HLOOKUP(B$6,'Hotel Operating'!$C$6:$L$59,54,0)/'Assumptions'!$D$134,0)+IF(B$5='Assumptions'!$D$128,'Assumptions'!$D$130)</f>
        <v>0</v>
      </c>
      <c r="C24" s="3226" t="n">
        <f t="array" ref="C24">IF(C$6=YEAR('Assumptions'!$G$23),HLOOKUP(C$6,'Hotel Operating'!$C$6:$L$59,54,0)/'Assumptions'!$D$134,0)+IF(C$5='Assumptions'!$D$128,'Assumptions'!$D$130)</f>
        <v>0</v>
      </c>
      <c r="D24" s="3226" t="n">
        <f t="array" ref="D24">IF(D$6=YEAR('Assumptions'!$G$23),HLOOKUP(D$6,'Hotel Operating'!$C$6:$L$59,54,0)/'Assumptions'!$D$134,0)+IF(D$5='Assumptions'!$D$128,'Assumptions'!$D$130)</f>
        <v>0</v>
      </c>
      <c r="E24" s="3226" t="n">
        <f t="array" ref="E24">IF(E$6=YEAR('Assumptions'!$G$23),HLOOKUP(E$6,'Hotel Operating'!$C$6:$L$59,54,0)/'Assumptions'!$D$134,0)+IF(E$5='Assumptions'!$D$128,'Assumptions'!$D$130)</f>
        <v>0</v>
      </c>
      <c r="F24" s="3226" t="n">
        <f t="array" ref="F24">IF(F$6=YEAR('Assumptions'!$G$23),HLOOKUP(F$6,'Hotel Operating'!$C$6:$L$59,54,0)/'Assumptions'!$D$134,0)+IF(F$5='Assumptions'!$D$128,'Assumptions'!$D$130)</f>
        <v>0</v>
      </c>
      <c r="G24" s="3226" t="n">
        <f t="array" ref="G24">IF(G$6=YEAR('Assumptions'!$G$23),HLOOKUP(G$6,'Hotel Operating'!$C$6:$L$59,54,0)/'Assumptions'!$D$134,0)+IF(G$5='Assumptions'!$D$128,'Assumptions'!$D$130)</f>
        <v>0</v>
      </c>
      <c r="H24" s="3226" t="n">
        <f t="array" ref="H24">IF(H$6=YEAR('Assumptions'!$G$23),HLOOKUP(H$6,'Hotel Operating'!$C$6:$L$59,54,0)/'Assumptions'!$D$134,0)+IF(H$5='Assumptions'!$D$128,'Assumptions'!$D$130)</f>
        <v>0</v>
      </c>
      <c r="I24" s="3226" t="n">
        <f t="array" ref="I24">IF(I$6=YEAR('Assumptions'!$G$23),HLOOKUP(I$6,'Hotel Operating'!$C$6:$L$59,54,0)/'Assumptions'!$D$134,0)+IF(I$5='Assumptions'!$D$128,'Assumptions'!$D$130)</f>
        <v>0</v>
      </c>
      <c r="J24" s="3226" t="n">
        <f t="array" ref="J24">IF(J$6=YEAR('Assumptions'!$G$23),HLOOKUP(J$6,'Hotel Operating'!$C$6:$L$59,54,0)/'Assumptions'!$D$134,0)+IF(J$5='Assumptions'!$D$128,'Assumptions'!$D$130)</f>
        <v>0</v>
      </c>
      <c r="K24" s="3226" t="n">
        <f t="array" ref="K24">IF(K$6=YEAR('Assumptions'!$G$23),HLOOKUP(K$6,'Hotel Operating'!$C$6:$L$59,54,0)/'Assumptions'!$D$134,0)+IF(K$5='Assumptions'!$D$128,'Assumptions'!$D$130)</f>
        <v>0</v>
      </c>
      <c r="L24" s="3226" t="e">
        <f t="array" ref="L24">IF(L$6=YEAR('Assumptions'!$G$23),HLOOKUP(L$6,'Hotel Operating'!$C$6:$L$59,54,0)/'Assumptions'!$D$134,0)+IF(L$5='Assumptions'!$D$128,'Assumptions'!$D$130)</f>
      </c>
      <c r="M24" s="39" t="n"/>
    </row>
    <row r="25" s="3154" customFormat="1" ht="13.5" customHeight="1">
      <c r="A25" s="1940" t="inlineStr">
        <is>
          <t xml:space="preserve">Sales Costs</t>
        </is>
      </c>
      <c r="B25" s="3322" t="n">
        <f t="array" ref="B25">IF(B24=0,0,B24*-'Assumptions'!$D$135)</f>
        <v>0</v>
      </c>
      <c r="C25" s="3322" t="n">
        <f t="array" ref="C25">IF(C24=0,0,C24*-'Assumptions'!$D$135)</f>
        <v>0</v>
      </c>
      <c r="D25" s="3322" t="n"/>
      <c r="E25" s="3322" t="n">
        <f t="array" ref="E25">IF(E24=0,0,E24*-'Assumptions'!$D$135)</f>
        <v>0</v>
      </c>
      <c r="F25" s="3322" t="n">
        <f t="array" ref="F25">IF(F24=0,0,F24*-'Assumptions'!$D$135)</f>
        <v>0</v>
      </c>
      <c r="G25" s="3322" t="n">
        <f t="array" ref="G25">IF(G24=0,0,G24*-'Assumptions'!$D$135)</f>
        <v>0</v>
      </c>
      <c r="H25" s="3322" t="n">
        <f t="array" ref="H25">IF(H24=0,0,H24*-'Assumptions'!$D$135)</f>
        <v>0</v>
      </c>
      <c r="I25" s="3322" t="n">
        <f t="array" ref="I25">IF(I24=0,0,I24*-'Assumptions'!$D$135)</f>
        <v>0</v>
      </c>
      <c r="J25" s="3322" t="n">
        <f t="array" ref="J25">IF(J24=0,0,J24*-'Assumptions'!$D$135)</f>
        <v>0</v>
      </c>
      <c r="K25" s="3322" t="n">
        <f t="array" ref="K25">IF(K24=0,0,K24*-'Assumptions'!$D$135)</f>
        <v>0</v>
      </c>
      <c r="L25" s="3322" t="e">
        <f t="array" ref="L25">IF(L24=0,0,L24*-'Assumptions'!$D$135)</f>
      </c>
      <c r="M25" s="39" t="n"/>
    </row>
    <row r="26" s="3154" customFormat="1" ht="13.5" customHeight="1">
      <c r="A26" s="1941" t="inlineStr">
        <is>
          <t xml:space="preserve">Loan Repayment [2]</t>
        </is>
      </c>
      <c r="B26" s="3915" t="n">
        <f t="array" ref="B26">IF(B$6=YEAR('Assumptions'!$G$23),-('Project Summary'!$M$13-'Perm Loan &amp; Amort'!$G$7),0)</f>
        <v>0</v>
      </c>
      <c r="C26" s="3915" t="n">
        <f t="array" ref="C26">IF(C$6=YEAR('Assumptions'!$G$23),-('Project Summary'!$M$13-'Perm Loan &amp; Amort'!$G$7),0)</f>
        <v>0</v>
      </c>
      <c r="D26" s="3915" t="n">
        <f t="array" ref="D26">IF(D$6=YEAR('Assumptions'!$G$23),-('Project Summary'!$M$13-'Perm Loan &amp; Amort'!$G$7),0)</f>
        <v>0</v>
      </c>
      <c r="E26" s="3915" t="n">
        <f t="array" ref="E26">IF(E$6=YEAR('Assumptions'!$G$23),-('Project Summary'!$M$13-'Perm Loan &amp; Amort'!$G$7),0)</f>
        <v>0</v>
      </c>
      <c r="F26" s="3915" t="n">
        <f t="array" ref="F26">IF(F$6=YEAR('Assumptions'!$G$23),-('Project Summary'!$M$13-'Perm Loan &amp; Amort'!$G$7),0)</f>
        <v>0</v>
      </c>
      <c r="G26" s="3915" t="n">
        <f t="array" ref="G26">IF(G$6=YEAR('Assumptions'!$G$23),-('Project Summary'!$M$13-'Perm Loan &amp; Amort'!$G$7),0)</f>
        <v>0</v>
      </c>
      <c r="H26" s="3915" t="n">
        <f t="array" ref="H26">IF(H$6=YEAR('Assumptions'!$G$23),-('Project Summary'!$M$13-'Perm Loan &amp; Amort'!$G$7),0)</f>
        <v>0</v>
      </c>
      <c r="I26" s="3915" t="n">
        <f t="array" ref="I26">IF(I$6=YEAR('Assumptions'!$G$23),-('Project Summary'!$M$13-'Perm Loan &amp; Amort'!$G$7),0)</f>
        <v>0</v>
      </c>
      <c r="J26" s="3915" t="n">
        <f t="array" ref="J26">IF(J$6=YEAR('Assumptions'!$G$23),-('Project Summary'!$M$13-'Perm Loan &amp; Amort'!$G$7),0)</f>
        <v>0</v>
      </c>
      <c r="K26" s="3915" t="n">
        <f t="array" ref="K26">IF(K$6=YEAR('Assumptions'!$G$23),-('Project Summary'!$M$13-'Perm Loan &amp; Amort'!$G$7),0)</f>
        <v>0</v>
      </c>
      <c r="L26" s="3915" t="e">
        <f t="array" ref="L26">IF(L$6=YEAR('Assumptions'!$G$23),-('Project Summary'!$M$13-'Perm Loan &amp; Amort'!$G$7),0)</f>
      </c>
      <c r="M26" s="39" t="n"/>
    </row>
    <row r="27" s="3154" customFormat="1" ht="13.5" customHeight="1">
      <c r="A27" s="1944" t="inlineStr">
        <is>
          <t xml:space="preserve">CF from Sale</t>
        </is>
      </c>
      <c r="B27" s="3917" t="n">
        <f t="array" ref="B27">SUM(B24:B26)</f>
        <v>0</v>
      </c>
      <c r="C27" s="3917" t="n">
        <f t="array" ref="C27">SUM(C24:C26)</f>
        <v>0</v>
      </c>
      <c r="D27" s="3917" t="n">
        <f t="array" ref="D27">SUM(D24:D26)</f>
        <v>0</v>
      </c>
      <c r="E27" s="3917" t="n">
        <f t="array" ref="E27">SUM(E24:E26)</f>
        <v>0</v>
      </c>
      <c r="F27" s="3917" t="n">
        <f t="array" ref="F27">SUM(F24:F26)</f>
        <v>0</v>
      </c>
      <c r="G27" s="3917" t="n">
        <f t="array" ref="G27">SUM(G24:G26)</f>
        <v>0</v>
      </c>
      <c r="H27" s="3917" t="n">
        <f t="array" ref="H27">SUM(H24:H26)</f>
        <v>0</v>
      </c>
      <c r="I27" s="3917" t="n">
        <f t="array" ref="I27">SUM(I24:I26)</f>
        <v>0</v>
      </c>
      <c r="J27" s="3917" t="n">
        <f t="array" ref="J27">SUM(J24:J26)</f>
        <v>0</v>
      </c>
      <c r="K27" s="3917" t="n">
        <f t="array" ref="K27">SUM(K24:K26)</f>
        <v>0</v>
      </c>
      <c r="L27" s="3917" t="e">
        <f t="array" ref="L27">SUM(L24:L26)</f>
      </c>
      <c r="M27" s="39" t="n"/>
    </row>
    <row r="28" s="3154" customFormat="1" ht="13.5" customHeight="1">
      <c r="A28" s="1946" t="n"/>
      <c r="B28" s="3916" t="n"/>
      <c r="C28" s="3916" t="n"/>
      <c r="D28" s="3916" t="n"/>
      <c r="E28" s="3916" t="n"/>
      <c r="F28" s="3916" t="n"/>
      <c r="G28" s="3916" t="n"/>
      <c r="H28" s="3916" t="n"/>
      <c r="I28" s="3916" t="n"/>
      <c r="J28" s="3916" t="n"/>
      <c r="K28" s="3916" t="n"/>
      <c r="L28" s="3916" t="n"/>
      <c r="M28" s="39" t="n"/>
    </row>
    <row r="29" s="3154" customFormat="1" ht="13.5" customHeight="1">
      <c r="A29" s="1947" t="inlineStr">
        <is>
          <t xml:space="preserve">Unleveraged CF</t>
        </is>
      </c>
      <c r="B29" s="3918" t="n">
        <f t="array" ref="B29">-'Project Summary'!$C$20</f>
        <v>-5828136.3</v>
      </c>
      <c r="C29" s="3918" t="n">
        <f t="array" ref="C29">C17+C24-C25</f>
        <v>198797.310739431</v>
      </c>
      <c r="D29" s="3918" t="n">
        <f t="array" ref="D29">D17+D18+D24-D25</f>
        <v>625325.139602305</v>
      </c>
      <c r="E29" s="3918" t="n">
        <f t="array" ref="E29">E17+E18+E24-E25</f>
        <v>712059.1468386331</v>
      </c>
      <c r="F29" s="3918" t="n">
        <f t="array" ref="F29">F17+F18+F24-F25</f>
        <v>721718.41659535</v>
      </c>
      <c r="G29" s="3918" t="n">
        <f t="array" ref="G29">G17+G18+G24-G25</f>
        <v>751155.573718885</v>
      </c>
      <c r="H29" s="3918" t="n">
        <f t="array" ref="H29">H17+H18+H24-H25</f>
        <v>769321.3093068</v>
      </c>
      <c r="I29" s="3918" t="n">
        <f t="array" ref="I29">I17+I18+I24-I25</f>
        <v>790063.416650723</v>
      </c>
      <c r="J29" s="3918" t="n">
        <f t="array" ref="J29">J17+J18+J24-J25</f>
        <v>810682.3102005901</v>
      </c>
      <c r="K29" s="3918" t="n">
        <f t="array" ref="K29">K17+K18+K24-K25</f>
        <v>833160.654067816</v>
      </c>
      <c r="L29" s="3918" t="e">
        <f t="array" ref="L29">L17+L18+L24-L25</f>
      </c>
      <c r="M29" s="39" t="n"/>
    </row>
    <row r="30" s="3154" customFormat="1" ht="13.5" customHeight="1">
      <c r="A30" s="1949" t="inlineStr">
        <is>
          <t xml:space="preserve">Leveraged CF</t>
        </is>
      </c>
      <c r="B30" s="3919" t="n">
        <f t="array" ref="B30">B12</f>
        <v>0</v>
      </c>
      <c r="C30" s="3919" t="n">
        <f t="array" ref="C30">C12</f>
        <v>0</v>
      </c>
      <c r="D30" s="3919" t="e">
        <f t="array" ref="D30">D21+D27</f>
      </c>
      <c r="E30" s="3919" t="e">
        <f t="array" ref="E30">E21+E27</f>
      </c>
      <c r="F30" s="3919" t="e">
        <f t="array" ref="F30">F21+F27</f>
      </c>
      <c r="G30" s="3919" t="e">
        <f t="array" ref="G30">G21+G27</f>
      </c>
      <c r="H30" s="3919" t="e">
        <f t="array" ref="H30">H21+H27</f>
      </c>
      <c r="I30" s="3919" t="e">
        <f t="array" ref="I30">I21+I27</f>
      </c>
      <c r="J30" s="3919" t="e">
        <f t="array" ref="J30">J21+J27</f>
      </c>
      <c r="K30" s="3919" t="e">
        <f t="array" ref="K30">K21+K27</f>
      </c>
      <c r="L30" s="3919" t="e">
        <f t="array" ref="L30">L21+L27</f>
      </c>
      <c r="M30" s="39" t="n"/>
    </row>
    <row r="31" s="3154" customFormat="1" ht="13.5" customHeight="1">
      <c r="A31" s="200" t="n"/>
      <c r="B31" s="201" t="n"/>
      <c r="C31" s="201" t="n"/>
      <c r="D31" s="201" t="n"/>
      <c r="E31" s="201" t="n"/>
      <c r="F31" s="201" t="n"/>
      <c r="G31" s="158" t="n"/>
      <c r="H31" s="158" t="n"/>
      <c r="I31" s="158" t="n"/>
      <c r="J31" s="158" t="n"/>
      <c r="K31" s="158" t="n"/>
      <c r="L31" s="158" t="n"/>
      <c r="M31" s="39" t="n"/>
    </row>
    <row r="32" s="3154" customFormat="1" ht="13.5" customHeight="1">
      <c r="A32" s="1951" t="inlineStr">
        <is>
          <t xml:space="preserve">Unleveraged IRR</t>
        </is>
      </c>
      <c r="B32" s="3920" t="e">
        <f t="array" ref="B32">IRR(B29:L29)</f>
      </c>
      <c r="C32" s="158" t="n"/>
      <c r="D32" s="1953" t="inlineStr">
        <is>
          <t xml:space="preserve">Unleveraged Multiple</t>
        </is>
      </c>
      <c r="E32" s="158" t="n"/>
      <c r="F32" s="3921" t="n">
        <f t="array" ref="F32">SUMIF($B29:$L29,"&gt;"&amp;0)/-SUMIF($B29:$L29,"&lt;"&amp;0)</f>
        <v>0.869145253079918</v>
      </c>
      <c r="G32" s="25" t="n"/>
      <c r="H32" s="26" t="n"/>
      <c r="I32" s="26" t="n"/>
      <c r="J32" s="26" t="n"/>
      <c r="K32" s="26" t="n"/>
      <c r="L32" s="26" t="n"/>
      <c r="M32" s="39" t="n"/>
    </row>
    <row r="33" s="3154" customFormat="1" ht="13.5" customHeight="1">
      <c r="A33" s="1955" t="inlineStr">
        <is>
          <t xml:space="preserve">Leveraged IRR</t>
        </is>
      </c>
      <c r="B33" s="3922" t="e">
        <f t="array" ref="B33">'Project Summary'!C47</f>
      </c>
      <c r="C33" s="163" t="n"/>
      <c r="D33" s="1957" t="inlineStr">
        <is>
          <t xml:space="preserve">Leveraged Multiple</t>
        </is>
      </c>
      <c r="E33" s="163" t="n"/>
      <c r="F33" s="1958" t="e">
        <f t="array" ref="F33">SUMIF($B30:$L30,"&gt;"&amp;0)/-SUMIF($B30:$L30,"&lt;"&amp;0)</f>
      </c>
      <c r="G33" s="25" t="n"/>
      <c r="H33" s="26" t="n"/>
      <c r="I33" s="26" t="n"/>
      <c r="J33" s="26" t="n"/>
      <c r="K33" s="26" t="n"/>
      <c r="L33" s="26" t="n"/>
      <c r="M33" s="39" t="n"/>
    </row>
    <row r="34" s="3154" customFormat="1" ht="13.5" customHeight="1">
      <c r="A34" s="443" t="n"/>
      <c r="B34" s="158" t="n"/>
      <c r="C34" s="158" t="n"/>
      <c r="D34" s="158" t="n"/>
      <c r="E34" s="158" t="n"/>
      <c r="F34" s="158" t="n"/>
      <c r="G34" s="26" t="n"/>
      <c r="H34" s="26" t="n"/>
      <c r="I34" s="26" t="n"/>
      <c r="J34" s="26" t="n"/>
      <c r="K34" s="26" t="n"/>
      <c r="L34" s="26" t="n"/>
      <c r="M34" s="39" t="n"/>
    </row>
    <row r="35" s="3154" customFormat="1" ht="13.5" customHeight="1">
      <c r="A35" s="1959" t="inlineStr">
        <is>
          <t xml:space="preserve">Leveraged IRR links to Project Summary; use Reconciliation / Model Checks for current 100-key cost basis.</t>
        </is>
      </c>
      <c r="B35" s="26" t="n"/>
      <c r="C35" s="26" t="n"/>
      <c r="D35" s="26" t="n"/>
      <c r="E35" s="429" t="inlineStr">
        <is>
          <t xml:space="preserve">l</t>
        </is>
      </c>
      <c r="F35" s="26" t="n"/>
      <c r="G35" s="26" t="n"/>
      <c r="H35" s="26" t="n"/>
      <c r="I35" s="26" t="n"/>
      <c r="J35" s="26" t="n"/>
      <c r="K35" s="26" t="n"/>
      <c r="L35" s="26" t="n"/>
      <c r="M35" s="39" t="n"/>
    </row>
    <row r="36" s="3154" customFormat="1" ht="13.5" customHeight="1">
      <c r="A36" s="1960" t="n"/>
      <c r="B36" s="1961" t="n">
        <f t="array" ref="B36">B6</f>
        <v>2026</v>
      </c>
      <c r="C36" s="1961" t="n">
        <f t="array" ref="C36">C6</f>
        <v>2027</v>
      </c>
      <c r="D36" s="1961" t="n">
        <f t="array" ref="D36">D6</f>
        <v>2028</v>
      </c>
      <c r="E36" s="1961" t="n">
        <f t="array" ref="E36">E6</f>
        <v>2029</v>
      </c>
      <c r="F36" s="1961" t="n">
        <f t="array" ref="F36">F6</f>
        <v>2030</v>
      </c>
      <c r="G36" s="1961" t="n">
        <f t="array" ref="G36">G6</f>
        <v>2031</v>
      </c>
      <c r="H36" s="1961" t="n">
        <f t="array" ref="H36">H6</f>
        <v>2032</v>
      </c>
      <c r="I36" s="1961" t="n">
        <f t="array" ref="I36">I6</f>
        <v>2033</v>
      </c>
      <c r="J36" s="1961" t="n">
        <f t="array" ref="J36">J6</f>
        <v>2034</v>
      </c>
      <c r="K36" s="1961" t="n">
        <f t="array" ref="K36">K6</f>
        <v>2035</v>
      </c>
      <c r="L36" s="1961" t="n">
        <f t="array" ref="L36">L6</f>
        <v>2036</v>
      </c>
      <c r="M36" s="39" t="n"/>
    </row>
    <row r="37" s="3154" customFormat="1" ht="13.5" customHeight="1">
      <c r="A37" s="1960" t="n"/>
      <c r="B37" s="3923" t="n">
        <v>0</v>
      </c>
      <c r="C37" s="3923" t="n">
        <v>524726.893232385</v>
      </c>
      <c r="D37" s="3923" t="n">
        <v>625325.139602305</v>
      </c>
      <c r="E37" s="3923" t="n">
        <v>712059.146838633</v>
      </c>
      <c r="F37" s="3923" t="n">
        <v>721718.41659535</v>
      </c>
      <c r="G37" s="3923" t="n">
        <v>751155.573718884</v>
      </c>
      <c r="H37" s="3923" t="n">
        <v>769321.3093068</v>
      </c>
      <c r="I37" s="3923" t="n">
        <v>790063.416650723</v>
      </c>
      <c r="J37" s="3923" t="n">
        <v>810682.3102005899</v>
      </c>
      <c r="K37" s="3923" t="n">
        <v>833160.654067816</v>
      </c>
      <c r="L37" s="3923" t="n">
        <v>859675.880998135</v>
      </c>
      <c r="M37" s="39" t="n"/>
    </row>
    <row r="38" s="3154" customFormat="1" ht="13.5" customHeight="1">
      <c r="A38" s="162" t="n"/>
      <c r="B38" s="163" t="n"/>
      <c r="C38" s="163" t="n"/>
      <c r="D38" s="163" t="n"/>
      <c r="E38" s="163" t="n"/>
      <c r="F38" s="163" t="n"/>
      <c r="G38" s="163" t="n"/>
      <c r="H38" s="163" t="n"/>
      <c r="I38" s="163" t="n"/>
      <c r="J38" s="163" t="n"/>
      <c r="K38" s="163" t="n"/>
      <c r="L38" s="163" t="n"/>
      <c r="M38" s="39" t="n"/>
    </row>
    <row r="39" s="3154" customFormat="1" ht="13.5" customHeight="1">
      <c r="A39" s="1963" t="inlineStr">
        <is>
          <t xml:space="preserve">Contributions - For NI Tab</t>
        </is>
      </c>
      <c r="B39" s="3924" t="n">
        <f t="array" ref="B39">B12</f>
        <v>0</v>
      </c>
      <c r="C39" s="3924" t="n">
        <f t="array" ref="C39">C12</f>
        <v>0</v>
      </c>
      <c r="D39" s="3924" t="n">
        <f t="array" ref="D39">D12</f>
        <v>0</v>
      </c>
      <c r="E39" s="3924" t="n">
        <f t="array" ref="E39">E12</f>
        <v>0</v>
      </c>
      <c r="F39" s="3924" t="n">
        <f t="array" ref="F39">F12</f>
        <v>0</v>
      </c>
      <c r="G39" s="3924" t="n">
        <f t="array" ref="G39">G12</f>
        <v>0</v>
      </c>
      <c r="H39" s="3924" t="n">
        <f t="array" ref="H39">H12</f>
        <v>0</v>
      </c>
      <c r="I39" s="3924" t="n">
        <f t="array" ref="I39">I12</f>
        <v>0</v>
      </c>
      <c r="J39" s="3924" t="n">
        <f t="array" ref="J39">J12</f>
        <v>0</v>
      </c>
      <c r="K39" s="3924" t="n">
        <f t="array" ref="K39">K12</f>
        <v>0</v>
      </c>
      <c r="L39" s="3924" t="n">
        <f t="array" ref="L39">L12</f>
        <v>0</v>
      </c>
      <c r="M39" s="39" t="n"/>
    </row>
    <row r="40" s="3154" customFormat="1" ht="13.5" customHeight="1">
      <c r="A40" s="1965" t="inlineStr">
        <is>
          <t xml:space="preserve">Distributions  - For NI Tab</t>
        </is>
      </c>
      <c r="B40" s="3925" t="n">
        <f t="array" ref="B40">IF(B30&gt;0,B30,0)</f>
        <v>0</v>
      </c>
      <c r="C40" s="3925" t="n">
        <f t="array" ref="C40">IF(C30&gt;0,C30,0)</f>
        <v>0</v>
      </c>
      <c r="D40" s="3925" t="e">
        <f t="array" ref="D40">IF(D30&gt;0,D30,0)</f>
      </c>
      <c r="E40" s="3925" t="e">
        <f t="array" ref="E40">IF(E30&gt;0,E30,0)</f>
      </c>
      <c r="F40" s="3925" t="e">
        <f t="array" ref="F40">IF(F30&gt;0,F30,0)</f>
      </c>
      <c r="G40" s="3925" t="e">
        <f t="array" ref="G40">IF(G30&gt;0,G30,0)</f>
      </c>
      <c r="H40" s="3925" t="e">
        <f t="array" ref="H40">IF(H30&gt;0,H30,0)</f>
      </c>
      <c r="I40" s="3925" t="e">
        <f t="array" ref="I40">IF(I30&gt;0,I30,0)</f>
      </c>
      <c r="J40" s="3925" t="e">
        <f t="array" ref="J40">IF(J30&gt;0,J30,0)</f>
      </c>
      <c r="K40" s="3925" t="e">
        <f t="array" ref="K40">IF(K30&gt;0,K30,0)</f>
      </c>
      <c r="L40" s="3925" t="e">
        <f t="array" ref="L40">IF(L30&gt;0,L30,0)</f>
      </c>
      <c r="M40" s="39" t="n"/>
    </row>
    <row r="41" s="3154" customFormat="1" ht="14.25" customHeight="1">
      <c r="A41" s="1967" t="inlineStr">
        <is>
          <t xml:space="preserve">Cash Flow for NI Tab</t>
        </is>
      </c>
      <c r="B41" s="3926" t="n">
        <f t="array" ref="B41">SUM(B39:B40)</f>
        <v>0</v>
      </c>
      <c r="C41" s="3926" t="n">
        <f t="array" ref="C41">SUM(C39:C40)</f>
        <v>0</v>
      </c>
      <c r="D41" s="3926" t="e">
        <f t="array" ref="D41">SUM(D39:D40)</f>
      </c>
      <c r="E41" s="3926" t="e">
        <f t="array" ref="E41">SUM(E39:E40)</f>
      </c>
      <c r="F41" s="3926" t="e">
        <f t="array" ref="F41">SUM(F39:F40)</f>
      </c>
      <c r="G41" s="3926" t="e">
        <f t="array" ref="G41">SUM(G39:G40)</f>
      </c>
      <c r="H41" s="3926" t="e">
        <f t="array" ref="H41">SUM(H39:H40)</f>
      </c>
      <c r="I41" s="3926" t="e">
        <f t="array" ref="I41">SUM(I39:I40)</f>
      </c>
      <c r="J41" s="3926" t="e">
        <f t="array" ref="J41">SUM(J39:J40)</f>
      </c>
      <c r="K41" s="3926" t="e">
        <f t="array" ref="K41">SUM(K39:K40)</f>
      </c>
      <c r="L41" s="3926" t="e">
        <f t="array" ref="L41">SUM(L39:L40)</f>
      </c>
      <c r="M41" s="39" t="n"/>
    </row>
    <row r="42" s="3154" customFormat="1" ht="13.5" customHeight="1">
      <c r="A42" s="1969" t="n"/>
      <c r="B42" s="1970" t="n"/>
      <c r="C42" s="1970" t="n"/>
      <c r="D42" s="1970" t="n"/>
      <c r="E42" s="1970" t="n"/>
      <c r="F42" s="1970" t="n"/>
      <c r="G42" s="1970" t="n"/>
      <c r="H42" s="1970" t="n"/>
      <c r="I42" s="1970" t="n"/>
      <c r="J42" s="1970" t="n"/>
      <c r="K42" s="1970" t="n"/>
      <c r="L42" s="1970" t="n"/>
      <c r="M42" s="39" t="n"/>
    </row>
    <row r="43" s="3154" customFormat="1" ht="13.5" customHeight="1">
      <c r="A43" s="627" t="n"/>
      <c r="B43" s="26" t="n"/>
      <c r="C43" s="26" t="n"/>
      <c r="D43" s="26" t="n"/>
      <c r="E43" s="26" t="n"/>
      <c r="F43" s="26" t="n"/>
      <c r="G43" s="26" t="n"/>
      <c r="H43" s="26" t="n"/>
      <c r="I43" s="26" t="n"/>
      <c r="J43" s="26" t="n"/>
      <c r="K43" s="26" t="n"/>
      <c r="L43" s="26" t="n"/>
      <c r="M43" s="39" t="n"/>
    </row>
    <row r="44" s="3154" customFormat="1" ht="13.5" customHeight="1">
      <c r="A44" s="1971" t="inlineStr">
        <is>
          <t xml:space="preserve">[1] Construction loan debt service during construction period assumed to be capitalized and released during construction.  Debt service show here is during Operations and before refi</t>
        </is>
      </c>
      <c r="B44" s="26" t="n"/>
      <c r="C44" s="26" t="n"/>
      <c r="D44" s="26" t="n"/>
      <c r="E44" s="26" t="n"/>
      <c r="F44" s="26" t="n"/>
      <c r="G44" s="26" t="n"/>
      <c r="H44" s="26" t="n"/>
      <c r="I44" s="26" t="n"/>
      <c r="J44" s="26" t="n"/>
      <c r="K44" s="26" t="n"/>
      <c r="L44" s="26" t="n"/>
      <c r="M44" s="39" t="n"/>
    </row>
    <row r="45" s="3154" customFormat="1" ht="13.5" customHeight="1">
      <c r="A45" s="1972" t="inlineStr">
        <is>
          <t xml:space="preserve">[2] Less amortization, if applicable, taken on Perm Loan &amp; Amort Tab</t>
        </is>
      </c>
      <c r="B45" s="634" t="n"/>
      <c r="C45" s="634" t="n"/>
      <c r="D45" s="634" t="n"/>
      <c r="E45" s="634" t="n"/>
      <c r="F45" s="634" t="n"/>
      <c r="G45" s="634" t="n"/>
      <c r="H45" s="634" t="n"/>
      <c r="I45" s="634" t="n"/>
      <c r="J45" s="634" t="n"/>
      <c r="K45" s="634" t="n"/>
      <c r="L45" s="634" t="n"/>
      <c r="M45" s="43" t="n"/>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sheetViews>
    <sheetView showGridLines="0" workbookViewId="0"/>
  </sheetViews>
  <sheetFormatPr baseColWidth="8" defaultColWidth="8.333330154418945" defaultRowHeight="13.5"/>
  <cols>
    <col min="1" max="1" width="24.351600646972656" style="3136" customWidth="1"/>
    <col min="2" max="2" width="12" style="3136" customWidth="1"/>
    <col min="3" max="3" width="11.171899795532227" style="3136" customWidth="1"/>
    <col min="4" max="4" width="8" style="3136" customWidth="1"/>
    <col min="5" max="5" width="8.35155963897705" style="3136" customWidth="1"/>
    <col min="6" max="6" width="45.17190170288086" style="3136" customWidth="1"/>
    <col min="7" max="7" width="9" style="3136" customWidth="1"/>
    <col min="8" max="9" width="13.85159969329834" style="3136" customWidth="1"/>
    <col min="10" max="10" width="13.35159969329834" style="3136" customWidth="1"/>
    <col min="11" max="12" width="8.35155963897705" style="3136" customWidth="1"/>
    <col min="13" max="13" width="11.35159969329834" style="3136" customWidth="1"/>
    <col min="14" max="14" width="8.35155963897705" style="3136" customWidth="1"/>
    <col min="15" max="15" width="8.85155963897705" style="3136" customWidth="1"/>
    <col min="16" max="36" width="8.35155963897705" style="3136" customWidth="1"/>
    <col min="37" max="16384" width="8.35155963897705" style="3136" customWidth="1"/>
  </cols>
  <sheetData>
    <row r="1" s="3154" customFormat="1" ht="19.5" customHeight="1">
      <c r="A1" s="152" t="inlineStr">
        <is>
          <t xml:space="preserve">PROJECT COST DETAIL WORKSHEET</t>
        </is>
      </c>
      <c r="B1" s="3927" t="n"/>
      <c r="C1" s="3928" t="n"/>
      <c r="D1" s="3928" t="n"/>
      <c r="E1" s="3929" t="n"/>
      <c r="F1" s="1891" t="inlineStr">
        <is>
          <t xml:space="preserve">MODEL REVISED: Mar 25, 2025</t>
        </is>
      </c>
      <c r="G1" s="1977" t="inlineStr">
        <is>
          <t xml:space="preserve">HIDE</t>
        </is>
      </c>
      <c r="H1" s="3930" t="n"/>
      <c r="I1" s="3930" t="n"/>
      <c r="J1" s="11" t="n"/>
      <c r="K1" s="11" t="n"/>
      <c r="L1" s="11" t="n"/>
      <c r="M1" s="11" t="n"/>
      <c r="N1" s="11" t="n"/>
      <c r="O1" s="11" t="n"/>
      <c r="P1" s="11" t="n"/>
      <c r="Q1" s="11" t="n"/>
      <c r="R1" s="11" t="n"/>
      <c r="S1" s="11" t="n"/>
      <c r="T1" s="11" t="n"/>
      <c r="U1" s="11" t="n"/>
      <c r="V1" s="11" t="n"/>
      <c r="W1" s="11" t="n"/>
      <c r="X1" s="11" t="n"/>
      <c r="Y1" s="11" t="n"/>
      <c r="Z1" s="11" t="n"/>
      <c r="AA1" s="11" t="n"/>
      <c r="AB1" s="11" t="n"/>
      <c r="AC1" s="11" t="n"/>
      <c r="AD1" s="11" t="n"/>
      <c r="AE1" s="11" t="n"/>
      <c r="AF1" s="11" t="n"/>
      <c r="AG1" s="11" t="n"/>
      <c r="AH1" s="11" t="n"/>
      <c r="AI1" s="11" t="n"/>
      <c r="AJ1" s="13" t="n"/>
    </row>
    <row r="2" s="3154" customFormat="1" ht="17.25" customHeight="1">
      <c r="A2" s="157" t="str">
        <f t="array" ref="A2">'Assumptions'!$D$6&amp;" / "&amp;'Assumptions'!$D$7&amp;" / "&amp;'Assumptions'!$D$9</f>
        <v>INDEPENDENT (No Flag) / SLEEP SPACE — 100-KEY PREFAB (50 EP + 50 E) / Austin, TX</v>
      </c>
      <c r="B2" s="3931" t="n"/>
      <c r="C2" s="158" t="n"/>
      <c r="D2" s="158" t="n"/>
      <c r="E2" s="158" t="n"/>
      <c r="F2" s="1980" t="n"/>
      <c r="G2" s="26" t="n"/>
      <c r="H2" s="26" t="n"/>
      <c r="I2" s="26" t="n"/>
      <c r="J2" s="26" t="n"/>
      <c r="K2" s="26" t="n"/>
      <c r="L2" s="26" t="n"/>
      <c r="M2" s="26" t="n"/>
      <c r="N2" s="26" t="n"/>
      <c r="O2" s="26" t="n"/>
      <c r="P2" s="26" t="n"/>
      <c r="Q2" s="26" t="n"/>
      <c r="R2" s="26" t="n"/>
      <c r="S2" s="26" t="n"/>
      <c r="T2" s="26" t="n"/>
      <c r="U2" s="26" t="n"/>
      <c r="V2" s="26" t="n"/>
      <c r="W2" s="26" t="n"/>
      <c r="X2" s="26" t="n"/>
      <c r="Y2" s="26" t="n"/>
      <c r="Z2" s="26" t="n"/>
      <c r="AA2" s="26" t="n"/>
      <c r="AB2" s="26" t="n"/>
      <c r="AC2" s="26" t="n"/>
      <c r="AD2" s="26" t="n"/>
      <c r="AE2" s="26" t="n"/>
      <c r="AF2" s="26" t="n"/>
      <c r="AG2" s="26" t="n"/>
      <c r="AH2" s="26" t="n"/>
      <c r="AI2" s="26" t="n"/>
      <c r="AJ2" s="27" t="n"/>
    </row>
    <row r="3" s="3154" customFormat="1" ht="13.5" customHeight="1">
      <c r="A3" s="580" t="str">
        <f t="array" ref="A3">'Assumptions'!A3</f>
        <v>Version Notes: Added 1st round of GPM Costs from Pinkerton and Laws. We anticipate further cost savings. </v>
      </c>
      <c r="B3" s="3932" t="n"/>
      <c r="C3" s="26" t="n"/>
      <c r="D3" s="26" t="n"/>
      <c r="E3" s="26" t="n"/>
      <c r="F3" s="1982" t="n"/>
      <c r="G3" s="26" t="n"/>
      <c r="H3" s="26" t="n"/>
      <c r="I3" s="26" t="n"/>
      <c r="J3" s="26" t="n"/>
      <c r="K3" s="26" t="n"/>
      <c r="L3" s="26" t="n"/>
      <c r="M3" s="26" t="n"/>
      <c r="N3" s="26" t="n"/>
      <c r="O3" s="26" t="n"/>
      <c r="P3" s="26" t="n"/>
      <c r="Q3" s="26" t="n"/>
      <c r="R3" s="26" t="n"/>
      <c r="S3" s="26" t="n"/>
      <c r="T3" s="26" t="n"/>
      <c r="U3" s="26" t="n"/>
      <c r="V3" s="26" t="n"/>
      <c r="W3" s="26" t="n"/>
      <c r="X3" s="26" t="n"/>
      <c r="Y3" s="26" t="n"/>
      <c r="Z3" s="26" t="n"/>
      <c r="AA3" s="26" t="n"/>
      <c r="AB3" s="26" t="n"/>
      <c r="AC3" s="26" t="n"/>
      <c r="AD3" s="26" t="n"/>
      <c r="AE3" s="26" t="n"/>
      <c r="AF3" s="26" t="n"/>
      <c r="AG3" s="26" t="n"/>
      <c r="AH3" s="26" t="n"/>
      <c r="AI3" s="26" t="n"/>
      <c r="AJ3" s="27" t="n"/>
    </row>
    <row r="4" s="3154" customFormat="1" ht="13.5" customHeight="1">
      <c r="A4" s="627" t="n"/>
      <c r="B4" s="26" t="n"/>
      <c r="C4" s="26" t="n"/>
      <c r="D4" s="26" t="n"/>
      <c r="E4" s="3364" t="n"/>
      <c r="F4" s="1983" t="n"/>
      <c r="G4" s="26" t="n"/>
      <c r="H4" s="26" t="n"/>
      <c r="I4" s="26" t="n"/>
      <c r="J4" s="26" t="n"/>
      <c r="K4" s="26" t="n"/>
      <c r="L4" s="26" t="n"/>
      <c r="M4" s="26" t="n"/>
      <c r="N4" s="1984" t="inlineStr">
        <is>
          <t xml:space="preserve">SHORT NAME</t>
        </is>
      </c>
      <c r="O4" s="26" t="n"/>
      <c r="P4" s="26" t="n"/>
      <c r="Q4" s="26" t="n"/>
      <c r="R4" s="26" t="n"/>
      <c r="S4" s="26" t="n"/>
      <c r="T4" s="26" t="n"/>
      <c r="U4" s="26" t="n"/>
      <c r="V4" s="26" t="n"/>
      <c r="W4" s="26" t="n"/>
      <c r="X4" s="26" t="n"/>
      <c r="Y4" s="26" t="n"/>
      <c r="Z4" s="26" t="n"/>
      <c r="AA4" s="26" t="n"/>
      <c r="AB4" s="26" t="n"/>
      <c r="AC4" s="26" t="n"/>
      <c r="AD4" s="26" t="n"/>
      <c r="AE4" s="26" t="n"/>
      <c r="AF4" s="26" t="n"/>
      <c r="AG4" s="26" t="n"/>
      <c r="AH4" s="26" t="n"/>
      <c r="AI4" s="26" t="n"/>
      <c r="AJ4" s="27" t="n"/>
    </row>
    <row r="5" s="3154" customFormat="1" ht="13.5" customHeight="1">
      <c r="A5" s="1985" t="inlineStr">
        <is>
          <t xml:space="preserve">LAND &amp; ACQUISTION</t>
        </is>
      </c>
      <c r="B5" s="3933" t="n"/>
      <c r="C5" s="1987" t="inlineStr">
        <is>
          <t xml:space="preserve">TOTAL</t>
        </is>
      </c>
      <c r="D5" s="1987" t="inlineStr">
        <is>
          <t xml:space="preserve">$/GSF</t>
        </is>
      </c>
      <c r="E5" s="1987" t="inlineStr">
        <is>
          <t xml:space="preserve">PKEY</t>
        </is>
      </c>
      <c r="F5" s="1988" t="inlineStr">
        <is>
          <t xml:space="preserve">NOTES</t>
        </is>
      </c>
      <c r="G5" s="26" t="n"/>
      <c r="H5" s="26" t="n"/>
      <c r="I5" s="26" t="n"/>
      <c r="J5" s="26" t="n"/>
      <c r="K5" s="26" t="n"/>
      <c r="L5" s="26" t="n"/>
      <c r="M5" s="26" t="n"/>
      <c r="N5" s="1984" t="inlineStr">
        <is>
          <t xml:space="preserve">LAND &amp; ACQ</t>
        </is>
      </c>
      <c r="O5" s="26" t="n"/>
      <c r="P5" s="26" t="n"/>
      <c r="Q5" s="26" t="n"/>
      <c r="R5" s="26" t="n"/>
      <c r="S5" s="26" t="n"/>
      <c r="T5" s="26" t="n"/>
      <c r="U5" s="26" t="n"/>
      <c r="V5" s="26" t="n"/>
      <c r="W5" s="26" t="n"/>
      <c r="X5" s="26" t="n"/>
      <c r="Y5" s="26" t="n"/>
      <c r="Z5" s="26" t="n"/>
      <c r="AA5" s="26" t="n"/>
      <c r="AB5" s="26" t="n"/>
      <c r="AC5" s="26" t="n"/>
      <c r="AD5" s="26" t="n"/>
      <c r="AE5" s="26" t="n"/>
      <c r="AF5" s="26" t="n"/>
      <c r="AG5" s="26" t="n"/>
      <c r="AH5" s="26" t="n"/>
      <c r="AI5" s="26" t="n"/>
      <c r="AJ5" s="27" t="n"/>
    </row>
    <row r="6" s="3154" customFormat="1" ht="13.5" customHeight="1">
      <c r="A6" s="1989" t="inlineStr">
        <is>
          <t xml:space="preserve">Land</t>
        </is>
      </c>
      <c r="B6" s="3934" t="n">
        <v>0</v>
      </c>
      <c r="C6" s="3935" t="n">
        <v>1200000</v>
      </c>
      <c r="D6" s="3936" t="n">
        <f t="array" ref="D6">C6/'Project Summary'!$I$8</f>
        <v>66.11300796073067</v>
      </c>
      <c r="E6" s="3937" t="n">
        <f t="array" ref="E6">C6/'Project Summary'!$I$7</f>
        <v>12000</v>
      </c>
      <c r="F6" s="1994" t="inlineStr">
        <is>
          <t xml:space="preserve">Land lease (see operating assumptions)</t>
        </is>
      </c>
      <c r="G6" s="1995" t="str">
        <f t="array" ref="G6">IF(AND(E6=0,F6=""),"HIDE","")</f>
      </c>
      <c r="H6" s="26" t="n"/>
      <c r="I6" s="26" t="n"/>
      <c r="J6" s="26" t="n"/>
      <c r="K6" s="26" t="n"/>
      <c r="L6" s="26" t="n"/>
      <c r="M6" s="26" t="n"/>
      <c r="N6" s="26" t="n"/>
      <c r="O6" s="26" t="n"/>
      <c r="P6" s="26" t="n"/>
      <c r="Q6" s="26" t="n"/>
      <c r="R6" s="26" t="n"/>
      <c r="S6" s="26" t="n"/>
      <c r="T6" s="26" t="n"/>
      <c r="U6" s="26" t="n"/>
      <c r="V6" s="26" t="n"/>
      <c r="W6" s="26" t="n"/>
      <c r="X6" s="26" t="n"/>
      <c r="Y6" s="26" t="n"/>
      <c r="Z6" s="26" t="n"/>
      <c r="AA6" s="26" t="n"/>
      <c r="AB6" s="26" t="n"/>
      <c r="AC6" s="26" t="n"/>
      <c r="AD6" s="26" t="n"/>
      <c r="AE6" s="26" t="n"/>
      <c r="AF6" s="26" t="n"/>
      <c r="AG6" s="26" t="n"/>
      <c r="AH6" s="26" t="n"/>
      <c r="AI6" s="26" t="n"/>
      <c r="AJ6" s="27" t="n"/>
    </row>
    <row r="7" s="3154" customFormat="1" ht="13.5" customHeight="1">
      <c r="A7" s="1996" t="inlineStr">
        <is>
          <t xml:space="preserve">Closing Costs</t>
        </is>
      </c>
      <c r="B7" s="3938" t="n">
        <v>0.01</v>
      </c>
      <c r="C7" s="3939" t="n">
        <f t="array" ref="C7">B7*C6</f>
        <v>12000</v>
      </c>
      <c r="D7" s="3940" t="n">
        <f t="array" ref="D7">C7/'Project Summary'!$I$8</f>
        <v>0.6611300796073067</v>
      </c>
      <c r="E7" s="3941" t="n">
        <f t="array" ref="E7">C7/'Project Summary'!$I$7</f>
        <v>120</v>
      </c>
      <c r="F7" s="2001" t="n"/>
      <c r="G7" s="1995" t="str">
        <f t="array" ref="G7">IF(AND(E7=0,F7=""),"HIDE","")</f>
      </c>
      <c r="H7" s="26" t="n"/>
      <c r="I7" s="26" t="n"/>
      <c r="J7" s="26" t="n"/>
      <c r="K7" s="26" t="n"/>
      <c r="L7" s="26" t="n"/>
      <c r="M7" s="26" t="n"/>
      <c r="N7" s="26" t="n"/>
      <c r="O7" s="26" t="n"/>
      <c r="P7" s="26" t="n"/>
      <c r="Q7" s="26" t="n"/>
      <c r="R7" s="26" t="n"/>
      <c r="S7" s="26" t="n"/>
      <c r="T7" s="26" t="n"/>
      <c r="U7" s="26" t="n"/>
      <c r="V7" s="26" t="n"/>
      <c r="W7" s="26" t="n"/>
      <c r="X7" s="26" t="n"/>
      <c r="Y7" s="26" t="n"/>
      <c r="Z7" s="26" t="n"/>
      <c r="AA7" s="26" t="n"/>
      <c r="AB7" s="26" t="n"/>
      <c r="AC7" s="26" t="n"/>
      <c r="AD7" s="26" t="n"/>
      <c r="AE7" s="26" t="n"/>
      <c r="AF7" s="26" t="n"/>
      <c r="AG7" s="26" t="n"/>
      <c r="AH7" s="26" t="n"/>
      <c r="AI7" s="26" t="n"/>
      <c r="AJ7" s="27" t="n"/>
    </row>
    <row r="8" s="3154" customFormat="1" ht="13.5" customHeight="1">
      <c r="A8" s="1996" t="inlineStr">
        <is>
          <t xml:space="preserve">Transfer Tax</t>
        </is>
      </c>
      <c r="B8" s="3938" t="n">
        <v>0.007</v>
      </c>
      <c r="C8" s="3939" t="n">
        <f t="array" ref="C8">B8*C6</f>
        <v>8400</v>
      </c>
      <c r="D8" s="3940" t="n">
        <f t="array" ref="D8">C8/'Project Summary'!$I$8</f>
        <v>0.4627910557251147</v>
      </c>
      <c r="E8" s="3941" t="n">
        <f t="array" ref="E8">C8/'Project Summary'!$I$7</f>
        <v>84</v>
      </c>
      <c r="F8" s="2001" t="n"/>
      <c r="G8" s="1995" t="str">
        <f t="array" ref="G8">IF(AND(E8=0,F8=""),"HIDE","")</f>
      </c>
      <c r="H8" s="26" t="n"/>
      <c r="I8" s="26" t="n"/>
      <c r="J8" s="26" t="n"/>
      <c r="K8" s="26" t="n"/>
      <c r="L8" s="26" t="n"/>
      <c r="M8" s="26" t="n"/>
      <c r="N8" s="26" t="n"/>
      <c r="O8" s="26" t="n"/>
      <c r="P8" s="26" t="n"/>
      <c r="Q8" s="26" t="n"/>
      <c r="R8" s="26" t="n"/>
      <c r="S8" s="26" t="n"/>
      <c r="T8" s="26" t="n"/>
      <c r="U8" s="26" t="n"/>
      <c r="V8" s="26" t="n"/>
      <c r="W8" s="26" t="n"/>
      <c r="X8" s="26" t="n"/>
      <c r="Y8" s="26" t="n"/>
      <c r="Z8" s="26" t="n"/>
      <c r="AA8" s="26" t="n"/>
      <c r="AB8" s="26" t="n"/>
      <c r="AC8" s="26" t="n"/>
      <c r="AD8" s="26" t="n"/>
      <c r="AE8" s="26" t="n"/>
      <c r="AF8" s="26" t="n"/>
      <c r="AG8" s="26" t="n"/>
      <c r="AH8" s="26" t="n"/>
      <c r="AI8" s="26" t="n"/>
      <c r="AJ8" s="27" t="n"/>
    </row>
    <row r="9" s="3154" customFormat="1" ht="13.5" customHeight="1">
      <c r="A9" s="1996" t="inlineStr">
        <is>
          <t xml:space="preserve">Title Fees</t>
        </is>
      </c>
      <c r="B9" s="3942" t="n"/>
      <c r="C9" s="3943" t="n">
        <v>0</v>
      </c>
      <c r="D9" s="3940" t="n">
        <f t="array" ref="D9">C9/'Project Summary'!$I$8</f>
        <v>0</v>
      </c>
      <c r="E9" s="3941" t="n">
        <f t="array" ref="E9">C9/'Project Summary'!$I$7</f>
        <v>0</v>
      </c>
      <c r="F9" s="2001" t="n"/>
      <c r="G9" s="1995" t="str">
        <f t="array" ref="G9">IF(AND(E9=0,F9=""),"HIDE","")</f>
        <v>HIDE</v>
      </c>
      <c r="H9" s="26" t="n"/>
      <c r="I9" s="26" t="n"/>
      <c r="J9" s="26" t="n"/>
      <c r="K9" s="26" t="n"/>
      <c r="L9" s="26" t="n"/>
      <c r="M9" s="26" t="n"/>
      <c r="N9" s="26" t="n"/>
      <c r="O9" s="26" t="n"/>
      <c r="P9" s="26" t="n"/>
      <c r="Q9" s="26" t="n"/>
      <c r="R9" s="26" t="n"/>
      <c r="S9" s="26" t="n"/>
      <c r="T9" s="26" t="n"/>
      <c r="U9" s="26" t="n"/>
      <c r="V9" s="26" t="n"/>
      <c r="W9" s="26" t="n"/>
      <c r="X9" s="26" t="n"/>
      <c r="Y9" s="26" t="n"/>
      <c r="Z9" s="26" t="n"/>
      <c r="AA9" s="26" t="n"/>
      <c r="AB9" s="26" t="n"/>
      <c r="AC9" s="26" t="n"/>
      <c r="AD9" s="26" t="n"/>
      <c r="AE9" s="26" t="n"/>
      <c r="AF9" s="26" t="n"/>
      <c r="AG9" s="26" t="n"/>
      <c r="AH9" s="26" t="n"/>
      <c r="AI9" s="26" t="n"/>
      <c r="AJ9" s="27" t="n"/>
    </row>
    <row r="10" s="3154" customFormat="1" ht="13.5" customHeight="1">
      <c r="A10" s="1996" t="inlineStr">
        <is>
          <t xml:space="preserve">Broker Fees</t>
        </is>
      </c>
      <c r="B10" s="3942" t="n"/>
      <c r="C10" s="3943" t="n">
        <v>0</v>
      </c>
      <c r="D10" s="3940" t="n">
        <f t="array" ref="D10">C10/'Project Summary'!$I$8</f>
        <v>0</v>
      </c>
      <c r="E10" s="3941" t="n">
        <f t="array" ref="E10">C10/'Project Summary'!$I$7</f>
        <v>0</v>
      </c>
      <c r="F10" s="2001" t="n"/>
      <c r="G10" s="1995" t="str">
        <f t="array" ref="G10">IF(AND(E10=0,F10=""),"HIDE","")</f>
        <v>HIDE</v>
      </c>
      <c r="H10" s="26" t="n"/>
      <c r="I10" s="26" t="n"/>
      <c r="J10" s="26" t="n"/>
      <c r="K10" s="26" t="n"/>
      <c r="L10" s="26" t="n"/>
      <c r="M10" s="26" t="n"/>
      <c r="N10" s="26" t="n"/>
      <c r="O10" s="26" t="n"/>
      <c r="P10" s="26" t="n"/>
      <c r="Q10" s="26" t="n"/>
      <c r="R10" s="26" t="n"/>
      <c r="S10" s="26" t="n"/>
      <c r="T10" s="26" t="n"/>
      <c r="U10" s="26" t="n"/>
      <c r="V10" s="26" t="n"/>
      <c r="W10" s="26" t="n"/>
      <c r="X10" s="26" t="n"/>
      <c r="Y10" s="26" t="n"/>
      <c r="Z10" s="26" t="n"/>
      <c r="AA10" s="26" t="n"/>
      <c r="AB10" s="26" t="n"/>
      <c r="AC10" s="26" t="n"/>
      <c r="AD10" s="26" t="n"/>
      <c r="AE10" s="26" t="n"/>
      <c r="AF10" s="26" t="n"/>
      <c r="AG10" s="26" t="n"/>
      <c r="AH10" s="26" t="n"/>
      <c r="AI10" s="26" t="n"/>
      <c r="AJ10" s="27" t="n"/>
    </row>
    <row r="11" s="3154" customFormat="1" ht="13.5" customHeight="1">
      <c r="A11" s="1996" t="inlineStr">
        <is>
          <t xml:space="preserve">Real Estate Tax</t>
        </is>
      </c>
      <c r="B11" s="3942" t="n"/>
      <c r="C11" s="3943" t="n">
        <v>15000</v>
      </c>
      <c r="D11" s="3940" t="n">
        <f t="array" ref="D11">C11/'Project Summary'!$I$8</f>
        <v>0.8264125995091334</v>
      </c>
      <c r="E11" s="3941" t="n">
        <f t="array" ref="E11">C11/'Project Summary'!$I$7</f>
        <v>150</v>
      </c>
      <c r="F11" s="2004" t="inlineStr">
        <is>
          <t xml:space="preserve">Est land carry for 3 years until stabilization</t>
        </is>
      </c>
      <c r="G11" s="1995" t="str">
        <f t="array" ref="G11">IF(AND(E11=0,F11=""),"HIDE","")</f>
      </c>
      <c r="H11" s="26" t="n"/>
      <c r="I11" s="26" t="n"/>
      <c r="J11" s="26" t="n"/>
      <c r="K11" s="26" t="n"/>
      <c r="L11" s="26" t="n"/>
      <c r="M11" s="26" t="n"/>
      <c r="N11" s="26" t="n"/>
      <c r="O11" s="26" t="n"/>
      <c r="P11" s="26" t="n"/>
      <c r="Q11" s="26" t="n"/>
      <c r="R11" s="26" t="n"/>
      <c r="S11" s="26" t="n"/>
      <c r="T11" s="26" t="n"/>
      <c r="U11" s="26" t="n"/>
      <c r="V11" s="26" t="n"/>
      <c r="W11" s="26" t="n"/>
      <c r="X11" s="26" t="n"/>
      <c r="Y11" s="26" t="n"/>
      <c r="Z11" s="26" t="n"/>
      <c r="AA11" s="26" t="n"/>
      <c r="AB11" s="26" t="n"/>
      <c r="AC11" s="26" t="n"/>
      <c r="AD11" s="26" t="n"/>
      <c r="AE11" s="26" t="n"/>
      <c r="AF11" s="26" t="n"/>
      <c r="AG11" s="26" t="n"/>
      <c r="AH11" s="26" t="n"/>
      <c r="AI11" s="26" t="n"/>
      <c r="AJ11" s="27" t="n"/>
    </row>
    <row r="12" s="3154" customFormat="1" ht="13.5" customHeight="1">
      <c r="A12" s="1996" t="inlineStr">
        <is>
          <t xml:space="preserve">Appraisal</t>
        </is>
      </c>
      <c r="B12" s="3942" t="n"/>
      <c r="C12" s="3943" t="n">
        <v>5000</v>
      </c>
      <c r="D12" s="3940" t="n">
        <f t="array" ref="D12">C12/'Project Summary'!$I$8</f>
        <v>0.2754708665030445</v>
      </c>
      <c r="E12" s="3941" t="n">
        <f t="array" ref="E12">C12/'Project Summary'!$I$7</f>
        <v>50</v>
      </c>
      <c r="F12" s="2001" t="n"/>
      <c r="G12" s="1995" t="str">
        <f t="array" ref="G12">IF(AND(E12=0,F12=""),"HIDE","")</f>
      </c>
      <c r="H12" s="26" t="n"/>
      <c r="I12" s="26" t="n"/>
      <c r="J12" s="26" t="n"/>
      <c r="K12" s="26" t="n"/>
      <c r="L12" s="26" t="n"/>
      <c r="M12" s="26" t="n"/>
      <c r="N12" s="26" t="n"/>
      <c r="O12" s="26" t="n"/>
      <c r="P12" s="26" t="n"/>
      <c r="Q12" s="26" t="n"/>
      <c r="R12" s="26" t="n"/>
      <c r="S12" s="26" t="n"/>
      <c r="T12" s="26" t="n"/>
      <c r="U12" s="26" t="n"/>
      <c r="V12" s="26" t="n"/>
      <c r="W12" s="26" t="n"/>
      <c r="X12" s="26" t="n"/>
      <c r="Y12" s="26" t="n"/>
      <c r="Z12" s="26" t="n"/>
      <c r="AA12" s="26" t="n"/>
      <c r="AB12" s="26" t="n"/>
      <c r="AC12" s="26" t="n"/>
      <c r="AD12" s="26" t="n"/>
      <c r="AE12" s="26" t="n"/>
      <c r="AF12" s="26" t="n"/>
      <c r="AG12" s="26" t="n"/>
      <c r="AH12" s="26" t="n"/>
      <c r="AI12" s="26" t="n"/>
      <c r="AJ12" s="27" t="n"/>
    </row>
    <row r="13" s="3154" customFormat="1" ht="13.5" customHeight="1">
      <c r="A13" s="1996" t="inlineStr">
        <is>
          <t xml:space="preserve">Legal Acquistions</t>
        </is>
      </c>
      <c r="B13" s="3942" t="n"/>
      <c r="C13" s="3943" t="n">
        <v>0</v>
      </c>
      <c r="D13" s="3940" t="n">
        <f t="array" ref="D13">C13/'Project Summary'!$I$8</f>
        <v>0</v>
      </c>
      <c r="E13" s="3941" t="n">
        <f t="array" ref="E13">C13/'Project Summary'!$I$7</f>
        <v>0</v>
      </c>
      <c r="F13" s="2001" t="n"/>
      <c r="G13" s="1995" t="str">
        <f t="array" ref="G13">IF(AND(E13=0,F13=""),"HIDE","")</f>
        <v>HIDE</v>
      </c>
      <c r="H13" s="26" t="n"/>
      <c r="I13" s="26" t="n"/>
      <c r="J13" s="26" t="n"/>
      <c r="K13" s="26" t="n"/>
      <c r="L13" s="26" t="n"/>
      <c r="M13" s="26" t="n"/>
      <c r="N13" s="26" t="n"/>
      <c r="O13" s="26" t="n"/>
      <c r="P13" s="26" t="n"/>
      <c r="Q13" s="26" t="n"/>
      <c r="R13" s="26" t="n"/>
      <c r="S13" s="26" t="n"/>
      <c r="T13" s="26" t="n"/>
      <c r="U13" s="26" t="n"/>
      <c r="V13" s="26" t="n"/>
      <c r="W13" s="26" t="n"/>
      <c r="X13" s="26" t="n"/>
      <c r="Y13" s="26" t="n"/>
      <c r="Z13" s="26" t="n"/>
      <c r="AA13" s="26" t="n"/>
      <c r="AB13" s="26" t="n"/>
      <c r="AC13" s="26" t="n"/>
      <c r="AD13" s="26" t="n"/>
      <c r="AE13" s="26" t="n"/>
      <c r="AF13" s="26" t="n"/>
      <c r="AG13" s="26" t="n"/>
      <c r="AH13" s="26" t="n"/>
      <c r="AI13" s="26" t="n"/>
      <c r="AJ13" s="27" t="n"/>
    </row>
    <row r="14" s="3154" customFormat="1" ht="13.5" customHeight="1">
      <c r="A14" s="1996" t="inlineStr">
        <is>
          <t xml:space="preserve">Land Option Fee</t>
        </is>
      </c>
      <c r="B14" s="3942" t="n"/>
      <c r="C14" s="3943" t="n">
        <v>0</v>
      </c>
      <c r="D14" s="3940" t="n">
        <f t="array" ref="D14">C14/'Project Summary'!$I$8</f>
        <v>0</v>
      </c>
      <c r="E14" s="3941" t="n">
        <f t="array" ref="E14">C14/'Project Summary'!$I$7</f>
        <v>0</v>
      </c>
      <c r="F14" s="2005" t="n"/>
      <c r="G14" s="1995" t="str">
        <f t="array" ref="G14">IF(AND(E14=0,F14=""),"HIDE","")</f>
        <v>HIDE</v>
      </c>
      <c r="H14" s="26" t="n"/>
      <c r="I14" s="26" t="n"/>
      <c r="J14" s="26" t="n"/>
      <c r="K14" s="26" t="n"/>
      <c r="L14" s="26" t="n"/>
      <c r="M14" s="26" t="n"/>
      <c r="N14" s="26" t="n"/>
      <c r="O14" s="26" t="n"/>
      <c r="P14" s="26" t="n"/>
      <c r="Q14" s="26" t="n"/>
      <c r="R14" s="26" t="n"/>
      <c r="S14" s="26" t="n"/>
      <c r="T14" s="26" t="n"/>
      <c r="U14" s="26" t="n"/>
      <c r="V14" s="26" t="n"/>
      <c r="W14" s="26" t="n"/>
      <c r="X14" s="26" t="n"/>
      <c r="Y14" s="26" t="n"/>
      <c r="Z14" s="26" t="n"/>
      <c r="AA14" s="26" t="n"/>
      <c r="AB14" s="26" t="n"/>
      <c r="AC14" s="26" t="n"/>
      <c r="AD14" s="26" t="n"/>
      <c r="AE14" s="26" t="n"/>
      <c r="AF14" s="26" t="n"/>
      <c r="AG14" s="26" t="n"/>
      <c r="AH14" s="26" t="n"/>
      <c r="AI14" s="26" t="n"/>
      <c r="AJ14" s="27" t="n"/>
    </row>
    <row r="15" s="3154" customFormat="1" ht="13.5" customHeight="1">
      <c r="A15" s="1996" t="inlineStr">
        <is>
          <t xml:space="preserve">Third Party Reports</t>
        </is>
      </c>
      <c r="B15" s="3942" t="n"/>
      <c r="C15" s="3943" t="n">
        <v>0</v>
      </c>
      <c r="D15" s="3940" t="n">
        <f t="array" ref="D15">C15/'Project Summary'!$I$8</f>
        <v>0</v>
      </c>
      <c r="E15" s="3941" t="n">
        <f t="array" ref="E15">C15/'Project Summary'!$I$7</f>
        <v>0</v>
      </c>
      <c r="F15" s="2001" t="n"/>
      <c r="G15" s="1995" t="str">
        <f t="array" ref="G15">IF(AND(E15=0,F15=""),"HIDE","")</f>
        <v>HIDE</v>
      </c>
      <c r="H15" s="26" t="n"/>
      <c r="I15" s="26" t="n"/>
      <c r="J15" s="26" t="n"/>
      <c r="K15" s="26" t="n"/>
      <c r="L15" s="26" t="n"/>
      <c r="M15" s="26" t="n"/>
      <c r="N15" s="26" t="n"/>
      <c r="O15" s="26" t="n"/>
      <c r="P15" s="26" t="n"/>
      <c r="Q15" s="26" t="n"/>
      <c r="R15" s="26" t="n"/>
      <c r="S15" s="26" t="n"/>
      <c r="T15" s="26" t="n"/>
      <c r="U15" s="26" t="n"/>
      <c r="V15" s="26" t="n"/>
      <c r="W15" s="26" t="n"/>
      <c r="X15" s="26" t="n"/>
      <c r="Y15" s="26" t="n"/>
      <c r="Z15" s="26" t="n"/>
      <c r="AA15" s="26" t="n"/>
      <c r="AB15" s="26" t="n"/>
      <c r="AC15" s="26" t="n"/>
      <c r="AD15" s="26" t="n"/>
      <c r="AE15" s="26" t="n"/>
      <c r="AF15" s="26" t="n"/>
      <c r="AG15" s="26" t="n"/>
      <c r="AH15" s="26" t="n"/>
      <c r="AI15" s="26" t="n"/>
      <c r="AJ15" s="27" t="n"/>
    </row>
    <row r="16" s="3154" customFormat="1" ht="13.5" customHeight="1">
      <c r="A16" s="2006" t="str">
        <f t="array" ref="A16">"Subtotal: "&amp;A5</f>
        <v>Subtotal: LAND &amp; ACQUISTION</v>
      </c>
      <c r="B16" s="3944" t="n"/>
      <c r="C16" s="3945" t="n">
        <f t="array" ref="C16">SUM(C6:C15)</f>
        <v>1240400</v>
      </c>
      <c r="D16" s="3946" t="n">
        <f t="array" ref="D16">SUM(D6:D15)</f>
        <v>68.33881256207528</v>
      </c>
      <c r="E16" s="3945" t="n">
        <f t="array" ref="E16">SUM(E6:E15)</f>
        <v>12404</v>
      </c>
      <c r="F16" s="2010" t="n"/>
      <c r="G16" s="26" t="n"/>
      <c r="H16" s="26" t="n"/>
      <c r="I16" s="26" t="n"/>
      <c r="J16" s="3364" t="n">
        <f t="array" ref="J16">$B$24*C16</f>
        <v>37212</v>
      </c>
      <c r="K16" s="26" t="n"/>
      <c r="L16" s="26" t="n"/>
      <c r="M16" s="26" t="n"/>
      <c r="N16" s="26" t="n"/>
      <c r="O16" s="26" t="n"/>
      <c r="P16" s="26" t="n"/>
      <c r="Q16" s="26" t="n"/>
      <c r="R16" s="26" t="n"/>
      <c r="S16" s="26" t="n"/>
      <c r="T16" s="26" t="n"/>
      <c r="U16" s="26" t="n"/>
      <c r="V16" s="26" t="n"/>
      <c r="W16" s="26" t="n"/>
      <c r="X16" s="26" t="n"/>
      <c r="Y16" s="26" t="n"/>
      <c r="Z16" s="26" t="n"/>
      <c r="AA16" s="26" t="n"/>
      <c r="AB16" s="26" t="n"/>
      <c r="AC16" s="26" t="n"/>
      <c r="AD16" s="26" t="n"/>
      <c r="AE16" s="26" t="n"/>
      <c r="AF16" s="26" t="n"/>
      <c r="AG16" s="26" t="n"/>
      <c r="AH16" s="26" t="n"/>
      <c r="AI16" s="26" t="n"/>
      <c r="AJ16" s="27" t="n"/>
    </row>
    <row r="17" s="3154" customFormat="1" ht="8" customHeight="1">
      <c r="A17" s="2011" t="n"/>
      <c r="B17" s="3947" t="n"/>
      <c r="C17" s="26" t="n"/>
      <c r="D17" s="3948" t="n"/>
      <c r="E17" s="3364" t="n"/>
      <c r="F17" s="1983" t="n"/>
      <c r="G17" s="26" t="n"/>
      <c r="H17" s="26" t="n"/>
      <c r="I17" s="26" t="n"/>
      <c r="J17" s="26" t="n"/>
      <c r="K17" s="26" t="n"/>
      <c r="L17" s="26" t="n"/>
      <c r="M17" s="26" t="n"/>
      <c r="N17" s="26" t="n"/>
      <c r="O17" s="26" t="n"/>
      <c r="P17" s="26" t="n"/>
      <c r="Q17" s="26" t="n"/>
      <c r="R17" s="26" t="n"/>
      <c r="S17" s="26" t="n"/>
      <c r="T17" s="26" t="n"/>
      <c r="U17" s="26" t="n"/>
      <c r="V17" s="26" t="n"/>
      <c r="W17" s="26" t="n"/>
      <c r="X17" s="26" t="n"/>
      <c r="Y17" s="26" t="n"/>
      <c r="Z17" s="26" t="n"/>
      <c r="AA17" s="26" t="n"/>
      <c r="AB17" s="26" t="n"/>
      <c r="AC17" s="26" t="n"/>
      <c r="AD17" s="26" t="n"/>
      <c r="AE17" s="26" t="n"/>
      <c r="AF17" s="26" t="n"/>
      <c r="AG17" s="26" t="n"/>
      <c r="AH17" s="26" t="n"/>
      <c r="AI17" s="26" t="n"/>
      <c r="AJ17" s="27" t="n"/>
    </row>
    <row r="18" s="3154" customFormat="1" ht="13.5" customHeight="1">
      <c r="A18" s="1985" t="inlineStr">
        <is>
          <t xml:space="preserve">DEVELOPMENT &amp; PLANNING</t>
        </is>
      </c>
      <c r="B18" s="3933" t="n"/>
      <c r="C18" s="1987" t="inlineStr">
        <is>
          <t xml:space="preserve">TOTAL</t>
        </is>
      </c>
      <c r="D18" s="1987" t="inlineStr">
        <is>
          <t xml:space="preserve">$/GSF</t>
        </is>
      </c>
      <c r="E18" s="1987" t="inlineStr">
        <is>
          <t xml:space="preserve">PKEY</t>
        </is>
      </c>
      <c r="F18" s="1988" t="inlineStr">
        <is>
          <t xml:space="preserve">NOTES</t>
        </is>
      </c>
      <c r="G18" s="26" t="n"/>
      <c r="H18" s="26" t="n"/>
      <c r="I18" s="26" t="n"/>
      <c r="J18" s="26" t="n"/>
      <c r="K18" s="26" t="n"/>
      <c r="L18" s="26" t="n"/>
      <c r="M18" s="26" t="n"/>
      <c r="N18" s="1984" t="inlineStr">
        <is>
          <t xml:space="preserve">DEV &amp; PLANNING</t>
        </is>
      </c>
      <c r="O18" s="26" t="n"/>
      <c r="P18" s="26" t="n"/>
      <c r="Q18" s="26" t="n"/>
      <c r="R18" s="26" t="n"/>
      <c r="S18" s="26" t="n"/>
      <c r="T18" s="26" t="n"/>
      <c r="U18" s="26" t="n"/>
      <c r="V18" s="26" t="n"/>
      <c r="W18" s="26" t="n"/>
      <c r="X18" s="26" t="n"/>
      <c r="Y18" s="26" t="n"/>
      <c r="Z18" s="26" t="n"/>
      <c r="AA18" s="26" t="n"/>
      <c r="AB18" s="26" t="n"/>
      <c r="AC18" s="26" t="n"/>
      <c r="AD18" s="26" t="n"/>
      <c r="AE18" s="26" t="n"/>
      <c r="AF18" s="26" t="n"/>
      <c r="AG18" s="26" t="n"/>
      <c r="AH18" s="26" t="n"/>
      <c r="AI18" s="26" t="n"/>
      <c r="AJ18" s="27" t="n"/>
    </row>
    <row r="19" s="3154" customFormat="1" ht="13.5" customHeight="1">
      <c r="A19" s="1989" t="inlineStr">
        <is>
          <t xml:space="preserve">Legal - Land Use</t>
        </is>
      </c>
      <c r="B19" s="3949" t="n"/>
      <c r="C19" s="3950" t="n">
        <v>25000</v>
      </c>
      <c r="D19" s="3936" t="n">
        <f t="array" ref="D19">C19/'Project Summary'!$I$8</f>
        <v>1.3773543325152222</v>
      </c>
      <c r="E19" s="3937" t="n">
        <f t="array" ref="E19">C19/'Project Summary'!$I$7</f>
        <v>250</v>
      </c>
      <c r="F19" s="1994" t="inlineStr">
        <is>
          <t xml:space="preserve">EST: Land use, easements, closing, OZ docs, etc.</t>
        </is>
      </c>
      <c r="G19" s="1995" t="str">
        <f t="array" ref="G19">IF(AND(E19=0,F19=""),"HIDE","")</f>
      </c>
      <c r="H19" s="26" t="n"/>
      <c r="I19" s="26" t="n"/>
      <c r="J19" s="26" t="n"/>
      <c r="K19" s="26" t="n"/>
      <c r="L19" s="26" t="n"/>
      <c r="M19" s="26" t="n"/>
      <c r="N19" s="26" t="n"/>
      <c r="O19" s="26" t="n"/>
      <c r="P19" s="26" t="n"/>
      <c r="Q19" s="26" t="n"/>
      <c r="R19" s="26" t="n"/>
      <c r="S19" s="26" t="n"/>
      <c r="T19" s="26" t="n"/>
      <c r="U19" s="26" t="n"/>
      <c r="V19" s="26" t="n"/>
      <c r="W19" s="26" t="n"/>
      <c r="X19" s="26" t="n"/>
      <c r="Y19" s="26" t="n"/>
      <c r="Z19" s="26" t="n"/>
      <c r="AA19" s="26" t="n"/>
      <c r="AB19" s="26" t="n"/>
      <c r="AC19" s="26" t="n"/>
      <c r="AD19" s="26" t="n"/>
      <c r="AE19" s="26" t="n"/>
      <c r="AF19" s="26" t="n"/>
      <c r="AG19" s="26" t="n"/>
      <c r="AH19" s="26" t="n"/>
      <c r="AI19" s="26" t="n"/>
      <c r="AJ19" s="27" t="n"/>
    </row>
    <row r="20" s="3154" customFormat="1" ht="13.5" customHeight="1">
      <c r="A20" s="1996" t="inlineStr">
        <is>
          <t xml:space="preserve">Surveyor</t>
        </is>
      </c>
      <c r="B20" s="3942" t="n"/>
      <c r="C20" s="3951" t="n">
        <v>0</v>
      </c>
      <c r="D20" s="3940" t="n">
        <f t="array" ref="D20">C20/'Project Summary'!$I$8</f>
        <v>0</v>
      </c>
      <c r="E20" s="3941" t="n">
        <f t="array" ref="E20">C20/'Project Summary'!$I$7</f>
        <v>0</v>
      </c>
      <c r="F20" s="2017" t="inlineStr">
        <is>
          <t xml:space="preserve">Included in Engineer-Civil below</t>
        </is>
      </c>
      <c r="G20" s="1995" t="str">
        <f t="array" ref="G20">IF(AND(E20=0,F20=""),"HIDE","")</f>
      </c>
      <c r="H20" s="26" t="n"/>
      <c r="I20" s="26" t="n"/>
      <c r="J20" s="26" t="n"/>
      <c r="K20" s="26" t="n"/>
      <c r="L20" s="26" t="n"/>
      <c r="M20" s="26" t="n"/>
      <c r="N20" s="26" t="n"/>
      <c r="O20" s="26" t="n"/>
      <c r="P20" s="26" t="n"/>
      <c r="Q20" s="26" t="n"/>
      <c r="R20" s="26" t="n"/>
      <c r="S20" s="26" t="n"/>
      <c r="T20" s="26" t="n"/>
      <c r="U20" s="26" t="n"/>
      <c r="V20" s="26" t="n"/>
      <c r="W20" s="26" t="n"/>
      <c r="X20" s="26" t="n"/>
      <c r="Y20" s="26" t="n"/>
      <c r="Z20" s="26" t="n"/>
      <c r="AA20" s="26" t="n"/>
      <c r="AB20" s="26" t="n"/>
      <c r="AC20" s="26" t="n"/>
      <c r="AD20" s="26" t="n"/>
      <c r="AE20" s="26" t="n"/>
      <c r="AF20" s="26" t="n"/>
      <c r="AG20" s="26" t="n"/>
      <c r="AH20" s="26" t="n"/>
      <c r="AI20" s="26" t="n"/>
      <c r="AJ20" s="27" t="n"/>
    </row>
    <row r="21" s="3154" customFormat="1" ht="13.5" customHeight="1">
      <c r="A21" s="1996" t="inlineStr">
        <is>
          <t xml:space="preserve">Accounting Fees</t>
        </is>
      </c>
      <c r="B21" s="3942" t="n"/>
      <c r="C21" s="3952" t="n">
        <v>10000</v>
      </c>
      <c r="D21" s="3940" t="n">
        <f t="array" ref="D21">C21/'Project Summary'!$I$8</f>
        <v>0.550941733006089</v>
      </c>
      <c r="E21" s="3941" t="n">
        <f t="array" ref="E21">C21/'Project Summary'!$I$7</f>
        <v>100</v>
      </c>
      <c r="F21" s="2004" t="inlineStr">
        <is>
          <t xml:space="preserve">EST: 2 yrs of OZ accounting fees and audits</t>
        </is>
      </c>
      <c r="G21" s="1995" t="str">
        <f t="array" ref="G21">IF(AND(E21=0,F21=""),"HIDE","")</f>
      </c>
      <c r="H21" s="26" t="n"/>
      <c r="I21" s="26" t="n"/>
      <c r="J21" s="26" t="n"/>
      <c r="K21" s="26" t="n"/>
      <c r="L21" s="26" t="n"/>
      <c r="M21" s="26" t="n"/>
      <c r="N21" s="26" t="n"/>
      <c r="O21" s="26" t="n"/>
      <c r="P21" s="26" t="n"/>
      <c r="Q21" s="26" t="n"/>
      <c r="R21" s="26" t="n"/>
      <c r="S21" s="26" t="n"/>
      <c r="T21" s="26" t="n"/>
      <c r="U21" s="26" t="n"/>
      <c r="V21" s="26" t="n"/>
      <c r="W21" s="26" t="n"/>
      <c r="X21" s="26" t="n"/>
      <c r="Y21" s="26" t="n"/>
      <c r="Z21" s="26" t="n"/>
      <c r="AA21" s="26" t="n"/>
      <c r="AB21" s="26" t="n"/>
      <c r="AC21" s="26" t="n"/>
      <c r="AD21" s="26" t="n"/>
      <c r="AE21" s="26" t="n"/>
      <c r="AF21" s="26" t="n"/>
      <c r="AG21" s="26" t="n"/>
      <c r="AH21" s="26" t="n"/>
      <c r="AI21" s="26" t="n"/>
      <c r="AJ21" s="27" t="n"/>
    </row>
    <row r="22" s="3154" customFormat="1" ht="13.5" customHeight="1">
      <c r="A22" s="1996" t="inlineStr">
        <is>
          <t xml:space="preserve">Hotel Franchise Fee</t>
        </is>
      </c>
      <c r="B22" s="3942" t="n"/>
      <c r="C22" s="3943" t="n">
        <v>0</v>
      </c>
      <c r="D22" s="3940" t="n">
        <f t="array" ref="D22">C22/'Project Summary'!$I$8</f>
        <v>0</v>
      </c>
      <c r="E22" s="3941" t="n">
        <f t="array" ref="E22">C22/'Project Summary'!$I$7</f>
        <v>0</v>
      </c>
      <c r="F22" s="2004" t="inlineStr">
        <is>
          <t xml:space="preserve">FINAL:  Franchise fee per FDD</t>
        </is>
      </c>
      <c r="G22" s="1995" t="str">
        <f t="array" ref="G22">IF(AND(E22=0,F22=""),"HIDE","")</f>
      </c>
      <c r="H22" s="26" t="n"/>
      <c r="I22" s="26" t="n"/>
      <c r="J22" s="26" t="n"/>
      <c r="K22" s="26" t="n"/>
      <c r="L22" s="26" t="n"/>
      <c r="M22" s="26" t="n"/>
      <c r="N22" s="26" t="n"/>
      <c r="O22" s="26" t="n"/>
      <c r="P22" s="26" t="n"/>
      <c r="Q22" s="26" t="n"/>
      <c r="R22" s="26" t="n"/>
      <c r="S22" s="26" t="n"/>
      <c r="T22" s="26" t="n"/>
      <c r="U22" s="26" t="n"/>
      <c r="V22" s="26" t="n"/>
      <c r="W22" s="26" t="n"/>
      <c r="X22" s="26" t="n"/>
      <c r="Y22" s="26" t="n"/>
      <c r="Z22" s="26" t="n"/>
      <c r="AA22" s="26" t="n"/>
      <c r="AB22" s="26" t="n"/>
      <c r="AC22" s="26" t="n"/>
      <c r="AD22" s="26" t="n"/>
      <c r="AE22" s="26" t="n"/>
      <c r="AF22" s="26" t="n"/>
      <c r="AG22" s="26" t="n"/>
      <c r="AH22" s="26" t="n"/>
      <c r="AI22" s="26" t="n"/>
      <c r="AJ22" s="27" t="n"/>
    </row>
    <row r="23" s="3154" customFormat="1" ht="13.5" customHeight="1">
      <c r="A23" s="1996" t="inlineStr">
        <is>
          <t xml:space="preserve">Feasibility Analysis</t>
        </is>
      </c>
      <c r="B23" s="3942" t="n"/>
      <c r="C23" s="3943" t="n">
        <v>10000</v>
      </c>
      <c r="D23" s="3940" t="n">
        <f t="array" ref="D23">C23/'Project Summary'!$I$8</f>
        <v>0.550941733006089</v>
      </c>
      <c r="E23" s="3941" t="n">
        <f t="array" ref="E23">C23/'Project Summary'!$I$7</f>
        <v>100</v>
      </c>
      <c r="F23" s="2004" t="inlineStr">
        <is>
          <t xml:space="preserve">EST: PKF/HVS or similar for occ-rate &amp; cash flow, if needed</t>
        </is>
      </c>
      <c r="G23" s="1995" t="str">
        <f t="array" ref="G23">IF(AND(E23=0,F23=""),"HIDE","")</f>
      </c>
      <c r="H23" s="26" t="n"/>
      <c r="I23" s="26" t="n"/>
      <c r="J23" s="26" t="n"/>
      <c r="K23" s="26" t="n"/>
      <c r="L23" s="26" t="n"/>
      <c r="M23" s="26" t="n"/>
      <c r="N23" s="26" t="n"/>
      <c r="O23" s="26" t="n"/>
      <c r="P23" s="26" t="n"/>
      <c r="Q23" s="26" t="n"/>
      <c r="R23" s="26" t="n"/>
      <c r="S23" s="26" t="n"/>
      <c r="T23" s="26" t="n"/>
      <c r="U23" s="26" t="n"/>
      <c r="V23" s="26" t="n"/>
      <c r="W23" s="26" t="n"/>
      <c r="X23" s="26" t="n"/>
      <c r="Y23" s="26" t="n"/>
      <c r="Z23" s="26" t="n"/>
      <c r="AA23" s="26" t="n"/>
      <c r="AB23" s="26" t="n"/>
      <c r="AC23" s="26" t="n"/>
      <c r="AD23" s="26" t="n"/>
      <c r="AE23" s="26" t="n"/>
      <c r="AF23" s="26" t="n"/>
      <c r="AG23" s="26" t="n"/>
      <c r="AH23" s="26" t="n"/>
      <c r="AI23" s="26" t="n"/>
      <c r="AJ23" s="27" t="n"/>
    </row>
    <row r="24" s="3154" customFormat="1" ht="13.5" customHeight="1">
      <c r="A24" s="1996" t="inlineStr">
        <is>
          <t xml:space="preserve">Developer Fee</t>
        </is>
      </c>
      <c r="B24" s="3942" t="n">
        <f t="array" ref="B24">'Assumptions'!D108</f>
        <v>0.03</v>
      </c>
      <c r="C24" s="3953" t="n">
        <v>75000</v>
      </c>
      <c r="D24" s="3940" t="n">
        <f t="array" ref="D24">C24/'Project Summary'!$I$8</f>
        <v>4.132062997545667</v>
      </c>
      <c r="E24" s="3941" t="n">
        <f t="array" ref="E24">C24/'Project Summary'!$I$7</f>
        <v>750</v>
      </c>
      <c r="F24" s="2020" t="inlineStr">
        <is>
          <t xml:space="preserve">EST:  TBD based on discussion with SR/RD</t>
        </is>
      </c>
      <c r="G24" s="1995" t="str">
        <f t="array" ref="G24">IF(AND(E24=0,F24=""),"HIDE","")</f>
      </c>
      <c r="H24" s="3364" t="n">
        <f t="array" ref="H24">CEILING(SUM($J1:$J205),10000)</f>
        <v>220000</v>
      </c>
      <c r="I24" s="3364" t="n"/>
      <c r="J24" s="26" t="n"/>
      <c r="K24" s="26" t="n"/>
      <c r="L24" s="26" t="n"/>
      <c r="M24" s="26" t="n"/>
      <c r="N24" s="26" t="n"/>
      <c r="O24" s="26" t="n"/>
      <c r="P24" s="26" t="n"/>
      <c r="Q24" s="26" t="n"/>
      <c r="R24" s="26" t="n"/>
      <c r="S24" s="26" t="n"/>
      <c r="T24" s="26" t="n"/>
      <c r="U24" s="26" t="n"/>
      <c r="V24" s="26" t="n"/>
      <c r="W24" s="26" t="n"/>
      <c r="X24" s="26" t="n"/>
      <c r="Y24" s="26" t="n"/>
      <c r="Z24" s="26" t="n"/>
      <c r="AA24" s="26" t="n"/>
      <c r="AB24" s="26" t="n"/>
      <c r="AC24" s="26" t="n"/>
      <c r="AD24" s="26" t="n"/>
      <c r="AE24" s="26" t="n"/>
      <c r="AF24" s="26" t="n"/>
      <c r="AG24" s="26" t="n"/>
      <c r="AH24" s="26" t="n"/>
      <c r="AI24" s="26" t="n"/>
      <c r="AJ24" s="27" t="n"/>
    </row>
    <row r="25" s="3154" customFormat="1" ht="13.5" customHeight="1">
      <c r="A25" s="1996" t="inlineStr">
        <is>
          <t xml:space="preserve">Other Planning Costs</t>
        </is>
      </c>
      <c r="B25" s="3942" t="n"/>
      <c r="C25" s="3943" t="n">
        <v>0</v>
      </c>
      <c r="D25" s="3940" t="n">
        <f t="array" ref="D25">C25/'Project Summary'!$I$8</f>
        <v>0</v>
      </c>
      <c r="E25" s="3941" t="n">
        <f t="array" ref="E25">C25/'Project Summary'!$I$7</f>
        <v>0</v>
      </c>
      <c r="F25" s="2001" t="n"/>
      <c r="G25" s="1995" t="str">
        <f t="array" ref="G25">IF(AND(E25=0,F25=""),"HIDE","")</f>
        <v>HIDE</v>
      </c>
      <c r="H25" s="26" t="n"/>
      <c r="I25" s="26" t="n"/>
      <c r="J25" s="26" t="n"/>
      <c r="K25" s="26" t="n"/>
      <c r="L25" s="26" t="n"/>
      <c r="M25" s="26" t="n"/>
      <c r="N25" s="26" t="n"/>
      <c r="O25" s="26" t="n"/>
      <c r="P25" s="26" t="n"/>
      <c r="Q25" s="26" t="n"/>
      <c r="R25" s="26" t="n"/>
      <c r="S25" s="26" t="n"/>
      <c r="T25" s="26" t="n"/>
      <c r="U25" s="26" t="n"/>
      <c r="V25" s="26" t="n"/>
      <c r="W25" s="26" t="n"/>
      <c r="X25" s="26" t="n"/>
      <c r="Y25" s="26" t="n"/>
      <c r="Z25" s="26" t="n"/>
      <c r="AA25" s="26" t="n"/>
      <c r="AB25" s="26" t="n"/>
      <c r="AC25" s="26" t="n"/>
      <c r="AD25" s="26" t="n"/>
      <c r="AE25" s="26" t="n"/>
      <c r="AF25" s="26" t="n"/>
      <c r="AG25" s="26" t="n"/>
      <c r="AH25" s="26" t="n"/>
      <c r="AI25" s="26" t="n"/>
      <c r="AJ25" s="27" t="n"/>
    </row>
    <row r="26" s="3154" customFormat="1" ht="13.5" customHeight="1">
      <c r="A26" s="2006" t="str">
        <f t="array" ref="A26">"Subtotal: "&amp;A18</f>
        <v>Subtotal: DEVELOPMENT &amp; PLANNING</v>
      </c>
      <c r="B26" s="3944" t="n"/>
      <c r="C26" s="3945" t="n">
        <f t="array" ref="C26">SUM(C19:C25)</f>
        <v>120000</v>
      </c>
      <c r="D26" s="3946" t="n">
        <f t="array" ref="D26">SUM(D19:D25)</f>
        <v>6.611300796073067</v>
      </c>
      <c r="E26" s="3945" t="n">
        <f t="array" ref="E26">SUM(E19:E25)</f>
        <v>1200</v>
      </c>
      <c r="F26" s="2010" t="n"/>
      <c r="G26" s="26" t="n"/>
      <c r="H26" s="26" t="n"/>
      <c r="I26" s="26" t="n"/>
      <c r="J26" s="3364" t="n">
        <f t="array" ref="J26">C24/C26</f>
        <v>0.625</v>
      </c>
      <c r="K26" s="26" t="n"/>
      <c r="L26" s="26" t="n"/>
      <c r="M26" s="26" t="n"/>
      <c r="N26" s="26" t="n"/>
      <c r="O26" s="26" t="n"/>
      <c r="P26" s="26" t="n"/>
      <c r="Q26" s="26" t="n"/>
      <c r="R26" s="26" t="n"/>
      <c r="S26" s="26" t="n"/>
      <c r="T26" s="26" t="n"/>
      <c r="U26" s="26" t="n"/>
      <c r="V26" s="26" t="n"/>
      <c r="W26" s="26" t="n"/>
      <c r="X26" s="26" t="n"/>
      <c r="Y26" s="26" t="n"/>
      <c r="Z26" s="26" t="n"/>
      <c r="AA26" s="26" t="n"/>
      <c r="AB26" s="26" t="n"/>
      <c r="AC26" s="26" t="n"/>
      <c r="AD26" s="26" t="n"/>
      <c r="AE26" s="26" t="n"/>
      <c r="AF26" s="26" t="n"/>
      <c r="AG26" s="26" t="n"/>
      <c r="AH26" s="26" t="n"/>
      <c r="AI26" s="26" t="n"/>
      <c r="AJ26" s="27" t="n"/>
    </row>
    <row r="27" s="3154" customFormat="1" ht="8" customHeight="1">
      <c r="A27" s="2021" t="n"/>
      <c r="B27" s="26" t="n"/>
      <c r="C27" s="26" t="n"/>
      <c r="D27" s="26" t="n"/>
      <c r="E27" s="26" t="n"/>
      <c r="F27" s="1983" t="n"/>
      <c r="G27" s="26" t="n"/>
      <c r="H27" s="26" t="n"/>
      <c r="I27" s="26" t="n"/>
      <c r="J27" s="26" t="n"/>
      <c r="K27" s="26" t="n"/>
      <c r="L27" s="26" t="n"/>
      <c r="M27" s="26" t="n"/>
      <c r="N27" s="26" t="n"/>
      <c r="O27" s="26" t="n"/>
      <c r="P27" s="26" t="n"/>
      <c r="Q27" s="26" t="n"/>
      <c r="R27" s="26" t="n"/>
      <c r="S27" s="26" t="n"/>
      <c r="T27" s="26" t="n"/>
      <c r="U27" s="26" t="n"/>
      <c r="V27" s="26" t="n"/>
      <c r="W27" s="26" t="n"/>
      <c r="X27" s="26" t="n"/>
      <c r="Y27" s="26" t="n"/>
      <c r="Z27" s="26" t="n"/>
      <c r="AA27" s="26" t="n"/>
      <c r="AB27" s="26" t="n"/>
      <c r="AC27" s="26" t="n"/>
      <c r="AD27" s="26" t="n"/>
      <c r="AE27" s="26" t="n"/>
      <c r="AF27" s="26" t="n"/>
      <c r="AG27" s="26" t="n"/>
      <c r="AH27" s="26" t="n"/>
      <c r="AI27" s="26" t="n"/>
      <c r="AJ27" s="27" t="n"/>
    </row>
    <row r="28" s="3154" customFormat="1" ht="13.5" customHeight="1">
      <c r="A28" s="1985" t="inlineStr">
        <is>
          <t xml:space="preserve">DESIGN &amp; ENGINEERING</t>
        </is>
      </c>
      <c r="B28" s="3933" t="n"/>
      <c r="C28" s="1987" t="inlineStr">
        <is>
          <t xml:space="preserve">TOTAL</t>
        </is>
      </c>
      <c r="D28" s="1987" t="inlineStr">
        <is>
          <t xml:space="preserve">$/GSF</t>
        </is>
      </c>
      <c r="E28" s="1987" t="inlineStr">
        <is>
          <t xml:space="preserve">PKEY</t>
        </is>
      </c>
      <c r="F28" s="1988" t="inlineStr">
        <is>
          <t xml:space="preserve">NOTES</t>
        </is>
      </c>
      <c r="G28" s="26" t="n"/>
      <c r="H28" s="26" t="n"/>
      <c r="I28" s="26" t="n"/>
      <c r="J28" s="26" t="n"/>
      <c r="K28" s="26" t="n"/>
      <c r="L28" s="26" t="n"/>
      <c r="M28" s="26" t="n"/>
      <c r="N28" s="1984" t="inlineStr">
        <is>
          <t xml:space="preserve">ARCH &amp; ENG</t>
        </is>
      </c>
      <c r="O28" s="26" t="n"/>
      <c r="P28" s="26" t="n"/>
      <c r="Q28" s="26" t="n"/>
      <c r="R28" s="26" t="n"/>
      <c r="S28" s="26" t="n"/>
      <c r="T28" s="26" t="n"/>
      <c r="U28" s="26" t="n"/>
      <c r="V28" s="26" t="n"/>
      <c r="W28" s="26" t="n"/>
      <c r="X28" s="26" t="n"/>
      <c r="Y28" s="26" t="n"/>
      <c r="Z28" s="26" t="n"/>
      <c r="AA28" s="26" t="n"/>
      <c r="AB28" s="26" t="n"/>
      <c r="AC28" s="26" t="n"/>
      <c r="AD28" s="26" t="n"/>
      <c r="AE28" s="26" t="n"/>
      <c r="AF28" s="26" t="n"/>
      <c r="AG28" s="26" t="n"/>
      <c r="AH28" s="26" t="n"/>
      <c r="AI28" s="26" t="n"/>
      <c r="AJ28" s="27" t="n"/>
    </row>
    <row r="29" s="3154" customFormat="1" ht="13.5" customHeight="1">
      <c r="A29" s="1989" t="inlineStr">
        <is>
          <t xml:space="preserve">Architect</t>
        </is>
      </c>
      <c r="B29" s="3949" t="n"/>
      <c r="C29" s="3954" t="n">
        <v>85000</v>
      </c>
      <c r="D29" s="3936" t="n">
        <f t="array" ref="D29">C29/'Project Summary'!$I$8</f>
        <v>4.6830047305517555</v>
      </c>
      <c r="E29" s="3937" t="n">
        <f t="array" ref="E29">C29/'Project Summary'!$I$7</f>
        <v>850</v>
      </c>
      <c r="F29" s="1994" t="inlineStr">
        <is>
          <t xml:space="preserve">PROPOSAL: Base4 proposal dated 5/16/24</t>
        </is>
      </c>
      <c r="G29" s="1995" t="str">
        <f t="array" ref="G29">IF(AND(E29=0,F29=""),"HIDE","")</f>
      </c>
      <c r="H29" s="26" t="n"/>
      <c r="I29" s="26" t="n"/>
      <c r="J29" s="26" t="n"/>
      <c r="K29" s="26" t="n"/>
      <c r="L29" s="26" t="n"/>
      <c r="M29" s="26" t="n"/>
      <c r="N29" s="26" t="n"/>
      <c r="O29" s="26" t="n"/>
      <c r="P29" s="26" t="n"/>
      <c r="Q29" s="26" t="n"/>
      <c r="R29" s="26" t="n"/>
      <c r="S29" s="26" t="n"/>
      <c r="T29" s="26" t="n"/>
      <c r="U29" s="26" t="n"/>
      <c r="V29" s="26" t="n"/>
      <c r="W29" s="26" t="n"/>
      <c r="X29" s="26" t="n"/>
      <c r="Y29" s="26" t="n"/>
      <c r="Z29" s="26" t="n"/>
      <c r="AA29" s="26" t="n"/>
      <c r="AB29" s="26" t="n"/>
      <c r="AC29" s="26" t="n"/>
      <c r="AD29" s="26" t="n"/>
      <c r="AE29" s="26" t="n"/>
      <c r="AF29" s="26" t="n"/>
      <c r="AG29" s="26" t="n"/>
      <c r="AH29" s="26" t="n"/>
      <c r="AI29" s="26" t="n"/>
      <c r="AJ29" s="27" t="n"/>
    </row>
    <row r="30" s="3154" customFormat="1" ht="13.5" customHeight="1">
      <c r="A30" s="1996" t="inlineStr">
        <is>
          <t xml:space="preserve">Arch Reimbursables</t>
        </is>
      </c>
      <c r="B30" s="3938" t="n">
        <v>0.05</v>
      </c>
      <c r="C30" s="3939" t="n">
        <v>4250</v>
      </c>
      <c r="D30" s="3940" t="n">
        <f t="array" ref="D30">C30/'Project Summary'!$I$8</f>
        <v>0.2341502365275878</v>
      </c>
      <c r="E30" s="3941" t="n">
        <f t="array" ref="E30">C30/'Project Summary'!$I$7</f>
        <v>42.5</v>
      </c>
      <c r="F30" s="2004" t="inlineStr">
        <is>
          <t xml:space="preserve">Renderings, print materials, etc.</t>
        </is>
      </c>
      <c r="G30" s="1995" t="str">
        <f t="array" ref="G30">IF(AND(E30=0,F30=""),"HIDE","")</f>
      </c>
      <c r="H30" s="26" t="n"/>
      <c r="I30" s="26" t="n"/>
      <c r="J30" s="26" t="n"/>
      <c r="K30" s="26" t="n"/>
      <c r="L30" s="26" t="n"/>
      <c r="M30" s="26" t="n"/>
      <c r="N30" s="26" t="n"/>
      <c r="O30" s="26" t="n"/>
      <c r="P30" s="26" t="n"/>
      <c r="Q30" s="26" t="n"/>
      <c r="R30" s="26" t="n"/>
      <c r="S30" s="26" t="n"/>
      <c r="T30" s="26" t="n"/>
      <c r="U30" s="26" t="n"/>
      <c r="V30" s="26" t="n"/>
      <c r="W30" s="26" t="n"/>
      <c r="X30" s="26" t="n"/>
      <c r="Y30" s="26" t="n"/>
      <c r="Z30" s="26" t="n"/>
      <c r="AA30" s="26" t="n"/>
      <c r="AB30" s="26" t="n"/>
      <c r="AC30" s="26" t="n"/>
      <c r="AD30" s="26" t="n"/>
      <c r="AE30" s="26" t="n"/>
      <c r="AF30" s="26" t="n"/>
      <c r="AG30" s="26" t="n"/>
      <c r="AH30" s="26" t="n"/>
      <c r="AI30" s="26" t="n"/>
      <c r="AJ30" s="27" t="n"/>
    </row>
    <row r="31" s="3154" customFormat="1" ht="13.5" customHeight="1">
      <c r="A31" s="1996" t="inlineStr">
        <is>
          <t xml:space="preserve">Engineer - Environmental</t>
        </is>
      </c>
      <c r="B31" s="3942" t="n"/>
      <c r="C31" s="3943" t="n">
        <v>0</v>
      </c>
      <c r="D31" s="3940" t="n">
        <f t="array" ref="D31">C31/'Project Summary'!$I$8</f>
        <v>0</v>
      </c>
      <c r="E31" s="3941" t="n">
        <f t="array" ref="E31">C31/'Project Summary'!$I$7</f>
        <v>0</v>
      </c>
      <c r="F31" s="2001" t="n"/>
      <c r="G31" s="1995" t="str">
        <f t="array" ref="G31">IF(AND(E31=0,F31=""),"HIDE","")</f>
        <v>HIDE</v>
      </c>
      <c r="H31" s="26" t="n"/>
      <c r="I31" s="26" t="n"/>
      <c r="J31" s="26" t="n"/>
      <c r="K31" s="26" t="n"/>
      <c r="L31" s="26" t="n"/>
      <c r="M31" s="26" t="n"/>
      <c r="N31" s="26" t="n"/>
      <c r="O31" s="26" t="n"/>
      <c r="P31" s="26" t="n"/>
      <c r="Q31" s="26" t="n"/>
      <c r="R31" s="26" t="n"/>
      <c r="S31" s="26" t="n"/>
      <c r="T31" s="26" t="n"/>
      <c r="U31" s="26" t="n"/>
      <c r="V31" s="26" t="n"/>
      <c r="W31" s="26" t="n"/>
      <c r="X31" s="26" t="n"/>
      <c r="Y31" s="26" t="n"/>
      <c r="Z31" s="26" t="n"/>
      <c r="AA31" s="26" t="n"/>
      <c r="AB31" s="26" t="n"/>
      <c r="AC31" s="26" t="n"/>
      <c r="AD31" s="26" t="n"/>
      <c r="AE31" s="26" t="n"/>
      <c r="AF31" s="26" t="n"/>
      <c r="AG31" s="26" t="n"/>
      <c r="AH31" s="26" t="n"/>
      <c r="AI31" s="26" t="n"/>
      <c r="AJ31" s="27" t="n"/>
    </row>
    <row r="32" s="3154" customFormat="1" ht="13.5" customHeight="1">
      <c r="A32" s="1996" t="inlineStr">
        <is>
          <t xml:space="preserve">Engineer - Civil</t>
        </is>
      </c>
      <c r="B32" s="3942" t="n"/>
      <c r="C32" s="3943" t="n">
        <v>25000</v>
      </c>
      <c r="D32" s="3940" t="n">
        <f t="array" ref="D32">C32/'Project Summary'!$I$8</f>
        <v>1.3773543325152222</v>
      </c>
      <c r="E32" s="3941" t="n">
        <f t="array" ref="E32">C32/'Project Summary'!$I$7</f>
        <v>250</v>
      </c>
      <c r="F32" s="2004" t="inlineStr">
        <is>
          <t xml:space="preserve">PROPOSAL:  Schoel proposal dated 5/24/24 x 50% + est CA</t>
        </is>
      </c>
      <c r="G32" s="1995" t="str">
        <f t="array" ref="G32">IF(AND(E32=0,F32=""),"HIDE","")</f>
      </c>
      <c r="H32" s="26" t="n"/>
      <c r="I32" s="26" t="n"/>
      <c r="J32" s="26" t="n"/>
      <c r="K32" s="26" t="n"/>
      <c r="L32" s="26" t="n"/>
      <c r="M32" s="26" t="n"/>
      <c r="N32" s="26" t="n"/>
      <c r="O32" s="26" t="n"/>
      <c r="P32" s="26" t="n"/>
      <c r="Q32" s="26" t="n"/>
      <c r="R32" s="26" t="n"/>
      <c r="S32" s="26" t="n"/>
      <c r="T32" s="26" t="n"/>
      <c r="U32" s="26" t="n"/>
      <c r="V32" s="26" t="n"/>
      <c r="W32" s="26" t="n"/>
      <c r="X32" s="26" t="n"/>
      <c r="Y32" s="26" t="n"/>
      <c r="Z32" s="26" t="n"/>
      <c r="AA32" s="26" t="n"/>
      <c r="AB32" s="26" t="n"/>
      <c r="AC32" s="26" t="n"/>
      <c r="AD32" s="26" t="n"/>
      <c r="AE32" s="26" t="n"/>
      <c r="AF32" s="26" t="n"/>
      <c r="AG32" s="26" t="n"/>
      <c r="AH32" s="26" t="n"/>
      <c r="AI32" s="26" t="n"/>
      <c r="AJ32" s="27" t="n"/>
    </row>
    <row r="33" s="3154" customFormat="1" ht="13.5" customHeight="1">
      <c r="A33" s="1996" t="inlineStr">
        <is>
          <t xml:space="preserve">Engineer - MEP</t>
        </is>
      </c>
      <c r="B33" s="3942" t="n"/>
      <c r="C33" s="3943" t="n">
        <v>0</v>
      </c>
      <c r="D33" s="3940" t="n">
        <f t="array" ref="D33">C33/'Project Summary'!$I$8</f>
        <v>0</v>
      </c>
      <c r="E33" s="3941" t="n">
        <f t="array" ref="E33">C33/'Project Summary'!$I$7</f>
        <v>0</v>
      </c>
      <c r="F33" s="2004" t="inlineStr">
        <is>
          <t xml:space="preserve">Included in Architect</t>
        </is>
      </c>
      <c r="G33" s="1995" t="str">
        <f t="array" ref="G33">IF(AND(E33=0,F33=""),"HIDE","")</f>
      </c>
      <c r="H33" s="26" t="n"/>
      <c r="I33" s="26" t="n"/>
      <c r="J33" s="26" t="n"/>
      <c r="K33" s="26" t="n"/>
      <c r="L33" s="26" t="n"/>
      <c r="M33" s="26" t="n"/>
      <c r="N33" s="26" t="n"/>
      <c r="O33" s="26" t="n"/>
      <c r="P33" s="26" t="n"/>
      <c r="Q33" s="26" t="n"/>
      <c r="R33" s="26" t="n"/>
      <c r="S33" s="26" t="n"/>
      <c r="T33" s="26" t="n"/>
      <c r="U33" s="26" t="n"/>
      <c r="V33" s="26" t="n"/>
      <c r="W33" s="26" t="n"/>
      <c r="X33" s="26" t="n"/>
      <c r="Y33" s="26" t="n"/>
      <c r="Z33" s="26" t="n"/>
      <c r="AA33" s="26" t="n"/>
      <c r="AB33" s="26" t="n"/>
      <c r="AC33" s="26" t="n"/>
      <c r="AD33" s="26" t="n"/>
      <c r="AE33" s="26" t="n"/>
      <c r="AF33" s="26" t="n"/>
      <c r="AG33" s="26" t="n"/>
      <c r="AH33" s="26" t="n"/>
      <c r="AI33" s="26" t="n"/>
      <c r="AJ33" s="27" t="n"/>
    </row>
    <row r="34" s="3154" customFormat="1" ht="13.5" customHeight="1">
      <c r="A34" s="1996" t="inlineStr">
        <is>
          <t xml:space="preserve">Engineer - Fire Protection</t>
        </is>
      </c>
      <c r="B34" s="3942" t="n"/>
      <c r="C34" s="3943" t="n">
        <v>0</v>
      </c>
      <c r="D34" s="3940" t="n">
        <f t="array" ref="D34">C34/'Project Summary'!$I$8</f>
        <v>0</v>
      </c>
      <c r="E34" s="3941" t="n">
        <f t="array" ref="E34">C34/'Project Summary'!$I$7</f>
        <v>0</v>
      </c>
      <c r="F34" s="2004" t="inlineStr">
        <is>
          <t xml:space="preserve">Included in Architect</t>
        </is>
      </c>
      <c r="G34" s="1995" t="str">
        <f t="array" ref="G34">IF(AND(E34=0,F34=""),"HIDE","")</f>
      </c>
      <c r="H34" s="26" t="n"/>
      <c r="I34" s="26" t="n"/>
      <c r="J34" s="26" t="n"/>
      <c r="K34" s="26" t="n"/>
      <c r="L34" s="26" t="n"/>
      <c r="M34" s="26" t="n"/>
      <c r="N34" s="26" t="n"/>
      <c r="O34" s="26" t="n"/>
      <c r="P34" s="26" t="n"/>
      <c r="Q34" s="26" t="n"/>
      <c r="R34" s="26" t="n"/>
      <c r="S34" s="26" t="n"/>
      <c r="T34" s="26" t="n"/>
      <c r="U34" s="26" t="n"/>
      <c r="V34" s="26" t="n"/>
      <c r="W34" s="26" t="n"/>
      <c r="X34" s="26" t="n"/>
      <c r="Y34" s="26" t="n"/>
      <c r="Z34" s="26" t="n"/>
      <c r="AA34" s="26" t="n"/>
      <c r="AB34" s="26" t="n"/>
      <c r="AC34" s="26" t="n"/>
      <c r="AD34" s="26" t="n"/>
      <c r="AE34" s="26" t="n"/>
      <c r="AF34" s="26" t="n"/>
      <c r="AG34" s="26" t="n"/>
      <c r="AH34" s="26" t="n"/>
      <c r="AI34" s="26" t="n"/>
      <c r="AJ34" s="27" t="n"/>
    </row>
    <row r="35" s="3154" customFormat="1" ht="13.5" customHeight="1">
      <c r="A35" s="1996" t="inlineStr">
        <is>
          <t xml:space="preserve">Engineer - Structural</t>
        </is>
      </c>
      <c r="B35" s="3942" t="n"/>
      <c r="C35" s="3943" t="n">
        <v>0</v>
      </c>
      <c r="D35" s="3940" t="n">
        <f t="array" ref="D35">C35/'Project Summary'!$I$8</f>
        <v>0</v>
      </c>
      <c r="E35" s="3941" t="n">
        <f t="array" ref="E35">C35/'Project Summary'!$I$7</f>
        <v>0</v>
      </c>
      <c r="F35" s="2004" t="inlineStr">
        <is>
          <t xml:space="preserve">Included in Architect</t>
        </is>
      </c>
      <c r="G35" s="1995" t="str">
        <f t="array" ref="G35">IF(AND(E35=0,F35=""),"HIDE","")</f>
      </c>
      <c r="H35" s="26" t="n"/>
      <c r="I35" s="26" t="n"/>
      <c r="J35" s="26" t="n"/>
      <c r="K35" s="26" t="n"/>
      <c r="L35" s="26" t="n"/>
      <c r="M35" s="26" t="n"/>
      <c r="N35" s="26" t="n"/>
      <c r="O35" s="26" t="n"/>
      <c r="P35" s="26" t="n"/>
      <c r="Q35" s="26" t="n"/>
      <c r="R35" s="26" t="n"/>
      <c r="S35" s="26" t="n"/>
      <c r="T35" s="26" t="n"/>
      <c r="U35" s="26" t="n"/>
      <c r="V35" s="26" t="n"/>
      <c r="W35" s="26" t="n"/>
      <c r="X35" s="26" t="n"/>
      <c r="Y35" s="26" t="n"/>
      <c r="Z35" s="26" t="n"/>
      <c r="AA35" s="26" t="n"/>
      <c r="AB35" s="26" t="n"/>
      <c r="AC35" s="26" t="n"/>
      <c r="AD35" s="26" t="n"/>
      <c r="AE35" s="26" t="n"/>
      <c r="AF35" s="26" t="n"/>
      <c r="AG35" s="26" t="n"/>
      <c r="AH35" s="26" t="n"/>
      <c r="AI35" s="26" t="n"/>
      <c r="AJ35" s="27" t="n"/>
    </row>
    <row r="36" s="3154" customFormat="1" ht="13.5" customHeight="1">
      <c r="A36" s="1996" t="inlineStr">
        <is>
          <t xml:space="preserve">Engineer - Traffic</t>
        </is>
      </c>
      <c r="B36" s="3942" t="n"/>
      <c r="C36" s="3943" t="n">
        <v>0</v>
      </c>
      <c r="D36" s="3940" t="n">
        <f t="array" ref="D36">C36/'Project Summary'!$I$8</f>
        <v>0</v>
      </c>
      <c r="E36" s="3941" t="n">
        <f t="array" ref="E36">C36/'Project Summary'!$I$7</f>
        <v>0</v>
      </c>
      <c r="F36" s="2001" t="n"/>
      <c r="G36" s="1995" t="str">
        <f t="array" ref="G36">IF(AND(E36=0,F36=""),"HIDE","")</f>
        <v>HIDE</v>
      </c>
      <c r="H36" s="26" t="n"/>
      <c r="I36" s="26" t="n"/>
      <c r="J36" s="26" t="n"/>
      <c r="K36" s="26" t="n"/>
      <c r="L36" s="26" t="n"/>
      <c r="M36" s="26" t="n"/>
      <c r="N36" s="26" t="n"/>
      <c r="O36" s="26" t="n"/>
      <c r="P36" s="26" t="n"/>
      <c r="Q36" s="26" t="n"/>
      <c r="R36" s="26" t="n"/>
      <c r="S36" s="26" t="n"/>
      <c r="T36" s="26" t="n"/>
      <c r="U36" s="26" t="n"/>
      <c r="V36" s="26" t="n"/>
      <c r="W36" s="26" t="n"/>
      <c r="X36" s="26" t="n"/>
      <c r="Y36" s="26" t="n"/>
      <c r="Z36" s="26" t="n"/>
      <c r="AA36" s="26" t="n"/>
      <c r="AB36" s="26" t="n"/>
      <c r="AC36" s="26" t="n"/>
      <c r="AD36" s="26" t="n"/>
      <c r="AE36" s="26" t="n"/>
      <c r="AF36" s="26" t="n"/>
      <c r="AG36" s="26" t="n"/>
      <c r="AH36" s="26" t="n"/>
      <c r="AI36" s="26" t="n"/>
      <c r="AJ36" s="27" t="n"/>
    </row>
    <row r="37" s="3154" customFormat="1" ht="13.5" customHeight="1">
      <c r="A37" s="1996" t="inlineStr">
        <is>
          <t xml:space="preserve">Engineer - Geotechnical</t>
        </is>
      </c>
      <c r="B37" s="3942" t="n"/>
      <c r="C37" s="3943" t="n">
        <v>7500</v>
      </c>
      <c r="D37" s="3940" t="n">
        <f t="array" ref="D37">C37/'Project Summary'!$I$8</f>
        <v>0.4132062997545667</v>
      </c>
      <c r="E37" s="3941" t="n">
        <f t="array" ref="E37">C37/'Project Summary'!$I$7</f>
        <v>75</v>
      </c>
      <c r="F37" s="2004" t="inlineStr">
        <is>
          <t xml:space="preserve">PROPOSAL:  GTEC proposal dated 9/6/24</t>
        </is>
      </c>
      <c r="G37" s="1995" t="str">
        <f t="array" ref="G37">IF(AND(E37=0,F37=""),"HIDE","")</f>
      </c>
      <c r="H37" s="26" t="n"/>
      <c r="I37" s="26" t="n"/>
      <c r="J37" s="26" t="n"/>
      <c r="K37" s="26" t="n"/>
      <c r="L37" s="26" t="n"/>
      <c r="M37" s="26" t="n"/>
      <c r="N37" s="26" t="n"/>
      <c r="O37" s="26" t="n"/>
      <c r="P37" s="26" t="n"/>
      <c r="Q37" s="26" t="n"/>
      <c r="R37" s="26" t="n"/>
      <c r="S37" s="26" t="n"/>
      <c r="T37" s="26" t="n"/>
      <c r="U37" s="26" t="n"/>
      <c r="V37" s="26" t="n"/>
      <c r="W37" s="26" t="n"/>
      <c r="X37" s="26" t="n"/>
      <c r="Y37" s="26" t="n"/>
      <c r="Z37" s="26" t="n"/>
      <c r="AA37" s="26" t="n"/>
      <c r="AB37" s="26" t="n"/>
      <c r="AC37" s="26" t="n"/>
      <c r="AD37" s="26" t="n"/>
      <c r="AE37" s="26" t="n"/>
      <c r="AF37" s="26" t="n"/>
      <c r="AG37" s="26" t="n"/>
      <c r="AH37" s="26" t="n"/>
      <c r="AI37" s="26" t="n"/>
      <c r="AJ37" s="27" t="n"/>
    </row>
    <row r="38" s="3154" customFormat="1" ht="13.5" customHeight="1">
      <c r="A38" s="1996" t="inlineStr">
        <is>
          <t xml:space="preserve">Envelope Consultant</t>
        </is>
      </c>
      <c r="B38" s="3942" t="n"/>
      <c r="C38" s="3943" t="n">
        <v>0</v>
      </c>
      <c r="D38" s="3940" t="n">
        <f t="array" ref="D38">C38/'Project Summary'!$I$8</f>
        <v>0</v>
      </c>
      <c r="E38" s="3941" t="n">
        <f t="array" ref="E38">C38/'Project Summary'!$I$7</f>
        <v>0</v>
      </c>
      <c r="F38" s="2001" t="n"/>
      <c r="G38" s="1995" t="str">
        <f t="array" ref="G38">IF(AND(E38=0,F38=""),"HIDE","")</f>
        <v>HIDE</v>
      </c>
      <c r="H38" s="26" t="n"/>
      <c r="I38" s="26" t="n"/>
      <c r="J38" s="26" t="n"/>
      <c r="K38" s="26" t="n"/>
      <c r="L38" s="26" t="n"/>
      <c r="M38" s="26" t="n"/>
      <c r="N38" s="26" t="n"/>
      <c r="O38" s="26" t="n"/>
      <c r="P38" s="26" t="n"/>
      <c r="Q38" s="26" t="n"/>
      <c r="R38" s="26" t="n"/>
      <c r="S38" s="26" t="n"/>
      <c r="T38" s="26" t="n"/>
      <c r="U38" s="26" t="n"/>
      <c r="V38" s="26" t="n"/>
      <c r="W38" s="26" t="n"/>
      <c r="X38" s="26" t="n"/>
      <c r="Y38" s="26" t="n"/>
      <c r="Z38" s="26" t="n"/>
      <c r="AA38" s="26" t="n"/>
      <c r="AB38" s="26" t="n"/>
      <c r="AC38" s="26" t="n"/>
      <c r="AD38" s="26" t="n"/>
      <c r="AE38" s="26" t="n"/>
      <c r="AF38" s="26" t="n"/>
      <c r="AG38" s="26" t="n"/>
      <c r="AH38" s="26" t="n"/>
      <c r="AI38" s="26" t="n"/>
      <c r="AJ38" s="27" t="n"/>
    </row>
    <row r="39" s="3154" customFormat="1" ht="27" customHeight="1">
      <c r="A39" s="1996" t="inlineStr">
        <is>
          <t xml:space="preserve">Landscape Architect</t>
        </is>
      </c>
      <c r="B39" s="3942" t="n"/>
      <c r="C39" s="3943" t="n">
        <v>0</v>
      </c>
      <c r="D39" s="3940" t="n">
        <f t="array" ref="D39">C39/'Project Summary'!$I$8</f>
        <v>0</v>
      </c>
      <c r="E39" s="3941" t="n">
        <f t="array" ref="E39">C39/'Project Summary'!$I$7</f>
        <v>0</v>
      </c>
      <c r="F39" s="2004" t="inlineStr">
        <is>
          <t xml:space="preserve">Added to activate the fence area by the field. $3.5K Split by both hotels</t>
        </is>
      </c>
      <c r="G39" s="1995" t="str">
        <f t="array" ref="G39">IF(AND(E39=0,F39=""),"HIDE","")</f>
      </c>
      <c r="H39" s="26" t="n"/>
      <c r="I39" s="26" t="n"/>
      <c r="J39" s="26" t="n"/>
      <c r="K39" s="26" t="n"/>
      <c r="L39" s="26" t="n"/>
      <c r="M39" s="26" t="n"/>
      <c r="N39" s="26" t="n"/>
      <c r="O39" s="26" t="n"/>
      <c r="P39" s="26" t="n"/>
      <c r="Q39" s="26" t="n"/>
      <c r="R39" s="26" t="n"/>
      <c r="S39" s="26" t="n"/>
      <c r="T39" s="26" t="n"/>
      <c r="U39" s="26" t="n"/>
      <c r="V39" s="26" t="n"/>
      <c r="W39" s="26" t="n"/>
      <c r="X39" s="26" t="n"/>
      <c r="Y39" s="26" t="n"/>
      <c r="Z39" s="26" t="n"/>
      <c r="AA39" s="26" t="n"/>
      <c r="AB39" s="26" t="n"/>
      <c r="AC39" s="26" t="n"/>
      <c r="AD39" s="26" t="n"/>
      <c r="AE39" s="26" t="n"/>
      <c r="AF39" s="26" t="n"/>
      <c r="AG39" s="26" t="n"/>
      <c r="AH39" s="26" t="n"/>
      <c r="AI39" s="26" t="n"/>
      <c r="AJ39" s="27" t="n"/>
    </row>
    <row r="40" s="3154" customFormat="1" ht="13.5" customHeight="1">
      <c r="A40" s="1996" t="inlineStr">
        <is>
          <t xml:space="preserve">Life Safety Consultant</t>
        </is>
      </c>
      <c r="B40" s="3942" t="n"/>
      <c r="C40" s="3943" t="n">
        <v>0</v>
      </c>
      <c r="D40" s="3940" t="n">
        <f t="array" ref="D40">C40/'Project Summary'!$I$8</f>
        <v>0</v>
      </c>
      <c r="E40" s="3941" t="n">
        <f t="array" ref="E40">C40/'Project Summary'!$I$7</f>
        <v>0</v>
      </c>
      <c r="F40" s="2001" t="n"/>
      <c r="G40" s="1995" t="str">
        <f t="array" ref="G40">IF(AND(E40=0,F40=""),"HIDE","")</f>
        <v>HIDE</v>
      </c>
      <c r="H40" s="26" t="n"/>
      <c r="I40" s="26" t="n"/>
      <c r="J40" s="26" t="n"/>
      <c r="K40" s="26" t="n"/>
      <c r="L40" s="26" t="n"/>
      <c r="M40" s="26" t="n"/>
      <c r="N40" s="26" t="n"/>
      <c r="O40" s="26" t="n"/>
      <c r="P40" s="26" t="n"/>
      <c r="Q40" s="26" t="n"/>
      <c r="R40" s="26" t="n"/>
      <c r="S40" s="26" t="n"/>
      <c r="T40" s="26" t="n"/>
      <c r="U40" s="26" t="n"/>
      <c r="V40" s="26" t="n"/>
      <c r="W40" s="26" t="n"/>
      <c r="X40" s="26" t="n"/>
      <c r="Y40" s="26" t="n"/>
      <c r="Z40" s="26" t="n"/>
      <c r="AA40" s="26" t="n"/>
      <c r="AB40" s="26" t="n"/>
      <c r="AC40" s="26" t="n"/>
      <c r="AD40" s="26" t="n"/>
      <c r="AE40" s="26" t="n"/>
      <c r="AF40" s="26" t="n"/>
      <c r="AG40" s="26" t="n"/>
      <c r="AH40" s="26" t="n"/>
      <c r="AI40" s="26" t="n"/>
      <c r="AJ40" s="27" t="n"/>
    </row>
    <row r="41" s="3154" customFormat="1" ht="13.5" customHeight="1">
      <c r="A41" s="1996" t="inlineStr">
        <is>
          <t xml:space="preserve">ADA Consultant</t>
        </is>
      </c>
      <c r="B41" s="3942" t="n"/>
      <c r="C41" s="3943" t="n">
        <v>0</v>
      </c>
      <c r="D41" s="3940" t="n">
        <f t="array" ref="D41">C41/'Project Summary'!$I$8</f>
        <v>0</v>
      </c>
      <c r="E41" s="3941" t="n">
        <f t="array" ref="E41">C41/'Project Summary'!$I$7</f>
        <v>0</v>
      </c>
      <c r="F41" s="2001" t="n"/>
      <c r="G41" s="1995" t="str">
        <f t="array" ref="G41">IF(AND(E41=0,F41=""),"HIDE","")</f>
        <v>HIDE</v>
      </c>
      <c r="H41" s="26" t="n"/>
      <c r="I41" s="26" t="n"/>
      <c r="J41" s="26" t="n"/>
      <c r="K41" s="26" t="n"/>
      <c r="L41" s="26" t="n"/>
      <c r="M41" s="26" t="n"/>
      <c r="N41" s="26" t="n"/>
      <c r="O41" s="26" t="n"/>
      <c r="P41" s="26" t="n"/>
      <c r="Q41" s="26" t="n"/>
      <c r="R41" s="26" t="n"/>
      <c r="S41" s="26" t="n"/>
      <c r="T41" s="26" t="n"/>
      <c r="U41" s="26" t="n"/>
      <c r="V41" s="26" t="n"/>
      <c r="W41" s="26" t="n"/>
      <c r="X41" s="26" t="n"/>
      <c r="Y41" s="26" t="n"/>
      <c r="Z41" s="26" t="n"/>
      <c r="AA41" s="26" t="n"/>
      <c r="AB41" s="26" t="n"/>
      <c r="AC41" s="26" t="n"/>
      <c r="AD41" s="26" t="n"/>
      <c r="AE41" s="26" t="n"/>
      <c r="AF41" s="26" t="n"/>
      <c r="AG41" s="26" t="n"/>
      <c r="AH41" s="26" t="n"/>
      <c r="AI41" s="26" t="n"/>
      <c r="AJ41" s="27" t="n"/>
    </row>
    <row r="42" s="3154" customFormat="1" ht="13.5" customHeight="1">
      <c r="A42" s="1996" t="inlineStr">
        <is>
          <t xml:space="preserve">Interior Designer</t>
        </is>
      </c>
      <c r="B42" s="3942" t="n"/>
      <c r="C42" s="3943" t="n">
        <v>15000</v>
      </c>
      <c r="D42" s="3940" t="n">
        <f t="array" ref="D42">C42/'Project Summary'!$I$8</f>
        <v>0.8264125995091334</v>
      </c>
      <c r="E42" s="3941" t="n">
        <f t="array" ref="E42">C42/'Project Summary'!$I$7</f>
        <v>150</v>
      </c>
      <c r="F42" s="2004" t="inlineStr">
        <is>
          <t xml:space="preserve">EST: Placeholder in case we need to add to Base4 scope</t>
        </is>
      </c>
      <c r="G42" s="1995" t="str">
        <f t="array" ref="G42">IF(AND(E42=0,F42=""),"HIDE","")</f>
      </c>
      <c r="H42" s="26" t="n"/>
      <c r="I42" s="26" t="n"/>
      <c r="J42" s="26" t="n"/>
      <c r="K42" s="26" t="n"/>
      <c r="L42" s="26" t="n"/>
      <c r="M42" s="26" t="n"/>
      <c r="N42" s="26" t="n"/>
      <c r="O42" s="26" t="n"/>
      <c r="P42" s="26" t="n"/>
      <c r="Q42" s="26" t="n"/>
      <c r="R42" s="26" t="n"/>
      <c r="S42" s="26" t="n"/>
      <c r="T42" s="26" t="n"/>
      <c r="U42" s="26" t="n"/>
      <c r="V42" s="26" t="n"/>
      <c r="W42" s="26" t="n"/>
      <c r="X42" s="26" t="n"/>
      <c r="Y42" s="26" t="n"/>
      <c r="Z42" s="26" t="n"/>
      <c r="AA42" s="26" t="n"/>
      <c r="AB42" s="26" t="n"/>
      <c r="AC42" s="26" t="n"/>
      <c r="AD42" s="26" t="n"/>
      <c r="AE42" s="26" t="n"/>
      <c r="AF42" s="26" t="n"/>
      <c r="AG42" s="26" t="n"/>
      <c r="AH42" s="26" t="n"/>
      <c r="AI42" s="26" t="n"/>
      <c r="AJ42" s="27" t="n"/>
    </row>
    <row r="43" s="3154" customFormat="1" ht="13.5" customHeight="1">
      <c r="A43" s="1996" t="inlineStr">
        <is>
          <t xml:space="preserve">FF&amp;E Consultant/Procurement</t>
        </is>
      </c>
      <c r="B43" s="3942" t="n"/>
      <c r="C43" s="3943" t="n">
        <v>25000</v>
      </c>
      <c r="D43" s="3940" t="n">
        <f t="array" ref="D43">C43/'Project Summary'!$I$8</f>
        <v>1.3773543325152222</v>
      </c>
      <c r="E43" s="3941" t="n">
        <f t="array" ref="E43">C43/'Project Summary'!$I$7</f>
        <v>250</v>
      </c>
      <c r="F43" s="2004" t="inlineStr">
        <is>
          <t xml:space="preserve">4/4/25 Beyer Brown Proposal</t>
        </is>
      </c>
      <c r="G43" s="1995" t="str">
        <f t="array" ref="G43">IF(AND(E43=0,F43=""),"HIDE","")</f>
      </c>
      <c r="H43" s="26" t="n"/>
      <c r="I43" s="26" t="n"/>
      <c r="J43" s="26" t="n"/>
      <c r="K43" s="26" t="n"/>
      <c r="L43" s="26" t="n"/>
      <c r="M43" s="26" t="n"/>
      <c r="N43" s="26" t="n"/>
      <c r="O43" s="26" t="n"/>
      <c r="P43" s="26" t="n"/>
      <c r="Q43" s="26" t="n"/>
      <c r="R43" s="26" t="n"/>
      <c r="S43" s="26" t="n"/>
      <c r="T43" s="26" t="n"/>
      <c r="U43" s="26" t="n"/>
      <c r="V43" s="26" t="n"/>
      <c r="W43" s="26" t="n"/>
      <c r="X43" s="26" t="n"/>
      <c r="Y43" s="26" t="n"/>
      <c r="Z43" s="26" t="n"/>
      <c r="AA43" s="26" t="n"/>
      <c r="AB43" s="26" t="n"/>
      <c r="AC43" s="26" t="n"/>
      <c r="AD43" s="26" t="n"/>
      <c r="AE43" s="26" t="n"/>
      <c r="AF43" s="26" t="n"/>
      <c r="AG43" s="26" t="n"/>
      <c r="AH43" s="26" t="n"/>
      <c r="AI43" s="26" t="n"/>
      <c r="AJ43" s="27" t="n"/>
    </row>
    <row r="44" s="3154" customFormat="1" ht="13.5" customHeight="1">
      <c r="A44" s="1996" t="inlineStr">
        <is>
          <t xml:space="preserve">Low Voltage Design</t>
        </is>
      </c>
      <c r="B44" s="3942" t="n"/>
      <c r="C44" s="3943" t="n">
        <v>0</v>
      </c>
      <c r="D44" s="3940" t="n">
        <f t="array" ref="D44">C44/'Project Summary'!$I$8</f>
        <v>0</v>
      </c>
      <c r="E44" s="3941" t="n">
        <f t="array" ref="E44">C44/'Project Summary'!$I$7</f>
        <v>0</v>
      </c>
      <c r="F44" s="2004" t="inlineStr">
        <is>
          <t xml:space="preserve">EST: Placeholder in case we need to add to Base4 scope</t>
        </is>
      </c>
      <c r="G44" s="1995" t="str">
        <f t="array" ref="G44">IF(AND(E44=0,F44=""),"HIDE","")</f>
      </c>
      <c r="H44" s="26" t="n"/>
      <c r="I44" s="26" t="n"/>
      <c r="J44" s="26" t="n"/>
      <c r="K44" s="26" t="n"/>
      <c r="L44" s="26" t="n"/>
      <c r="M44" s="26" t="n"/>
      <c r="N44" s="26" t="n"/>
      <c r="O44" s="26" t="n"/>
      <c r="P44" s="26" t="n"/>
      <c r="Q44" s="26" t="n"/>
      <c r="R44" s="26" t="n"/>
      <c r="S44" s="26" t="n"/>
      <c r="T44" s="26" t="n"/>
      <c r="U44" s="26" t="n"/>
      <c r="V44" s="26" t="n"/>
      <c r="W44" s="26" t="n"/>
      <c r="X44" s="26" t="n"/>
      <c r="Y44" s="26" t="n"/>
      <c r="Z44" s="26" t="n"/>
      <c r="AA44" s="26" t="n"/>
      <c r="AB44" s="26" t="n"/>
      <c r="AC44" s="26" t="n"/>
      <c r="AD44" s="26" t="n"/>
      <c r="AE44" s="26" t="n"/>
      <c r="AF44" s="26" t="n"/>
      <c r="AG44" s="26" t="n"/>
      <c r="AH44" s="26" t="n"/>
      <c r="AI44" s="26" t="n"/>
      <c r="AJ44" s="27" t="n"/>
    </row>
    <row r="45" s="3154" customFormat="1" ht="13.5" customHeight="1">
      <c r="A45" s="1996" t="inlineStr">
        <is>
          <t xml:space="preserve">Environmental Consultant</t>
        </is>
      </c>
      <c r="B45" s="3942" t="n"/>
      <c r="C45" s="3943" t="n">
        <v>5000</v>
      </c>
      <c r="D45" s="3940" t="n">
        <f t="array" ref="D45">C45/'Project Summary'!$I$8</f>
        <v>0.2754708665030445</v>
      </c>
      <c r="E45" s="3941" t="n">
        <f t="array" ref="E45">C45/'Project Summary'!$I$7</f>
        <v>50</v>
      </c>
      <c r="F45" s="2004" t="inlineStr">
        <is>
          <t xml:space="preserve">Rich - est. per hotel. </t>
        </is>
      </c>
      <c r="G45" s="1995" t="str">
        <f t="array" ref="G45">IF(AND(E45=0,F45=""),"HIDE","")</f>
      </c>
      <c r="H45" s="26" t="n"/>
      <c r="I45" s="26" t="n"/>
      <c r="J45" s="26" t="n"/>
      <c r="K45" s="26" t="n"/>
      <c r="L45" s="26" t="n"/>
      <c r="M45" s="26" t="n"/>
      <c r="N45" s="26" t="n"/>
      <c r="O45" s="26" t="n"/>
      <c r="P45" s="26" t="n"/>
      <c r="Q45" s="26" t="n"/>
      <c r="R45" s="26" t="n"/>
      <c r="S45" s="26" t="n"/>
      <c r="T45" s="26" t="n"/>
      <c r="U45" s="26" t="n"/>
      <c r="V45" s="26" t="n"/>
      <c r="W45" s="26" t="n"/>
      <c r="X45" s="26" t="n"/>
      <c r="Y45" s="26" t="n"/>
      <c r="Z45" s="26" t="n"/>
      <c r="AA45" s="26" t="n"/>
      <c r="AB45" s="26" t="n"/>
      <c r="AC45" s="26" t="n"/>
      <c r="AD45" s="26" t="n"/>
      <c r="AE45" s="26" t="n"/>
      <c r="AF45" s="26" t="n"/>
      <c r="AG45" s="26" t="n"/>
      <c r="AH45" s="26" t="n"/>
      <c r="AI45" s="26" t="n"/>
      <c r="AJ45" s="27" t="n"/>
    </row>
    <row r="46" s="3154" customFormat="1" ht="13.5" customHeight="1">
      <c r="A46" s="1996" t="inlineStr">
        <is>
          <t xml:space="preserve">Pool Consultant</t>
        </is>
      </c>
      <c r="B46" s="3942" t="n"/>
      <c r="C46" s="3943" t="n">
        <v>0</v>
      </c>
      <c r="D46" s="3940" t="n">
        <f t="array" ref="D46">C46/'Project Summary'!$I$8</f>
        <v>0</v>
      </c>
      <c r="E46" s="3941" t="n">
        <f t="array" ref="E46">C46/'Project Summary'!$I$7</f>
        <v>0</v>
      </c>
      <c r="F46" s="2004" t="inlineStr">
        <is>
          <t xml:space="preserve">Assume no pool at this location</t>
        </is>
      </c>
      <c r="G46" s="1995" t="str">
        <f t="array" ref="G46">IF(AND(E46=0,F46=""),"HIDE","")</f>
      </c>
      <c r="H46" s="26" t="n"/>
      <c r="I46" s="26" t="n"/>
      <c r="J46" s="26" t="n"/>
      <c r="K46" s="26" t="n"/>
      <c r="L46" s="26" t="n"/>
      <c r="M46" s="26" t="n"/>
      <c r="N46" s="26" t="n"/>
      <c r="O46" s="26" t="n"/>
      <c r="P46" s="26" t="n"/>
      <c r="Q46" s="26" t="n"/>
      <c r="R46" s="26" t="n"/>
      <c r="S46" s="26" t="n"/>
      <c r="T46" s="26" t="n"/>
      <c r="U46" s="26" t="n"/>
      <c r="V46" s="26" t="n"/>
      <c r="W46" s="26" t="n"/>
      <c r="X46" s="26" t="n"/>
      <c r="Y46" s="26" t="n"/>
      <c r="Z46" s="26" t="n"/>
      <c r="AA46" s="26" t="n"/>
      <c r="AB46" s="26" t="n"/>
      <c r="AC46" s="26" t="n"/>
      <c r="AD46" s="26" t="n"/>
      <c r="AE46" s="26" t="n"/>
      <c r="AF46" s="26" t="n"/>
      <c r="AG46" s="26" t="n"/>
      <c r="AH46" s="26" t="n"/>
      <c r="AI46" s="26" t="n"/>
      <c r="AJ46" s="27" t="n"/>
    </row>
    <row r="47" s="3154" customFormat="1" ht="13.5" customHeight="1">
      <c r="A47" s="1996" t="inlineStr">
        <is>
          <t xml:space="preserve">Elevator Consultant</t>
        </is>
      </c>
      <c r="B47" s="3942" t="n"/>
      <c r="C47" s="3943" t="n">
        <v>0</v>
      </c>
      <c r="D47" s="3940" t="n">
        <f t="array" ref="D47">C47/'Project Summary'!$I$8</f>
        <v>0</v>
      </c>
      <c r="E47" s="3941" t="n">
        <f t="array" ref="E47">C47/'Project Summary'!$I$7</f>
        <v>0</v>
      </c>
      <c r="F47" s="2001" t="n"/>
      <c r="G47" s="1995" t="str">
        <f t="array" ref="G47">IF(AND(E47=0,F47=""),"HIDE","")</f>
        <v>HIDE</v>
      </c>
      <c r="H47" s="26" t="n"/>
      <c r="I47" s="26" t="n"/>
      <c r="J47" s="26" t="n"/>
      <c r="K47" s="26" t="n"/>
      <c r="L47" s="26" t="n"/>
      <c r="M47" s="26" t="n"/>
      <c r="N47" s="26" t="n"/>
      <c r="O47" s="26" t="n"/>
      <c r="P47" s="26" t="n"/>
      <c r="Q47" s="26" t="n"/>
      <c r="R47" s="26" t="n"/>
      <c r="S47" s="26" t="n"/>
      <c r="T47" s="26" t="n"/>
      <c r="U47" s="26" t="n"/>
      <c r="V47" s="26" t="n"/>
      <c r="W47" s="26" t="n"/>
      <c r="X47" s="26" t="n"/>
      <c r="Y47" s="26" t="n"/>
      <c r="Z47" s="26" t="n"/>
      <c r="AA47" s="26" t="n"/>
      <c r="AB47" s="26" t="n"/>
      <c r="AC47" s="26" t="n"/>
      <c r="AD47" s="26" t="n"/>
      <c r="AE47" s="26" t="n"/>
      <c r="AF47" s="26" t="n"/>
      <c r="AG47" s="26" t="n"/>
      <c r="AH47" s="26" t="n"/>
      <c r="AI47" s="26" t="n"/>
      <c r="AJ47" s="27" t="n"/>
    </row>
    <row r="48" s="3154" customFormat="1" ht="13.5" customHeight="1">
      <c r="A48" s="1996" t="inlineStr">
        <is>
          <t xml:space="preserve">Kitchen/Bar Consultant</t>
        </is>
      </c>
      <c r="B48" s="3942" t="n"/>
      <c r="C48" s="3943" t="n">
        <v>0</v>
      </c>
      <c r="D48" s="3940" t="n">
        <f t="array" ref="D48">C48/'Project Summary'!$I$8</f>
        <v>0</v>
      </c>
      <c r="E48" s="3941" t="n">
        <f t="array" ref="E48">C48/'Project Summary'!$I$7</f>
        <v>0</v>
      </c>
      <c r="F48" s="2004" t="inlineStr">
        <is>
          <t xml:space="preserve">No kitchen or F&amp;B in Sleep Space concept</t>
        </is>
      </c>
      <c r="G48" s="1995" t="str">
        <f t="array" ref="G48">IF(AND(E48=0,F48=""),"HIDE","")</f>
      </c>
      <c r="H48" s="26" t="n"/>
      <c r="I48" s="26" t="n"/>
      <c r="J48" s="26" t="n"/>
      <c r="K48" s="26" t="n"/>
      <c r="L48" s="26" t="n"/>
      <c r="M48" s="26" t="n"/>
      <c r="N48" s="26" t="n"/>
      <c r="O48" s="26" t="n"/>
      <c r="P48" s="26" t="n"/>
      <c r="Q48" s="26" t="n"/>
      <c r="R48" s="26" t="n"/>
      <c r="S48" s="26" t="n"/>
      <c r="T48" s="26" t="n"/>
      <c r="U48" s="26" t="n"/>
      <c r="V48" s="26" t="n"/>
      <c r="W48" s="26" t="n"/>
      <c r="X48" s="26" t="n"/>
      <c r="Y48" s="26" t="n"/>
      <c r="Z48" s="26" t="n"/>
      <c r="AA48" s="26" t="n"/>
      <c r="AB48" s="26" t="n"/>
      <c r="AC48" s="26" t="n"/>
      <c r="AD48" s="26" t="n"/>
      <c r="AE48" s="26" t="n"/>
      <c r="AF48" s="26" t="n"/>
      <c r="AG48" s="26" t="n"/>
      <c r="AH48" s="26" t="n"/>
      <c r="AI48" s="26" t="n"/>
      <c r="AJ48" s="27" t="n"/>
    </row>
    <row r="49" s="3154" customFormat="1" ht="13.5" customHeight="1">
      <c r="A49" s="1996" t="inlineStr">
        <is>
          <t xml:space="preserve">Lighting Consultant</t>
        </is>
      </c>
      <c r="B49" s="3942" t="n"/>
      <c r="C49" s="3943" t="n">
        <v>0</v>
      </c>
      <c r="D49" s="3940" t="n">
        <f t="array" ref="D49">C49/'Project Summary'!$I$8</f>
        <v>0</v>
      </c>
      <c r="E49" s="3941" t="n">
        <f t="array" ref="E49">C49/'Project Summary'!$I$7</f>
        <v>0</v>
      </c>
      <c r="F49" s="2001" t="n"/>
      <c r="G49" s="1995" t="str">
        <f t="array" ref="G49">IF(AND(E49=0,F49=""),"HIDE","")</f>
        <v>HIDE</v>
      </c>
      <c r="H49" s="26" t="n"/>
      <c r="I49" s="26" t="n"/>
      <c r="J49" s="26" t="n"/>
      <c r="K49" s="26" t="n"/>
      <c r="L49" s="26" t="n"/>
      <c r="M49" s="26" t="n"/>
      <c r="N49" s="26" t="n"/>
      <c r="O49" s="26" t="n"/>
      <c r="P49" s="26" t="n"/>
      <c r="Q49" s="26" t="n"/>
      <c r="R49" s="26" t="n"/>
      <c r="S49" s="26" t="n"/>
      <c r="T49" s="26" t="n"/>
      <c r="U49" s="26" t="n"/>
      <c r="V49" s="26" t="n"/>
      <c r="W49" s="26" t="n"/>
      <c r="X49" s="26" t="n"/>
      <c r="Y49" s="26" t="n"/>
      <c r="Z49" s="26" t="n"/>
      <c r="AA49" s="26" t="n"/>
      <c r="AB49" s="26" t="n"/>
      <c r="AC49" s="26" t="n"/>
      <c r="AD49" s="26" t="n"/>
      <c r="AE49" s="26" t="n"/>
      <c r="AF49" s="26" t="n"/>
      <c r="AG49" s="26" t="n"/>
      <c r="AH49" s="26" t="n"/>
      <c r="AI49" s="26" t="n"/>
      <c r="AJ49" s="27" t="n"/>
    </row>
    <row r="50" s="3154" customFormat="1" ht="13.5" customHeight="1">
      <c r="A50" s="1996" t="inlineStr">
        <is>
          <t xml:space="preserve">Laundry Consultant</t>
        </is>
      </c>
      <c r="B50" s="3942" t="n"/>
      <c r="C50" s="3943" t="n">
        <v>0</v>
      </c>
      <c r="D50" s="3940" t="n">
        <f t="array" ref="D50">C50/'Project Summary'!$I$8</f>
        <v>0</v>
      </c>
      <c r="E50" s="3941" t="n">
        <f t="array" ref="E50">C50/'Project Summary'!$I$7</f>
        <v>0</v>
      </c>
      <c r="F50" s="2001" t="n"/>
      <c r="G50" s="1995" t="str">
        <f t="array" ref="G50">IF(AND(E50=0,F50=""),"HIDE","")</f>
        <v>HIDE</v>
      </c>
      <c r="H50" s="26" t="n"/>
      <c r="I50" s="26" t="n"/>
      <c r="J50" s="26" t="n"/>
      <c r="K50" s="26" t="n"/>
      <c r="L50" s="26" t="n"/>
      <c r="M50" s="26" t="n"/>
      <c r="N50" s="26" t="n"/>
      <c r="O50" s="26" t="n"/>
      <c r="P50" s="26" t="n"/>
      <c r="Q50" s="26" t="n"/>
      <c r="R50" s="26" t="n"/>
      <c r="S50" s="26" t="n"/>
      <c r="T50" s="26" t="n"/>
      <c r="U50" s="26" t="n"/>
      <c r="V50" s="26" t="n"/>
      <c r="W50" s="26" t="n"/>
      <c r="X50" s="26" t="n"/>
      <c r="Y50" s="26" t="n"/>
      <c r="Z50" s="26" t="n"/>
      <c r="AA50" s="26" t="n"/>
      <c r="AB50" s="26" t="n"/>
      <c r="AC50" s="26" t="n"/>
      <c r="AD50" s="26" t="n"/>
      <c r="AE50" s="26" t="n"/>
      <c r="AF50" s="26" t="n"/>
      <c r="AG50" s="26" t="n"/>
      <c r="AH50" s="26" t="n"/>
      <c r="AI50" s="26" t="n"/>
      <c r="AJ50" s="27" t="n"/>
    </row>
    <row r="51" s="3154" customFormat="1" ht="13.5" customHeight="1">
      <c r="A51" s="1996" t="inlineStr">
        <is>
          <t xml:space="preserve">Acoustical Consultant</t>
        </is>
      </c>
      <c r="B51" s="3942" t="n"/>
      <c r="C51" s="3943" t="n">
        <v>0</v>
      </c>
      <c r="D51" s="3940" t="n">
        <f t="array" ref="D51">C51/'Project Summary'!$I$8</f>
        <v>0</v>
      </c>
      <c r="E51" s="3941" t="n">
        <f t="array" ref="E51">C51/'Project Summary'!$I$7</f>
        <v>0</v>
      </c>
      <c r="F51" s="2001" t="n"/>
      <c r="G51" s="1995" t="str">
        <f t="array" ref="G51">IF(AND(E51=0,F51=""),"HIDE","")</f>
        <v>HIDE</v>
      </c>
      <c r="H51" s="26" t="n"/>
      <c r="I51" s="26" t="n"/>
      <c r="J51" s="26" t="n"/>
      <c r="K51" s="26" t="n"/>
      <c r="L51" s="26" t="n"/>
      <c r="M51" s="26" t="n"/>
      <c r="N51" s="26" t="n"/>
      <c r="O51" s="26" t="n"/>
      <c r="P51" s="26" t="n"/>
      <c r="Q51" s="26" t="n"/>
      <c r="R51" s="26" t="n"/>
      <c r="S51" s="26" t="n"/>
      <c r="T51" s="26" t="n"/>
      <c r="U51" s="26" t="n"/>
      <c r="V51" s="26" t="n"/>
      <c r="W51" s="26" t="n"/>
      <c r="X51" s="26" t="n"/>
      <c r="Y51" s="26" t="n"/>
      <c r="Z51" s="26" t="n"/>
      <c r="AA51" s="26" t="n"/>
      <c r="AB51" s="26" t="n"/>
      <c r="AC51" s="26" t="n"/>
      <c r="AD51" s="26" t="n"/>
      <c r="AE51" s="26" t="n"/>
      <c r="AF51" s="26" t="n"/>
      <c r="AG51" s="26" t="n"/>
      <c r="AH51" s="26" t="n"/>
      <c r="AI51" s="26" t="n"/>
      <c r="AJ51" s="27" t="n"/>
    </row>
    <row r="52" s="3154" customFormat="1" ht="13.5" customHeight="1">
      <c r="A52" s="1996" t="inlineStr">
        <is>
          <t xml:space="preserve">Estimating</t>
        </is>
      </c>
      <c r="B52" s="3942" t="n"/>
      <c r="C52" s="3943" t="n">
        <v>0</v>
      </c>
      <c r="D52" s="3940" t="n">
        <f t="array" ref="D52">C52/'Project Summary'!$I$8</f>
        <v>0</v>
      </c>
      <c r="E52" s="3941" t="n">
        <f t="array" ref="E52">C52/'Project Summary'!$I$7</f>
        <v>0</v>
      </c>
      <c r="F52" s="2001" t="n"/>
      <c r="G52" s="1995" t="str">
        <f t="array" ref="G52">IF(AND(E52=0,F52=""),"HIDE","")</f>
        <v>HIDE</v>
      </c>
      <c r="H52" s="26" t="n"/>
      <c r="I52" s="26" t="n"/>
      <c r="J52" s="26" t="n"/>
      <c r="K52" s="26" t="n"/>
      <c r="L52" s="26" t="n"/>
      <c r="M52" s="26" t="n"/>
      <c r="N52" s="26" t="n"/>
      <c r="O52" s="26" t="n"/>
      <c r="P52" s="26" t="n"/>
      <c r="Q52" s="26" t="n"/>
      <c r="R52" s="26" t="n"/>
      <c r="S52" s="26" t="n"/>
      <c r="T52" s="26" t="n"/>
      <c r="U52" s="26" t="n"/>
      <c r="V52" s="26" t="n"/>
      <c r="W52" s="26" t="n"/>
      <c r="X52" s="26" t="n"/>
      <c r="Y52" s="26" t="n"/>
      <c r="Z52" s="26" t="n"/>
      <c r="AA52" s="26" t="n"/>
      <c r="AB52" s="26" t="n"/>
      <c r="AC52" s="26" t="n"/>
      <c r="AD52" s="26" t="n"/>
      <c r="AE52" s="26" t="n"/>
      <c r="AF52" s="26" t="n"/>
      <c r="AG52" s="26" t="n"/>
      <c r="AH52" s="26" t="n"/>
      <c r="AI52" s="26" t="n"/>
      <c r="AJ52" s="27" t="n"/>
    </row>
    <row r="53" s="3154" customFormat="1" ht="13.5" customHeight="1">
      <c r="A53" s="1996" t="inlineStr">
        <is>
          <t xml:space="preserve">Peer Review</t>
        </is>
      </c>
      <c r="B53" s="3942" t="n"/>
      <c r="C53" s="3943" t="n">
        <v>0</v>
      </c>
      <c r="D53" s="3940" t="n">
        <f t="array" ref="D53">C53/'Project Summary'!$I$8</f>
        <v>0</v>
      </c>
      <c r="E53" s="3941" t="n">
        <f t="array" ref="E53">C53/'Project Summary'!$I$7</f>
        <v>0</v>
      </c>
      <c r="F53" s="2001" t="n"/>
      <c r="G53" s="1995" t="str">
        <f t="array" ref="G53">IF(AND(E53=0,F53=""),"HIDE","")</f>
        <v>HIDE</v>
      </c>
      <c r="H53" s="26" t="n"/>
      <c r="I53" s="26" t="n"/>
      <c r="J53" s="26" t="n"/>
      <c r="K53" s="26" t="n"/>
      <c r="L53" s="26" t="n"/>
      <c r="M53" s="26" t="n"/>
      <c r="N53" s="26" t="n"/>
      <c r="O53" s="26" t="n"/>
      <c r="P53" s="26" t="n"/>
      <c r="Q53" s="26" t="n"/>
      <c r="R53" s="26" t="n"/>
      <c r="S53" s="26" t="n"/>
      <c r="T53" s="26" t="n"/>
      <c r="U53" s="26" t="n"/>
      <c r="V53" s="26" t="n"/>
      <c r="W53" s="26" t="n"/>
      <c r="X53" s="26" t="n"/>
      <c r="Y53" s="26" t="n"/>
      <c r="Z53" s="26" t="n"/>
      <c r="AA53" s="26" t="n"/>
      <c r="AB53" s="26" t="n"/>
      <c r="AC53" s="26" t="n"/>
      <c r="AD53" s="26" t="n"/>
      <c r="AE53" s="26" t="n"/>
      <c r="AF53" s="26" t="n"/>
      <c r="AG53" s="26" t="n"/>
      <c r="AH53" s="26" t="n"/>
      <c r="AI53" s="26" t="n"/>
      <c r="AJ53" s="27" t="n"/>
    </row>
    <row r="54" s="3154" customFormat="1" ht="13.5" customHeight="1">
      <c r="A54" s="1996" t="inlineStr">
        <is>
          <t xml:space="preserve">Expediter</t>
        </is>
      </c>
      <c r="B54" s="3942" t="n"/>
      <c r="C54" s="3943" t="n">
        <v>0</v>
      </c>
      <c r="D54" s="3940" t="n">
        <f t="array" ref="D54">C54/'Project Summary'!$I$8</f>
        <v>0</v>
      </c>
      <c r="E54" s="3941" t="n">
        <f t="array" ref="E54">C54/'Project Summary'!$I$7</f>
        <v>0</v>
      </c>
      <c r="F54" s="2001" t="n"/>
      <c r="G54" s="1995" t="str">
        <f t="array" ref="G54">IF(AND(E54=0,F54=""),"HIDE","")</f>
        <v>HIDE</v>
      </c>
      <c r="H54" s="26" t="n"/>
      <c r="I54" s="26" t="n"/>
      <c r="J54" s="26" t="n"/>
      <c r="K54" s="26" t="n"/>
      <c r="L54" s="26" t="n"/>
      <c r="M54" s="26" t="n"/>
      <c r="N54" s="26" t="n"/>
      <c r="O54" s="26" t="n"/>
      <c r="P54" s="26" t="n"/>
      <c r="Q54" s="26" t="n"/>
      <c r="R54" s="26" t="n"/>
      <c r="S54" s="26" t="n"/>
      <c r="T54" s="26" t="n"/>
      <c r="U54" s="26" t="n"/>
      <c r="V54" s="26" t="n"/>
      <c r="W54" s="26" t="n"/>
      <c r="X54" s="26" t="n"/>
      <c r="Y54" s="26" t="n"/>
      <c r="Z54" s="26" t="n"/>
      <c r="AA54" s="26" t="n"/>
      <c r="AB54" s="26" t="n"/>
      <c r="AC54" s="26" t="n"/>
      <c r="AD54" s="26" t="n"/>
      <c r="AE54" s="26" t="n"/>
      <c r="AF54" s="26" t="n"/>
      <c r="AG54" s="26" t="n"/>
      <c r="AH54" s="26" t="n"/>
      <c r="AI54" s="26" t="n"/>
      <c r="AJ54" s="27" t="n"/>
    </row>
    <row r="55" s="3154" customFormat="1" ht="13.5" customHeight="1">
      <c r="A55" s="1996" t="inlineStr">
        <is>
          <t xml:space="preserve">Other Approval Costs</t>
        </is>
      </c>
      <c r="B55" s="3942" t="n"/>
      <c r="C55" s="3943" t="n">
        <v>0</v>
      </c>
      <c r="D55" s="3940" t="n">
        <f t="array" ref="D55">C55/'Project Summary'!$I$8</f>
        <v>0</v>
      </c>
      <c r="E55" s="3941" t="n">
        <f t="array" ref="E55">C55/'Project Summary'!$I$7</f>
        <v>0</v>
      </c>
      <c r="F55" s="2001" t="n"/>
      <c r="G55" s="1995" t="str">
        <f t="array" ref="G55">IF(AND(E55=0,F55=""),"HIDE","")</f>
        <v>HIDE</v>
      </c>
      <c r="H55" s="26" t="n"/>
      <c r="I55" s="26" t="n"/>
      <c r="J55" s="26" t="n"/>
      <c r="K55" s="26" t="n"/>
      <c r="L55" s="26" t="n"/>
      <c r="M55" s="26" t="n"/>
      <c r="N55" s="26" t="n"/>
      <c r="O55" s="26" t="n"/>
      <c r="P55" s="26" t="n"/>
      <c r="Q55" s="26" t="n"/>
      <c r="R55" s="26" t="n"/>
      <c r="S55" s="26" t="n"/>
      <c r="T55" s="26" t="n"/>
      <c r="U55" s="26" t="n"/>
      <c r="V55" s="26" t="n"/>
      <c r="W55" s="26" t="n"/>
      <c r="X55" s="26" t="n"/>
      <c r="Y55" s="26" t="n"/>
      <c r="Z55" s="26" t="n"/>
      <c r="AA55" s="26" t="n"/>
      <c r="AB55" s="26" t="n"/>
      <c r="AC55" s="26" t="n"/>
      <c r="AD55" s="26" t="n"/>
      <c r="AE55" s="26" t="n"/>
      <c r="AF55" s="26" t="n"/>
      <c r="AG55" s="26" t="n"/>
      <c r="AH55" s="26" t="n"/>
      <c r="AI55" s="26" t="n"/>
      <c r="AJ55" s="27" t="n"/>
    </row>
    <row r="56" s="3154" customFormat="1" ht="13.5" customHeight="1">
      <c r="A56" s="1996" t="inlineStr">
        <is>
          <t xml:space="preserve">Design Contingency</t>
        </is>
      </c>
      <c r="B56" s="3938" t="n">
        <v>0.1</v>
      </c>
      <c r="C56" s="3939" t="n">
        <v>16675</v>
      </c>
      <c r="D56" s="3940" t="n">
        <f t="array" ref="D56">C56/'Project Summary'!$I$8</f>
        <v>0.9186953397876533</v>
      </c>
      <c r="E56" s="3941" t="n">
        <f t="array" ref="E56">C56/'Project Summary'!$I$7</f>
        <v>166.75</v>
      </c>
      <c r="F56" s="2001" t="n"/>
      <c r="G56" s="1995" t="str">
        <f t="array" ref="G56">IF(AND(E56=0,F56=""),"HIDE","")</f>
      </c>
      <c r="H56" s="26" t="n"/>
      <c r="I56" s="26" t="n"/>
      <c r="J56" s="26" t="n"/>
      <c r="K56" s="26" t="n"/>
      <c r="L56" s="26" t="n"/>
      <c r="M56" s="26" t="n"/>
      <c r="N56" s="26" t="n"/>
      <c r="O56" s="26" t="n"/>
      <c r="P56" s="26" t="n"/>
      <c r="Q56" s="26" t="n"/>
      <c r="R56" s="26" t="n"/>
      <c r="S56" s="26" t="n"/>
      <c r="T56" s="26" t="n"/>
      <c r="U56" s="26" t="n"/>
      <c r="V56" s="26" t="n"/>
      <c r="W56" s="26" t="n"/>
      <c r="X56" s="26" t="n"/>
      <c r="Y56" s="26" t="n"/>
      <c r="Z56" s="26" t="n"/>
      <c r="AA56" s="26" t="n"/>
      <c r="AB56" s="26" t="n"/>
      <c r="AC56" s="26" t="n"/>
      <c r="AD56" s="26" t="n"/>
      <c r="AE56" s="26" t="n"/>
      <c r="AF56" s="26" t="n"/>
      <c r="AG56" s="26" t="n"/>
      <c r="AH56" s="26" t="n"/>
      <c r="AI56" s="26" t="n"/>
      <c r="AJ56" s="27" t="n"/>
    </row>
    <row r="57" s="3154" customFormat="1" ht="13.5" customHeight="1">
      <c r="A57" s="2006" t="str">
        <f t="array" ref="A57">"Subtotal: "&amp;A28</f>
        <v>Subtotal: DESIGN &amp; ENGINEERING</v>
      </c>
      <c r="B57" s="3944" t="n"/>
      <c r="C57" s="3945" t="n">
        <f t="array" ref="C57">SUM(C29:C56)</f>
        <v>183425</v>
      </c>
      <c r="D57" s="3946" t="n">
        <f t="array" ref="D57">SUM(D29:D56)</f>
        <v>10.105648737664184</v>
      </c>
      <c r="E57" s="3945" t="n">
        <f t="array" ref="E57">SUM(E29:E56)</f>
        <v>1834.25</v>
      </c>
      <c r="F57" s="2010" t="n"/>
      <c r="G57" s="26" t="n"/>
      <c r="H57" s="26" t="n"/>
      <c r="I57" s="26" t="n"/>
      <c r="J57" s="3364" t="n">
        <f t="array" ref="J57">$B$24*C57</f>
        <v>5502.75</v>
      </c>
      <c r="K57" s="26" t="n"/>
      <c r="L57" s="26" t="n"/>
      <c r="M57" s="26" t="n"/>
      <c r="N57" s="26" t="n"/>
      <c r="O57" s="26" t="n"/>
      <c r="P57" s="26" t="n"/>
      <c r="Q57" s="26" t="n"/>
      <c r="R57" s="26" t="n"/>
      <c r="S57" s="26" t="n"/>
      <c r="T57" s="26" t="n"/>
      <c r="U57" s="26" t="n"/>
      <c r="V57" s="26" t="n"/>
      <c r="W57" s="26" t="n"/>
      <c r="X57" s="26" t="n"/>
      <c r="Y57" s="26" t="n"/>
      <c r="Z57" s="26" t="n"/>
      <c r="AA57" s="26" t="n"/>
      <c r="AB57" s="26" t="n"/>
      <c r="AC57" s="26" t="n"/>
      <c r="AD57" s="26" t="n"/>
      <c r="AE57" s="26" t="n"/>
      <c r="AF57" s="26" t="n"/>
      <c r="AG57" s="26" t="n"/>
      <c r="AH57" s="26" t="n"/>
      <c r="AI57" s="26" t="n"/>
      <c r="AJ57" s="27" t="n"/>
    </row>
    <row r="58" s="3154" customFormat="1" ht="8" customHeight="1">
      <c r="A58" s="2021" t="n"/>
      <c r="B58" s="26" t="n"/>
      <c r="C58" s="26" t="n"/>
      <c r="D58" s="26" t="n"/>
      <c r="E58" s="26" t="n"/>
      <c r="F58" s="1983" t="n"/>
      <c r="G58" s="26" t="n"/>
      <c r="H58" s="26" t="n"/>
      <c r="I58" s="26" t="n"/>
      <c r="J58" s="26" t="n"/>
      <c r="K58" s="26" t="n"/>
      <c r="L58" s="26" t="n"/>
      <c r="M58" s="26" t="n"/>
      <c r="N58" s="26" t="n"/>
      <c r="O58" s="26" t="n"/>
      <c r="P58" s="26" t="n"/>
      <c r="Q58" s="26" t="n"/>
      <c r="R58" s="26" t="n"/>
      <c r="S58" s="26" t="n"/>
      <c r="T58" s="26" t="n"/>
      <c r="U58" s="26" t="n"/>
      <c r="V58" s="26" t="n"/>
      <c r="W58" s="26" t="n"/>
      <c r="X58" s="26" t="n"/>
      <c r="Y58" s="26" t="n"/>
      <c r="Z58" s="26" t="n"/>
      <c r="AA58" s="26" t="n"/>
      <c r="AB58" s="26" t="n"/>
      <c r="AC58" s="26" t="n"/>
      <c r="AD58" s="26" t="n"/>
      <c r="AE58" s="26" t="n"/>
      <c r="AF58" s="26" t="n"/>
      <c r="AG58" s="26" t="n"/>
      <c r="AH58" s="26" t="n"/>
      <c r="AI58" s="26" t="n"/>
      <c r="AJ58" s="27" t="n"/>
    </row>
    <row r="59" s="3154" customFormat="1" ht="13.5" customHeight="1">
      <c r="A59" s="1985" t="inlineStr">
        <is>
          <t xml:space="preserve">MARKETING &amp; PRE-OPENING</t>
        </is>
      </c>
      <c r="B59" s="3933" t="n"/>
      <c r="C59" s="1987" t="inlineStr">
        <is>
          <t xml:space="preserve">TOTAL</t>
        </is>
      </c>
      <c r="D59" s="1987" t="inlineStr">
        <is>
          <t xml:space="preserve">$/GSF</t>
        </is>
      </c>
      <c r="E59" s="1987" t="inlineStr">
        <is>
          <t xml:space="preserve">PKEY</t>
        </is>
      </c>
      <c r="F59" s="1988" t="inlineStr">
        <is>
          <t xml:space="preserve">NOTES</t>
        </is>
      </c>
      <c r="G59" s="26" t="n"/>
      <c r="H59" s="26" t="n"/>
      <c r="I59" s="26" t="n"/>
      <c r="J59" s="26" t="n"/>
      <c r="K59" s="26" t="n"/>
      <c r="L59" s="26" t="n"/>
      <c r="M59" s="26" t="n"/>
      <c r="N59" s="1984" t="inlineStr">
        <is>
          <t xml:space="preserve">MKTING</t>
        </is>
      </c>
      <c r="O59" s="26" t="n"/>
      <c r="P59" s="26" t="n"/>
      <c r="Q59" s="26" t="n"/>
      <c r="R59" s="26" t="n"/>
      <c r="S59" s="26" t="n"/>
      <c r="T59" s="26" t="n"/>
      <c r="U59" s="26" t="n"/>
      <c r="V59" s="26" t="n"/>
      <c r="W59" s="26" t="n"/>
      <c r="X59" s="26" t="n"/>
      <c r="Y59" s="26" t="n"/>
      <c r="Z59" s="26" t="n"/>
      <c r="AA59" s="26" t="n"/>
      <c r="AB59" s="26" t="n"/>
      <c r="AC59" s="26" t="n"/>
      <c r="AD59" s="26" t="n"/>
      <c r="AE59" s="26" t="n"/>
      <c r="AF59" s="26" t="n"/>
      <c r="AG59" s="26" t="n"/>
      <c r="AH59" s="26" t="n"/>
      <c r="AI59" s="26" t="n"/>
      <c r="AJ59" s="27" t="n"/>
    </row>
    <row r="60" s="3154" customFormat="1" ht="13.5" customHeight="1">
      <c r="A60" s="1989" t="inlineStr">
        <is>
          <t xml:space="preserve">Market Survey</t>
        </is>
      </c>
      <c r="B60" s="3949" t="n"/>
      <c r="C60" s="3954" t="n">
        <v>0</v>
      </c>
      <c r="D60" s="3936" t="n">
        <f t="array" ref="D60">C60/'Project Summary'!$I$8</f>
        <v>0</v>
      </c>
      <c r="E60" s="3937" t="n">
        <f t="array" ref="E60">C60/'Project Summary'!$I$7</f>
        <v>0</v>
      </c>
      <c r="F60" s="2023" t="n"/>
      <c r="G60" s="1995" t="str">
        <f t="array" ref="G60">IF(AND(E60=0,F60=""),"HIDE","")</f>
        <v>HIDE</v>
      </c>
      <c r="H60" s="26" t="n"/>
      <c r="I60" s="26" t="n"/>
      <c r="J60" s="3322" t="n"/>
      <c r="K60" s="26" t="n"/>
      <c r="L60" s="26" t="n"/>
      <c r="M60" s="26" t="n"/>
      <c r="N60" s="26" t="n"/>
      <c r="O60" s="26" t="n"/>
      <c r="P60" s="26" t="n"/>
      <c r="Q60" s="26" t="n"/>
      <c r="R60" s="26" t="n"/>
      <c r="S60" s="26" t="n"/>
      <c r="T60" s="26" t="n"/>
      <c r="U60" s="26" t="n"/>
      <c r="V60" s="26" t="n"/>
      <c r="W60" s="26" t="n"/>
      <c r="X60" s="26" t="n"/>
      <c r="Y60" s="26" t="n"/>
      <c r="Z60" s="26" t="n"/>
      <c r="AA60" s="26" t="n"/>
      <c r="AB60" s="26" t="n"/>
      <c r="AC60" s="26" t="n"/>
      <c r="AD60" s="26" t="n"/>
      <c r="AE60" s="26" t="n"/>
      <c r="AF60" s="26" t="n"/>
      <c r="AG60" s="26" t="n"/>
      <c r="AH60" s="26" t="n"/>
      <c r="AI60" s="26" t="n"/>
      <c r="AJ60" s="27" t="n"/>
    </row>
    <row r="61" s="3154" customFormat="1" ht="13.5" customHeight="1">
      <c r="A61" s="1996" t="inlineStr">
        <is>
          <t xml:space="preserve">Advertising &amp; Promotions</t>
        </is>
      </c>
      <c r="B61" s="3942" t="n"/>
      <c r="C61" s="3943" t="n">
        <v>0</v>
      </c>
      <c r="D61" s="3940" t="n">
        <f t="array" ref="D61">C61/'Project Summary'!$I$8</f>
        <v>0</v>
      </c>
      <c r="E61" s="3941" t="n">
        <f t="array" ref="E61">C61/'Project Summary'!$I$7</f>
        <v>0</v>
      </c>
      <c r="F61" s="2001" t="n"/>
      <c r="G61" s="1995" t="str">
        <f t="array" ref="G61">IF(AND(E61=0,F61=""),"HIDE","")</f>
        <v>HIDE</v>
      </c>
      <c r="H61" s="26" t="n"/>
      <c r="I61" s="26" t="n"/>
      <c r="J61" s="3322" t="n"/>
      <c r="K61" s="26" t="n"/>
      <c r="L61" s="26" t="n"/>
      <c r="M61" s="26" t="n"/>
      <c r="N61" s="26" t="n"/>
      <c r="O61" s="26" t="n"/>
      <c r="P61" s="26" t="n"/>
      <c r="Q61" s="26" t="n"/>
      <c r="R61" s="26" t="n"/>
      <c r="S61" s="26" t="n"/>
      <c r="T61" s="26" t="n"/>
      <c r="U61" s="26" t="n"/>
      <c r="V61" s="26" t="n"/>
      <c r="W61" s="26" t="n"/>
      <c r="X61" s="26" t="n"/>
      <c r="Y61" s="26" t="n"/>
      <c r="Z61" s="26" t="n"/>
      <c r="AA61" s="26" t="n"/>
      <c r="AB61" s="26" t="n"/>
      <c r="AC61" s="26" t="n"/>
      <c r="AD61" s="26" t="n"/>
      <c r="AE61" s="26" t="n"/>
      <c r="AF61" s="26" t="n"/>
      <c r="AG61" s="26" t="n"/>
      <c r="AH61" s="26" t="n"/>
      <c r="AI61" s="26" t="n"/>
      <c r="AJ61" s="27" t="n"/>
    </row>
    <row r="62" s="3154" customFormat="1" ht="13.5" customHeight="1">
      <c r="A62" s="1996" t="inlineStr">
        <is>
          <t xml:space="preserve">Commissions</t>
        </is>
      </c>
      <c r="B62" s="3942" t="n"/>
      <c r="C62" s="3943" t="n">
        <v>0</v>
      </c>
      <c r="D62" s="3940" t="n">
        <f t="array" ref="D62">C62/'Project Summary'!$I$8</f>
        <v>0</v>
      </c>
      <c r="E62" s="3941" t="n">
        <f t="array" ref="E62">C62/'Project Summary'!$I$7</f>
        <v>0</v>
      </c>
      <c r="F62" s="2001" t="n"/>
      <c r="G62" s="1995" t="str">
        <f t="array" ref="G62">IF(AND(E62=0,F62=""),"HIDE","")</f>
        <v>HIDE</v>
      </c>
      <c r="H62" s="26" t="n"/>
      <c r="I62" s="26" t="n"/>
      <c r="J62" s="3322" t="n"/>
      <c r="K62" s="26" t="n"/>
      <c r="L62" s="26" t="n"/>
      <c r="M62" s="26" t="n"/>
      <c r="N62" s="26" t="n"/>
      <c r="O62" s="26" t="n"/>
      <c r="P62" s="26" t="n"/>
      <c r="Q62" s="26" t="n"/>
      <c r="R62" s="26" t="n"/>
      <c r="S62" s="26" t="n"/>
      <c r="T62" s="26" t="n"/>
      <c r="U62" s="26" t="n"/>
      <c r="V62" s="26" t="n"/>
      <c r="W62" s="26" t="n"/>
      <c r="X62" s="26" t="n"/>
      <c r="Y62" s="26" t="n"/>
      <c r="Z62" s="26" t="n"/>
      <c r="AA62" s="26" t="n"/>
      <c r="AB62" s="26" t="n"/>
      <c r="AC62" s="26" t="n"/>
      <c r="AD62" s="26" t="n"/>
      <c r="AE62" s="26" t="n"/>
      <c r="AF62" s="26" t="n"/>
      <c r="AG62" s="26" t="n"/>
      <c r="AH62" s="26" t="n"/>
      <c r="AI62" s="26" t="n"/>
      <c r="AJ62" s="27" t="n"/>
    </row>
    <row r="63" s="3154" customFormat="1" ht="13.5" customHeight="1">
      <c r="A63" s="1996" t="inlineStr">
        <is>
          <t xml:space="preserve">Pre-Opening Budget</t>
        </is>
      </c>
      <c r="B63" s="3942" t="n"/>
      <c r="C63" s="3943" t="n">
        <v>30000</v>
      </c>
      <c r="D63" s="3940" t="n">
        <f t="array" ref="D63">C63/'Project Summary'!$I$8</f>
        <v>1.6528251990182667</v>
      </c>
      <c r="E63" s="3941" t="n">
        <f t="array" ref="E63">C63/'Project Summary'!$I$7</f>
        <v>300</v>
      </c>
      <c r="F63" s="2004" t="inlineStr">
        <is>
          <t xml:space="preserve">EST: Staffing 4-6M prior to opening (shared w/ Tru)</t>
        </is>
      </c>
      <c r="G63" s="1995" t="str">
        <f t="array" ref="G63">IF(AND(E63=0,F63=""),"HIDE","")</f>
      </c>
      <c r="H63" s="26" t="n"/>
      <c r="I63" s="26" t="n"/>
      <c r="J63" s="3322" t="n"/>
      <c r="K63" s="26" t="n"/>
      <c r="L63" s="26" t="n"/>
      <c r="M63" s="26" t="n"/>
      <c r="N63" s="26" t="n"/>
      <c r="O63" s="26" t="n"/>
      <c r="P63" s="26" t="n"/>
      <c r="Q63" s="26" t="n"/>
      <c r="R63" s="26" t="n"/>
      <c r="S63" s="26" t="n"/>
      <c r="T63" s="26" t="n"/>
      <c r="U63" s="26" t="n"/>
      <c r="V63" s="26" t="n"/>
      <c r="W63" s="26" t="n"/>
      <c r="X63" s="26" t="n"/>
      <c r="Y63" s="26" t="n"/>
      <c r="Z63" s="26" t="n"/>
      <c r="AA63" s="26" t="n"/>
      <c r="AB63" s="26" t="n"/>
      <c r="AC63" s="26" t="n"/>
      <c r="AD63" s="26" t="n"/>
      <c r="AE63" s="26" t="n"/>
      <c r="AF63" s="26" t="n"/>
      <c r="AG63" s="26" t="n"/>
      <c r="AH63" s="26" t="n"/>
      <c r="AI63" s="26" t="n"/>
      <c r="AJ63" s="27" t="n"/>
    </row>
    <row r="64" s="3154" customFormat="1" ht="13.5" customHeight="1">
      <c r="A64" s="1996" t="inlineStr">
        <is>
          <t xml:space="preserve">Retail T/I</t>
        </is>
      </c>
      <c r="B64" s="3955" t="n">
        <v>0</v>
      </c>
      <c r="C64" s="3943" t="n">
        <v>0</v>
      </c>
      <c r="D64" s="3940" t="n">
        <f t="array" ref="D64">C64/'Project Summary'!$I$8</f>
        <v>0</v>
      </c>
      <c r="E64" s="3941" t="n">
        <f t="array" ref="E64">C64/'Project Summary'!$I$7</f>
        <v>0</v>
      </c>
      <c r="F64" s="2001" t="n"/>
      <c r="G64" s="1995" t="str">
        <f t="array" ref="G64">IF(AND(E64=0,F64=""),"HIDE","")</f>
        <v>HIDE</v>
      </c>
      <c r="H64" s="26" t="n"/>
      <c r="I64" s="26" t="n"/>
      <c r="J64" s="3322" t="n"/>
      <c r="K64" s="26" t="n"/>
      <c r="L64" s="26" t="n"/>
      <c r="M64" s="26" t="n"/>
      <c r="N64" s="26" t="n"/>
      <c r="O64" s="26" t="n"/>
      <c r="P64" s="26" t="n"/>
      <c r="Q64" s="26" t="n"/>
      <c r="R64" s="26" t="n"/>
      <c r="S64" s="26" t="n"/>
      <c r="T64" s="26" t="n"/>
      <c r="U64" s="26" t="n"/>
      <c r="V64" s="26" t="n"/>
      <c r="W64" s="26" t="n"/>
      <c r="X64" s="26" t="n"/>
      <c r="Y64" s="26" t="n"/>
      <c r="Z64" s="26" t="n"/>
      <c r="AA64" s="26" t="n"/>
      <c r="AB64" s="26" t="n"/>
      <c r="AC64" s="26" t="n"/>
      <c r="AD64" s="26" t="n"/>
      <c r="AE64" s="26" t="n"/>
      <c r="AF64" s="26" t="n"/>
      <c r="AG64" s="26" t="n"/>
      <c r="AH64" s="26" t="n"/>
      <c r="AI64" s="26" t="n"/>
      <c r="AJ64" s="27" t="n"/>
    </row>
    <row r="65" s="3154" customFormat="1" ht="13.5" customHeight="1">
      <c r="A65" s="1996" t="inlineStr">
        <is>
          <t xml:space="preserve">Brand Training</t>
        </is>
      </c>
      <c r="B65" s="3942" t="n"/>
      <c r="C65" s="3943" t="n">
        <v>15000</v>
      </c>
      <c r="D65" s="3940" t="n">
        <f t="array" ref="D65">C65/'Project Summary'!$I$8</f>
        <v>0.8264125995091334</v>
      </c>
      <c r="E65" s="3941" t="n">
        <f t="array" ref="E65">C65/'Project Summary'!$I$7</f>
        <v>150</v>
      </c>
      <c r="F65" s="2004" t="inlineStr">
        <is>
          <t xml:space="preserve">EST:  Confirm if needed for this brand</t>
        </is>
      </c>
      <c r="G65" s="1995" t="str">
        <f t="array" ref="G65">IF(AND(E65=0,F65=""),"HIDE","")</f>
      </c>
      <c r="H65" s="26" t="n"/>
      <c r="I65" s="26" t="n"/>
      <c r="J65" s="3322" t="n"/>
      <c r="K65" s="26" t="n"/>
      <c r="L65" s="26" t="n"/>
      <c r="M65" s="26" t="n"/>
      <c r="N65" s="26" t="n"/>
      <c r="O65" s="26" t="n"/>
      <c r="P65" s="26" t="n"/>
      <c r="Q65" s="26" t="n"/>
      <c r="R65" s="26" t="n"/>
      <c r="S65" s="26" t="n"/>
      <c r="T65" s="26" t="n"/>
      <c r="U65" s="26" t="n"/>
      <c r="V65" s="26" t="n"/>
      <c r="W65" s="26" t="n"/>
      <c r="X65" s="26" t="n"/>
      <c r="Y65" s="26" t="n"/>
      <c r="Z65" s="26" t="n"/>
      <c r="AA65" s="26" t="n"/>
      <c r="AB65" s="26" t="n"/>
      <c r="AC65" s="26" t="n"/>
      <c r="AD65" s="26" t="n"/>
      <c r="AE65" s="26" t="n"/>
      <c r="AF65" s="26" t="n"/>
      <c r="AG65" s="26" t="n"/>
      <c r="AH65" s="26" t="n"/>
      <c r="AI65" s="26" t="n"/>
      <c r="AJ65" s="27" t="n"/>
    </row>
    <row r="66" s="3154" customFormat="1" ht="13.5" customHeight="1">
      <c r="A66" s="1996" t="inlineStr">
        <is>
          <t xml:space="preserve">Working Capital</t>
        </is>
      </c>
      <c r="B66" s="3942" t="n"/>
      <c r="C66" s="3943" t="n">
        <v>150000</v>
      </c>
      <c r="D66" s="3940" t="n">
        <f t="array" ref="D66">C66/'Project Summary'!$I$8</f>
        <v>8.264125995091334</v>
      </c>
      <c r="E66" s="3941" t="n">
        <f t="array" ref="E66">C66/'Project Summary'!$I$7</f>
        <v>1500</v>
      </c>
      <c r="F66" s="2004" t="inlineStr">
        <is>
          <t xml:space="preserve">EST: Typical working capital upon opening</t>
        </is>
      </c>
      <c r="G66" s="1995" t="str">
        <f t="array" ref="G66">IF(AND(E66=0,F66=""),"HIDE","")</f>
      </c>
      <c r="H66" s="26" t="n"/>
      <c r="I66" s="26" t="n"/>
      <c r="J66" s="3322" t="n"/>
      <c r="K66" s="26" t="n"/>
      <c r="L66" s="26" t="n"/>
      <c r="M66" s="26" t="n"/>
      <c r="N66" s="26" t="n"/>
      <c r="O66" s="26" t="n"/>
      <c r="P66" s="26" t="n"/>
      <c r="Q66" s="26" t="n"/>
      <c r="R66" s="26" t="n"/>
      <c r="S66" s="26" t="n"/>
      <c r="T66" s="26" t="n"/>
      <c r="U66" s="26" t="n"/>
      <c r="V66" s="26" t="n"/>
      <c r="W66" s="26" t="n"/>
      <c r="X66" s="26" t="n"/>
      <c r="Y66" s="26" t="n"/>
      <c r="Z66" s="26" t="n"/>
      <c r="AA66" s="26" t="n"/>
      <c r="AB66" s="26" t="n"/>
      <c r="AC66" s="26" t="n"/>
      <c r="AD66" s="26" t="n"/>
      <c r="AE66" s="26" t="n"/>
      <c r="AF66" s="26" t="n"/>
      <c r="AG66" s="26" t="n"/>
      <c r="AH66" s="26" t="n"/>
      <c r="AI66" s="26" t="n"/>
      <c r="AJ66" s="27" t="n"/>
    </row>
    <row r="67" s="3154" customFormat="1" ht="13.5" customHeight="1">
      <c r="A67" s="2006" t="str">
        <f t="array" ref="A67">"Subtotal: "&amp;A59</f>
        <v>Subtotal: MARKETING &amp; PRE-OPENING</v>
      </c>
      <c r="B67" s="3944" t="n"/>
      <c r="C67" s="3945" t="n">
        <f t="array" ref="C67">SUM(C60:C66)</f>
        <v>195000</v>
      </c>
      <c r="D67" s="3946" t="n">
        <f t="array" ref="D67">SUM(D60:D66)</f>
        <v>10.743363793618734</v>
      </c>
      <c r="E67" s="3945" t="n">
        <f t="array" ref="E67">SUM(E60:E66)</f>
        <v>1950</v>
      </c>
      <c r="F67" s="2010" t="n"/>
      <c r="G67" s="26" t="n"/>
      <c r="H67" s="26" t="n"/>
      <c r="I67" s="26" t="n"/>
      <c r="J67" s="3364" t="n">
        <f t="array" ref="J67">$B$24*C67</f>
        <v>5850</v>
      </c>
      <c r="K67" s="26" t="n"/>
      <c r="L67" s="26" t="n"/>
      <c r="M67" s="26" t="n"/>
      <c r="N67" s="26" t="n"/>
      <c r="O67" s="26" t="n"/>
      <c r="P67" s="26" t="n"/>
      <c r="Q67" s="26" t="n"/>
      <c r="R67" s="26" t="n"/>
      <c r="S67" s="26" t="n"/>
      <c r="T67" s="26" t="n"/>
      <c r="U67" s="26" t="n"/>
      <c r="V67" s="26" t="n"/>
      <c r="W67" s="26" t="n"/>
      <c r="X67" s="26" t="n"/>
      <c r="Y67" s="26" t="n"/>
      <c r="Z67" s="26" t="n"/>
      <c r="AA67" s="26" t="n"/>
      <c r="AB67" s="26" t="n"/>
      <c r="AC67" s="26" t="n"/>
      <c r="AD67" s="26" t="n"/>
      <c r="AE67" s="26" t="n"/>
      <c r="AF67" s="26" t="n"/>
      <c r="AG67" s="26" t="n"/>
      <c r="AH67" s="26" t="n"/>
      <c r="AI67" s="26" t="n"/>
      <c r="AJ67" s="27" t="n"/>
    </row>
    <row r="68" s="3154" customFormat="1" ht="8" customHeight="1">
      <c r="A68" s="2021" t="n"/>
      <c r="B68" s="26" t="n"/>
      <c r="C68" s="26" t="n"/>
      <c r="D68" s="26" t="n"/>
      <c r="E68" s="26" t="n"/>
      <c r="F68" s="1983" t="n"/>
      <c r="G68" s="26" t="n"/>
      <c r="H68" s="26" t="n"/>
      <c r="I68" s="26" t="n"/>
      <c r="J68" s="26" t="n"/>
      <c r="K68" s="26" t="n"/>
      <c r="L68" s="26" t="n"/>
      <c r="M68" s="26" t="n"/>
      <c r="N68" s="26" t="n"/>
      <c r="O68" s="26" t="n"/>
      <c r="P68" s="26" t="n"/>
      <c r="Q68" s="26" t="n"/>
      <c r="R68" s="26" t="n"/>
      <c r="S68" s="26" t="n"/>
      <c r="T68" s="26" t="n"/>
      <c r="U68" s="26" t="n"/>
      <c r="V68" s="26" t="n"/>
      <c r="W68" s="26" t="n"/>
      <c r="X68" s="26" t="n"/>
      <c r="Y68" s="26" t="n"/>
      <c r="Z68" s="26" t="n"/>
      <c r="AA68" s="26" t="n"/>
      <c r="AB68" s="26" t="n"/>
      <c r="AC68" s="26" t="n"/>
      <c r="AD68" s="26" t="n"/>
      <c r="AE68" s="26" t="n"/>
      <c r="AF68" s="26" t="n"/>
      <c r="AG68" s="26" t="n"/>
      <c r="AH68" s="26" t="n"/>
      <c r="AI68" s="26" t="n"/>
      <c r="AJ68" s="27" t="n"/>
    </row>
    <row r="69" s="3154" customFormat="1" ht="13.5" customHeight="1">
      <c r="A69" s="1985" t="inlineStr">
        <is>
          <t xml:space="preserve">FINANCING</t>
        </is>
      </c>
      <c r="B69" s="3933" t="n"/>
      <c r="C69" s="3956" t="n"/>
      <c r="D69" s="1987" t="inlineStr">
        <is>
          <t xml:space="preserve">$/GSF</t>
        </is>
      </c>
      <c r="E69" s="1987" t="inlineStr">
        <is>
          <t xml:space="preserve">PKEY</t>
        </is>
      </c>
      <c r="F69" s="1988" t="inlineStr">
        <is>
          <t xml:space="preserve">NOTES</t>
        </is>
      </c>
      <c r="G69" s="26" t="n"/>
      <c r="H69" s="26" t="n"/>
      <c r="I69" s="26" t="n"/>
      <c r="J69" s="26" t="n"/>
      <c r="K69" s="26" t="n"/>
      <c r="L69" s="26" t="n"/>
      <c r="M69" s="26" t="n"/>
      <c r="N69" s="1984" t="inlineStr">
        <is>
          <t xml:space="preserve">FINANCING</t>
        </is>
      </c>
      <c r="O69" s="26" t="n"/>
      <c r="P69" s="26" t="n"/>
      <c r="Q69" s="26" t="n"/>
      <c r="R69" s="26" t="n"/>
      <c r="S69" s="26" t="n"/>
      <c r="T69" s="26" t="n"/>
      <c r="U69" s="26" t="n"/>
      <c r="V69" s="26" t="n"/>
      <c r="W69" s="26" t="n"/>
      <c r="X69" s="26" t="n"/>
      <c r="Y69" s="26" t="n"/>
      <c r="Z69" s="26" t="n"/>
      <c r="AA69" s="26" t="n"/>
      <c r="AB69" s="26" t="n"/>
      <c r="AC69" s="26" t="n"/>
      <c r="AD69" s="26" t="n"/>
      <c r="AE69" s="26" t="n"/>
      <c r="AF69" s="26" t="n"/>
      <c r="AG69" s="26" t="n"/>
      <c r="AH69" s="26" t="n"/>
      <c r="AI69" s="26" t="n"/>
      <c r="AJ69" s="27" t="n"/>
    </row>
    <row r="70" s="3154" customFormat="1" ht="13.5" customHeight="1">
      <c r="A70" s="1989" t="inlineStr">
        <is>
          <t xml:space="preserve">Interest - Construction Period</t>
        </is>
      </c>
      <c r="B70" s="3949" t="n"/>
      <c r="C70" s="3954" t="n">
        <v>225000</v>
      </c>
      <c r="D70" s="3957" t="n">
        <f t="array" ref="D70">C70/'Project Summary'!$I$8</f>
        <v>12.396188992637</v>
      </c>
      <c r="E70" s="3937" t="n">
        <f t="array" ref="E70">C70/'Project Summary'!$I$7</f>
        <v>2250</v>
      </c>
      <c r="F70" s="3958" t="n"/>
      <c r="G70" s="1995" t="str">
        <f t="array" ref="G70">IF(AND(E70=0,F70=""),"HIDE","")</f>
      </c>
      <c r="H70" s="3959" t="n">
        <f t="array" ref="H70">CEILING('Construction Interest'!H5,50000)</f>
        <v>0</v>
      </c>
      <c r="I70" s="26" t="n"/>
      <c r="J70" s="3960" t="n"/>
      <c r="K70" s="26" t="n"/>
      <c r="L70" s="26" t="n"/>
      <c r="M70" s="3961" t="n"/>
      <c r="N70" s="26" t="n"/>
      <c r="O70" s="26" t="n"/>
      <c r="P70" s="26" t="n"/>
      <c r="Q70" s="26" t="n"/>
      <c r="R70" s="26" t="n"/>
      <c r="S70" s="26" t="n"/>
      <c r="T70" s="26" t="n"/>
      <c r="U70" s="26" t="n"/>
      <c r="V70" s="26" t="n"/>
      <c r="W70" s="26" t="n"/>
      <c r="X70" s="26" t="n"/>
      <c r="Y70" s="26" t="n"/>
      <c r="Z70" s="26" t="n"/>
      <c r="AA70" s="26" t="n"/>
      <c r="AB70" s="26" t="n"/>
      <c r="AC70" s="26" t="n"/>
      <c r="AD70" s="26" t="n"/>
      <c r="AE70" s="26" t="n"/>
      <c r="AF70" s="26" t="n"/>
      <c r="AG70" s="26" t="n"/>
      <c r="AH70" s="26" t="n"/>
      <c r="AI70" s="26" t="n"/>
      <c r="AJ70" s="27" t="n"/>
    </row>
    <row r="71" s="3154" customFormat="1" ht="13.5" customHeight="1">
      <c r="A71" s="1996" t="inlineStr">
        <is>
          <t xml:space="preserve">Misc Financing Expense</t>
        </is>
      </c>
      <c r="B71" s="3942" t="n">
        <f t="array" ref="B71">'Assumptions'!D96</f>
        <v>0</v>
      </c>
      <c r="C71" s="3943" t="n">
        <v>0</v>
      </c>
      <c r="D71" s="3940" t="n">
        <f t="array" ref="D71">C71/'Project Summary'!$I$8</f>
        <v>0</v>
      </c>
      <c r="E71" s="3941" t="n">
        <f t="array" ref="E71">C71/'Project Summary'!$I$7</f>
        <v>0</v>
      </c>
      <c r="F71" s="2020" t="inlineStr">
        <is>
          <t xml:space="preserve">Assume no equity raise fee</t>
        </is>
      </c>
      <c r="G71" s="1995" t="str">
        <f t="array" ref="G71">IF(AND(E71=0,F71=""),"HIDE","")</f>
      </c>
      <c r="H71" s="3364" t="n">
        <f t="array" ref="H71">CEILING((B71*'Project Summary'!C6),1000)</f>
        <v>0</v>
      </c>
      <c r="I71" s="26" t="n"/>
      <c r="J71" s="26" t="n"/>
      <c r="K71" s="26" t="n"/>
      <c r="L71" s="26" t="n"/>
      <c r="M71" s="26" t="n"/>
      <c r="N71" s="26" t="n"/>
      <c r="O71" s="26" t="n"/>
      <c r="P71" s="26" t="n"/>
      <c r="Q71" s="26" t="n"/>
      <c r="R71" s="26" t="n"/>
      <c r="S71" s="26" t="n"/>
      <c r="T71" s="26" t="n"/>
      <c r="U71" s="26" t="n"/>
      <c r="V71" s="26" t="n"/>
      <c r="W71" s="26" t="n"/>
      <c r="X71" s="26" t="n"/>
      <c r="Y71" s="26" t="n"/>
      <c r="Z71" s="26" t="n"/>
      <c r="AA71" s="26" t="n"/>
      <c r="AB71" s="26" t="n"/>
      <c r="AC71" s="26" t="n"/>
      <c r="AD71" s="26" t="n"/>
      <c r="AE71" s="26" t="n"/>
      <c r="AF71" s="26" t="n"/>
      <c r="AG71" s="26" t="n"/>
      <c r="AH71" s="26" t="n"/>
      <c r="AI71" s="26" t="n"/>
      <c r="AJ71" s="27" t="n"/>
    </row>
    <row r="72" s="3154" customFormat="1" ht="13.5" customHeight="1">
      <c r="A72" s="1996" t="inlineStr">
        <is>
          <t xml:space="preserve">Appraiser</t>
        </is>
      </c>
      <c r="B72" s="3942" t="n"/>
      <c r="C72" s="3943" t="n">
        <v>5000</v>
      </c>
      <c r="D72" s="3940" t="n">
        <f t="array" ref="D72">C72/'Project Summary'!$I$8</f>
        <v>0.2754708665030445</v>
      </c>
      <c r="E72" s="3941" t="n">
        <f t="array" ref="E72">C72/'Project Summary'!$I$7</f>
        <v>50</v>
      </c>
      <c r="F72" s="2001" t="n"/>
      <c r="G72" s="1995" t="str">
        <f t="array" ref="G72">IF(AND(E72=0,F72=""),"HIDE","")</f>
      </c>
      <c r="H72" s="26" t="n"/>
      <c r="I72" s="26" t="n"/>
      <c r="J72" s="26" t="n"/>
      <c r="K72" s="26" t="n"/>
      <c r="L72" s="26" t="n"/>
      <c r="M72" s="26" t="n"/>
      <c r="N72" s="26" t="n"/>
      <c r="O72" s="26" t="n"/>
      <c r="P72" s="26" t="n"/>
      <c r="Q72" s="26" t="n"/>
      <c r="R72" s="26" t="n"/>
      <c r="S72" s="26" t="n"/>
      <c r="T72" s="26" t="n"/>
      <c r="U72" s="26" t="n"/>
      <c r="V72" s="26" t="n"/>
      <c r="W72" s="26" t="n"/>
      <c r="X72" s="26" t="n"/>
      <c r="Y72" s="26" t="n"/>
      <c r="Z72" s="26" t="n"/>
      <c r="AA72" s="26" t="n"/>
      <c r="AB72" s="26" t="n"/>
      <c r="AC72" s="26" t="n"/>
      <c r="AD72" s="26" t="n"/>
      <c r="AE72" s="26" t="n"/>
      <c r="AF72" s="26" t="n"/>
      <c r="AG72" s="26" t="n"/>
      <c r="AH72" s="26" t="n"/>
      <c r="AI72" s="26" t="n"/>
      <c r="AJ72" s="27" t="n"/>
    </row>
    <row r="73" s="3154" customFormat="1" ht="13.5" customHeight="1">
      <c r="A73" s="1996" t="inlineStr">
        <is>
          <t xml:space="preserve">Guarantee Fee</t>
        </is>
      </c>
      <c r="B73" s="3942" t="n"/>
      <c r="C73" s="3943" t="n">
        <v>0</v>
      </c>
      <c r="D73" s="3940" t="n">
        <f t="array" ref="D73">C73/'Project Summary'!$I$8</f>
        <v>0</v>
      </c>
      <c r="E73" s="3941" t="n">
        <f t="array" ref="E73">C73/'Project Summary'!$I$7</f>
        <v>0</v>
      </c>
      <c r="F73" s="2001" t="n"/>
      <c r="G73" s="1995" t="str">
        <f t="array" ref="G73">IF(AND(E73=0,F73=""),"HIDE","")</f>
        <v>HIDE</v>
      </c>
      <c r="H73" s="26" t="n"/>
      <c r="I73" s="26" t="n"/>
      <c r="J73" s="26" t="n"/>
      <c r="K73" s="26" t="n"/>
      <c r="L73" s="26" t="n"/>
      <c r="M73" s="26" t="n"/>
      <c r="N73" s="26" t="n"/>
      <c r="O73" s="26" t="n"/>
      <c r="P73" s="26" t="n"/>
      <c r="Q73" s="26" t="n"/>
      <c r="R73" s="26" t="n"/>
      <c r="S73" s="26" t="n"/>
      <c r="T73" s="26" t="n"/>
      <c r="U73" s="26" t="n"/>
      <c r="V73" s="26" t="n"/>
      <c r="W73" s="26" t="n"/>
      <c r="X73" s="26" t="n"/>
      <c r="Y73" s="26" t="n"/>
      <c r="Z73" s="26" t="n"/>
      <c r="AA73" s="26" t="n"/>
      <c r="AB73" s="26" t="n"/>
      <c r="AC73" s="26" t="n"/>
      <c r="AD73" s="26" t="n"/>
      <c r="AE73" s="26" t="n"/>
      <c r="AF73" s="26" t="n"/>
      <c r="AG73" s="26" t="n"/>
      <c r="AH73" s="26" t="n"/>
      <c r="AI73" s="26" t="n"/>
      <c r="AJ73" s="27" t="n"/>
    </row>
    <row r="74" s="3154" customFormat="1" ht="13.5" customHeight="1">
      <c r="A74" s="1996" t="inlineStr">
        <is>
          <t xml:space="preserve">Title Insurance</t>
        </is>
      </c>
      <c r="B74" s="3942" t="n"/>
      <c r="C74" s="3943" t="n">
        <v>12000</v>
      </c>
      <c r="D74" s="3940" t="n">
        <f t="array" ref="D74">C74/'Project Summary'!$I$8</f>
        <v>0.6611300796073067</v>
      </c>
      <c r="E74" s="3941" t="n">
        <f t="array" ref="E74">C74/'Project Summary'!$I$7</f>
        <v>120</v>
      </c>
      <c r="F74" s="2001" t="n"/>
      <c r="G74" s="1995" t="str">
        <f t="array" ref="G74">IF(AND(E74=0,F74=""),"HIDE","")</f>
      </c>
      <c r="H74" s="26" t="n"/>
      <c r="I74" s="26" t="n"/>
      <c r="J74" s="26" t="n"/>
      <c r="K74" s="26" t="n"/>
      <c r="L74" s="26" t="n"/>
      <c r="M74" s="26" t="n"/>
      <c r="N74" s="26" t="n"/>
      <c r="O74" s="26" t="n"/>
      <c r="P74" s="26" t="n"/>
      <c r="Q74" s="26" t="n"/>
      <c r="R74" s="26" t="n"/>
      <c r="S74" s="26" t="n"/>
      <c r="T74" s="26" t="n"/>
      <c r="U74" s="26" t="n"/>
      <c r="V74" s="26" t="n"/>
      <c r="W74" s="26" t="n"/>
      <c r="X74" s="26" t="n"/>
      <c r="Y74" s="26" t="n"/>
      <c r="Z74" s="26" t="n"/>
      <c r="AA74" s="26" t="n"/>
      <c r="AB74" s="26" t="n"/>
      <c r="AC74" s="26" t="n"/>
      <c r="AD74" s="26" t="n"/>
      <c r="AE74" s="26" t="n"/>
      <c r="AF74" s="26" t="n"/>
      <c r="AG74" s="26" t="n"/>
      <c r="AH74" s="26" t="n"/>
      <c r="AI74" s="26" t="n"/>
      <c r="AJ74" s="27" t="n"/>
    </row>
    <row r="75" s="3154" customFormat="1" ht="13.5" customHeight="1">
      <c r="A75" s="1996" t="inlineStr">
        <is>
          <t xml:space="preserve">Mortgage Recording Tax</t>
        </is>
      </c>
      <c r="B75" s="2031" t="n">
        <f t="array" ref="B75">'Assumptions'!$D$98</f>
        <v>0.0015</v>
      </c>
      <c r="C75" s="3943" t="n">
        <v>19000</v>
      </c>
      <c r="D75" s="3940" t="n">
        <f t="array" ref="D75">C75/'Project Summary'!$I$8</f>
        <v>1.046789292711569</v>
      </c>
      <c r="E75" s="3941" t="n">
        <f t="array" ref="E75">C75/'Project Summary'!$I$7</f>
        <v>190</v>
      </c>
      <c r="F75" s="3962" t="n"/>
      <c r="G75" s="1995" t="str">
        <f t="array" ref="G75">IF(AND(E75=0,F75=""),"HIDE","")</f>
      </c>
      <c r="H75" s="3364" t="n">
        <f t="array" ref="H75">CEILING((B75*'Assumptions'!$D$101),1000)</f>
        <v>8000</v>
      </c>
      <c r="I75" s="26" t="n"/>
      <c r="J75" s="3960" t="n"/>
      <c r="K75" s="26" t="n"/>
      <c r="L75" s="26" t="n"/>
      <c r="M75" s="26" t="n"/>
      <c r="N75" s="26" t="n"/>
      <c r="O75" s="26" t="n"/>
      <c r="P75" s="26" t="n"/>
      <c r="Q75" s="26" t="n"/>
      <c r="R75" s="26" t="n"/>
      <c r="S75" s="26" t="n"/>
      <c r="T75" s="26" t="n"/>
      <c r="U75" s="26" t="n"/>
      <c r="V75" s="26" t="n"/>
      <c r="W75" s="26" t="n"/>
      <c r="X75" s="26" t="n"/>
      <c r="Y75" s="26" t="n"/>
      <c r="Z75" s="26" t="n"/>
      <c r="AA75" s="26" t="n"/>
      <c r="AB75" s="26" t="n"/>
      <c r="AC75" s="26" t="n"/>
      <c r="AD75" s="26" t="n"/>
      <c r="AE75" s="26" t="n"/>
      <c r="AF75" s="26" t="n"/>
      <c r="AG75" s="26" t="n"/>
      <c r="AH75" s="26" t="n"/>
      <c r="AI75" s="26" t="n"/>
      <c r="AJ75" s="27" t="n"/>
    </row>
    <row r="76" s="3154" customFormat="1" ht="13.5" customHeight="1">
      <c r="A76" s="1996" t="inlineStr">
        <is>
          <t xml:space="preserve">Lender Origination Fees</t>
        </is>
      </c>
      <c r="B76" s="2031" t="n">
        <f t="array" ref="B76">'Assumptions'!D95</f>
        <v>0.005</v>
      </c>
      <c r="C76" s="3943" t="n">
        <v>62000</v>
      </c>
      <c r="D76" s="3940" t="n">
        <f t="array" ref="D76">C76/'Project Summary'!$I$8</f>
        <v>3.4158387446377514</v>
      </c>
      <c r="E76" s="3941" t="n">
        <f t="array" ref="E76">C76/'Project Summary'!$I$7</f>
        <v>620</v>
      </c>
      <c r="F76" s="2020" t="inlineStr">
        <is>
          <t xml:space="preserve">EST for senior &amp; mezz orig fees</t>
        </is>
      </c>
      <c r="G76" s="1995" t="str">
        <f t="array" ref="G76">IF(AND(E76=0,F76=""),"HIDE","")</f>
      </c>
      <c r="H76" s="3364" t="n">
        <f t="array" ref="H76">CEILING((B76*'Assumptions'!$D$101),1000)</f>
        <v>26000</v>
      </c>
      <c r="I76" s="26" t="n"/>
      <c r="J76" s="3960" t="n"/>
      <c r="K76" s="26" t="n"/>
      <c r="L76" s="26" t="n"/>
      <c r="M76" s="26" t="n"/>
      <c r="N76" s="26" t="n"/>
      <c r="O76" s="26" t="n"/>
      <c r="P76" s="26" t="n"/>
      <c r="Q76" s="26" t="n"/>
      <c r="R76" s="26" t="n"/>
      <c r="S76" s="26" t="n"/>
      <c r="T76" s="26" t="n"/>
      <c r="U76" s="26" t="n"/>
      <c r="V76" s="26" t="n"/>
      <c r="W76" s="26" t="n"/>
      <c r="X76" s="26" t="n"/>
      <c r="Y76" s="26" t="n"/>
      <c r="Z76" s="26" t="n"/>
      <c r="AA76" s="26" t="n"/>
      <c r="AB76" s="26" t="n"/>
      <c r="AC76" s="26" t="n"/>
      <c r="AD76" s="26" t="n"/>
      <c r="AE76" s="26" t="n"/>
      <c r="AF76" s="26" t="n"/>
      <c r="AG76" s="26" t="n"/>
      <c r="AH76" s="26" t="n"/>
      <c r="AI76" s="26" t="n"/>
      <c r="AJ76" s="27" t="n"/>
    </row>
    <row r="77" s="3154" customFormat="1" ht="13.5" customHeight="1">
      <c r="A77" s="1996" t="inlineStr">
        <is>
          <t xml:space="preserve">Mortgage Broker</t>
        </is>
      </c>
      <c r="B77" s="2031" t="n">
        <f t="array" ref="B77">'Assumptions'!D97</f>
        <v>0.005</v>
      </c>
      <c r="C77" s="3943" t="n">
        <v>62000</v>
      </c>
      <c r="D77" s="3940" t="n">
        <f t="array" ref="D77">C77/'Project Summary'!$I$8</f>
        <v>3.4158387446377514</v>
      </c>
      <c r="E77" s="3941" t="n">
        <f t="array" ref="E77">C77/'Project Summary'!$I$7</f>
        <v>620</v>
      </c>
      <c r="F77" s="2020" t="inlineStr">
        <is>
          <t xml:space="preserve">EST for typ broker</t>
        </is>
      </c>
      <c r="G77" s="1995" t="str">
        <f t="array" ref="G77">IF(AND(E77=0,F77=""),"HIDE","")</f>
      </c>
      <c r="H77" s="3364" t="n">
        <f t="array" ref="H77">CEILING((B77*'Assumptions'!$D$101),1000)</f>
        <v>26000</v>
      </c>
      <c r="I77" s="26" t="n"/>
      <c r="J77" s="26" t="n"/>
      <c r="K77" s="26" t="n"/>
      <c r="L77" s="26" t="n"/>
      <c r="M77" s="26" t="n"/>
      <c r="N77" s="26" t="n"/>
      <c r="O77" s="26" t="n"/>
      <c r="P77" s="26" t="n"/>
      <c r="Q77" s="26" t="n"/>
      <c r="R77" s="26" t="n"/>
      <c r="S77" s="26" t="n"/>
      <c r="T77" s="26" t="n"/>
      <c r="U77" s="26" t="n"/>
      <c r="V77" s="26" t="n"/>
      <c r="W77" s="26" t="n"/>
      <c r="X77" s="26" t="n"/>
      <c r="Y77" s="26" t="n"/>
      <c r="Z77" s="26" t="n"/>
      <c r="AA77" s="26" t="n"/>
      <c r="AB77" s="26" t="n"/>
      <c r="AC77" s="26" t="n"/>
      <c r="AD77" s="26" t="n"/>
      <c r="AE77" s="26" t="n"/>
      <c r="AF77" s="26" t="n"/>
      <c r="AG77" s="26" t="n"/>
      <c r="AH77" s="26" t="n"/>
      <c r="AI77" s="26" t="n"/>
      <c r="AJ77" s="27" t="n"/>
    </row>
    <row r="78" s="3154" customFormat="1" ht="13.5" customHeight="1">
      <c r="A78" s="1996" t="inlineStr">
        <is>
          <t xml:space="preserve">Lender Legal &amp; Arch Review</t>
        </is>
      </c>
      <c r="B78" s="3942" t="n"/>
      <c r="C78" s="3943" t="n">
        <f t="array" ref="C78">10000+(2000*'Assumptions'!F20)</f>
        <v>28000</v>
      </c>
      <c r="D78" s="3940" t="n">
        <f t="array" ref="D78">C78/'Project Summary'!$I$8</f>
        <v>1.542636852417049</v>
      </c>
      <c r="E78" s="3941" t="n">
        <f t="array" ref="E78">C78/'Project Summary'!$I$7</f>
        <v>280</v>
      </c>
      <c r="F78" s="2004" t="inlineStr">
        <is>
          <t xml:space="preserve">EST $10k for lender reimb + $2k/mo for draw certs</t>
        </is>
      </c>
      <c r="G78" s="1995" t="str">
        <f t="array" ref="G78">IF(AND(E78=0,F78=""),"HIDE","")</f>
      </c>
      <c r="H78" s="26" t="n"/>
      <c r="I78" s="26" t="n"/>
      <c r="J78" s="26" t="n"/>
      <c r="K78" s="26" t="n"/>
      <c r="L78" s="26" t="n"/>
      <c r="M78" s="26" t="n"/>
      <c r="N78" s="26" t="n"/>
      <c r="O78" s="26" t="n"/>
      <c r="P78" s="26" t="n"/>
      <c r="Q78" s="26" t="n"/>
      <c r="R78" s="26" t="n"/>
      <c r="S78" s="26" t="n"/>
      <c r="T78" s="26" t="n"/>
      <c r="U78" s="26" t="n"/>
      <c r="V78" s="26" t="n"/>
      <c r="W78" s="26" t="n"/>
      <c r="X78" s="26" t="n"/>
      <c r="Y78" s="26" t="n"/>
      <c r="Z78" s="26" t="n"/>
      <c r="AA78" s="26" t="n"/>
      <c r="AB78" s="26" t="n"/>
      <c r="AC78" s="26" t="n"/>
      <c r="AD78" s="26" t="n"/>
      <c r="AE78" s="26" t="n"/>
      <c r="AF78" s="26" t="n"/>
      <c r="AG78" s="26" t="n"/>
      <c r="AH78" s="26" t="n"/>
      <c r="AI78" s="26" t="n"/>
      <c r="AJ78" s="27" t="n"/>
    </row>
    <row r="79" s="3154" customFormat="1" ht="13.5" customHeight="1">
      <c r="A79" s="1996" t="inlineStr">
        <is>
          <t xml:space="preserve">Borrower Legal</t>
        </is>
      </c>
      <c r="B79" s="3942" t="n"/>
      <c r="C79" s="3943" t="n">
        <v>25000</v>
      </c>
      <c r="D79" s="3940" t="n">
        <f t="array" ref="D79">C79/'Project Summary'!$I$8</f>
        <v>1.3773543325152222</v>
      </c>
      <c r="E79" s="3941" t="n">
        <f t="array" ref="E79">C79/'Project Summary'!$I$7</f>
        <v>250</v>
      </c>
      <c r="F79" s="2004" t="inlineStr">
        <is>
          <t xml:space="preserve">Reimb for lender legal prior to closing</t>
        </is>
      </c>
      <c r="G79" s="1995" t="str">
        <f t="array" ref="G79">IF(AND(E79=0,F79=""),"HIDE","")</f>
      </c>
      <c r="H79" s="26" t="n"/>
      <c r="I79" s="26" t="n"/>
      <c r="J79" s="26" t="n"/>
      <c r="K79" s="26" t="n"/>
      <c r="L79" s="26" t="n"/>
      <c r="M79" s="26" t="n"/>
      <c r="N79" s="26" t="n"/>
      <c r="O79" s="26" t="n"/>
      <c r="P79" s="26" t="n"/>
      <c r="Q79" s="26" t="n"/>
      <c r="R79" s="26" t="n"/>
      <c r="S79" s="26" t="n"/>
      <c r="T79" s="26" t="n"/>
      <c r="U79" s="26" t="n"/>
      <c r="V79" s="26" t="n"/>
      <c r="W79" s="26" t="n"/>
      <c r="X79" s="26" t="n"/>
      <c r="Y79" s="26" t="n"/>
      <c r="Z79" s="26" t="n"/>
      <c r="AA79" s="26" t="n"/>
      <c r="AB79" s="26" t="n"/>
      <c r="AC79" s="26" t="n"/>
      <c r="AD79" s="26" t="n"/>
      <c r="AE79" s="26" t="n"/>
      <c r="AF79" s="26" t="n"/>
      <c r="AG79" s="26" t="n"/>
      <c r="AH79" s="26" t="n"/>
      <c r="AI79" s="26" t="n"/>
      <c r="AJ79" s="27" t="n"/>
    </row>
    <row r="80" s="3154" customFormat="1" ht="15" customHeight="1">
      <c r="A80" s="1996" t="inlineStr">
        <is>
          <t xml:space="preserve">Carry Reserve</t>
        </is>
      </c>
      <c r="B80" s="3942" t="n"/>
      <c r="C80" s="3943" t="n">
        <v>100000</v>
      </c>
      <c r="D80" s="3940" t="n">
        <f t="array" ref="D80">C80/'Project Summary'!$I$8</f>
        <v>5.509417330060889</v>
      </c>
      <c r="E80" s="3941" t="n">
        <f t="array" ref="E80">C80/'Project Summary'!$I$7</f>
        <v>1000</v>
      </c>
      <c r="F80" s="2004" t="inlineStr">
        <is>
          <t xml:space="preserve">Capitalized loss of NOI until stabilization (See Ramp Tab)</t>
        </is>
      </c>
      <c r="G80" s="1995" t="str">
        <f t="array" ref="G80">IF(AND(E80=0,F80=""),"HIDE","")</f>
      </c>
      <c r="H80" s="26" t="n"/>
      <c r="I80" s="26" t="n"/>
      <c r="J80" s="26" t="n"/>
      <c r="K80" s="26" t="n"/>
      <c r="L80" s="26" t="n"/>
      <c r="M80" s="26" t="n"/>
      <c r="N80" s="26" t="n"/>
      <c r="O80" s="26" t="n"/>
      <c r="P80" s="26" t="n"/>
      <c r="Q80" s="26" t="n"/>
      <c r="R80" s="26" t="n"/>
      <c r="S80" s="26" t="n"/>
      <c r="T80" s="26" t="n"/>
      <c r="U80" s="26" t="n"/>
      <c r="V80" s="26" t="n"/>
      <c r="W80" s="26" t="n"/>
      <c r="X80" s="26" t="n"/>
      <c r="Y80" s="26" t="n"/>
      <c r="Z80" s="26" t="n"/>
      <c r="AA80" s="26" t="n"/>
      <c r="AB80" s="26" t="n"/>
      <c r="AC80" s="26" t="n"/>
      <c r="AD80" s="26" t="n"/>
      <c r="AE80" s="26" t="n"/>
      <c r="AF80" s="26" t="n"/>
      <c r="AG80" s="26" t="n"/>
      <c r="AH80" s="26" t="n"/>
      <c r="AI80" s="26" t="n"/>
      <c r="AJ80" s="27" t="n"/>
    </row>
    <row r="81" s="3154" customFormat="1" ht="13.5" customHeight="1">
      <c r="A81" s="2006" t="str">
        <f t="array" ref="A81">"Subtotal: "&amp;A69</f>
        <v>Subtotal: FINANCING</v>
      </c>
      <c r="B81" s="3944" t="n"/>
      <c r="C81" s="3945" t="n">
        <f t="array" ref="C81">SUM(C70:C80)</f>
        <v>538000</v>
      </c>
      <c r="D81" s="3946" t="n">
        <f t="array" ref="D81">SUM(D70:D80)</f>
        <v>29.640665235727585</v>
      </c>
      <c r="E81" s="3945" t="n">
        <f t="array" ref="E81">SUM(E70:E80)</f>
        <v>5380</v>
      </c>
      <c r="F81" s="2010" t="n"/>
      <c r="G81" s="26" t="n"/>
      <c r="H81" s="26" t="n"/>
      <c r="I81" s="26" t="n"/>
      <c r="J81" s="3364" t="n">
        <f t="array" ref="J81">$B$24*C81</f>
        <v>16140</v>
      </c>
      <c r="K81" s="26" t="n"/>
      <c r="L81" s="26" t="n"/>
      <c r="M81" s="26" t="n"/>
      <c r="N81" s="26" t="n"/>
      <c r="O81" s="26" t="n"/>
      <c r="P81" s="26" t="n"/>
      <c r="Q81" s="26" t="n"/>
      <c r="R81" s="26" t="n"/>
      <c r="S81" s="26" t="n"/>
      <c r="T81" s="26" t="n"/>
      <c r="U81" s="26" t="n"/>
      <c r="V81" s="26" t="n"/>
      <c r="W81" s="26" t="n"/>
      <c r="X81" s="26" t="n"/>
      <c r="Y81" s="26" t="n"/>
      <c r="Z81" s="26" t="n"/>
      <c r="AA81" s="26" t="n"/>
      <c r="AB81" s="26" t="n"/>
      <c r="AC81" s="26" t="n"/>
      <c r="AD81" s="26" t="n"/>
      <c r="AE81" s="26" t="n"/>
      <c r="AF81" s="26" t="n"/>
      <c r="AG81" s="26" t="n"/>
      <c r="AH81" s="26" t="n"/>
      <c r="AI81" s="26" t="n"/>
      <c r="AJ81" s="27" t="n"/>
    </row>
    <row r="82" s="3154" customFormat="1" ht="8" customHeight="1">
      <c r="A82" s="2021" t="n"/>
      <c r="B82" s="3947" t="n"/>
      <c r="C82" s="3364" t="n"/>
      <c r="D82" s="26" t="n"/>
      <c r="E82" s="3948" t="n"/>
      <c r="F82" s="2033" t="n"/>
      <c r="G82" s="2034" t="n"/>
      <c r="H82" s="2034" t="n"/>
      <c r="I82" s="2034" t="n"/>
      <c r="J82" s="3963" t="n"/>
      <c r="K82" s="3963" t="n"/>
      <c r="L82" s="3963" t="n"/>
      <c r="M82" s="3963" t="n"/>
      <c r="N82" s="3963" t="n"/>
      <c r="O82" s="3963" t="n"/>
      <c r="P82" s="3963" t="n"/>
      <c r="Q82" s="3963" t="n"/>
      <c r="R82" s="3963" t="n"/>
      <c r="S82" s="3963" t="n"/>
      <c r="T82" s="3963" t="n"/>
      <c r="U82" s="3963" t="n"/>
      <c r="V82" s="3963" t="n"/>
      <c r="W82" s="3963" t="n"/>
      <c r="X82" s="3963" t="n"/>
      <c r="Y82" s="3963" t="n"/>
      <c r="Z82" s="3963" t="n"/>
      <c r="AA82" s="3963" t="n"/>
      <c r="AB82" s="3963" t="n"/>
      <c r="AC82" s="3963" t="n"/>
      <c r="AD82" s="3963" t="n"/>
      <c r="AE82" s="3963" t="n"/>
      <c r="AF82" s="3963" t="n"/>
      <c r="AG82" s="3963" t="n"/>
      <c r="AH82" s="3963" t="n"/>
      <c r="AI82" s="3963" t="n"/>
      <c r="AJ82" s="3964" t="n"/>
    </row>
    <row r="83" s="3154" customFormat="1" ht="13.5" customHeight="1">
      <c r="A83" s="1985" t="inlineStr">
        <is>
          <t xml:space="preserve">CONSTRUCTION HARD COSTS</t>
        </is>
      </c>
      <c r="B83" s="3933" t="n"/>
      <c r="C83" s="1987" t="inlineStr">
        <is>
          <t xml:space="preserve">TOTAL</t>
        </is>
      </c>
      <c r="D83" s="1987" t="inlineStr">
        <is>
          <t xml:space="preserve">$/GSF</t>
        </is>
      </c>
      <c r="E83" s="1987" t="inlineStr">
        <is>
          <t xml:space="preserve">PKEY</t>
        </is>
      </c>
      <c r="F83" s="1988" t="inlineStr">
        <is>
          <t xml:space="preserve">NOTES</t>
        </is>
      </c>
      <c r="G83" s="2034" t="n"/>
      <c r="H83" s="2034" t="n"/>
      <c r="I83" s="2034" t="n"/>
      <c r="J83" s="3963" t="n"/>
      <c r="K83" s="3963" t="n"/>
      <c r="L83" s="3963" t="n"/>
      <c r="M83" s="3963" t="n"/>
      <c r="N83" s="2037" t="inlineStr">
        <is>
          <t xml:space="preserve">HARD COSTS</t>
        </is>
      </c>
      <c r="O83" s="3963" t="n"/>
      <c r="P83" s="3963" t="n"/>
      <c r="Q83" s="3963" t="n"/>
      <c r="R83" s="3963" t="n"/>
      <c r="S83" s="3963" t="n"/>
      <c r="T83" s="3963" t="n"/>
      <c r="U83" s="3963" t="n"/>
      <c r="V83" s="3963" t="n"/>
      <c r="W83" s="3963" t="n"/>
      <c r="X83" s="3963" t="n"/>
      <c r="Y83" s="3963" t="n"/>
      <c r="Z83" s="3963" t="n"/>
      <c r="AA83" s="3963" t="n"/>
      <c r="AB83" s="3963" t="n"/>
      <c r="AC83" s="3963" t="n"/>
      <c r="AD83" s="3963" t="n"/>
      <c r="AE83" s="3963" t="n"/>
      <c r="AF83" s="3963" t="n"/>
      <c r="AG83" s="3963" t="n"/>
      <c r="AH83" s="3963" t="n"/>
      <c r="AI83" s="3963" t="n"/>
      <c r="AJ83" s="3964" t="n"/>
    </row>
    <row r="84" s="3154" customFormat="1" ht="13.5" customHeight="1">
      <c r="A84" s="2038" t="inlineStr">
        <is>
          <t xml:space="preserve">Site Work</t>
        </is>
      </c>
      <c r="B84" s="3965" t="n"/>
      <c r="C84" s="3965" t="n"/>
      <c r="D84" s="3966" t="n"/>
      <c r="E84" s="3967" t="n"/>
      <c r="F84" s="2042" t="n"/>
      <c r="G84" s="2034" t="n"/>
      <c r="H84" s="2034" t="n"/>
      <c r="I84" s="2034" t="n"/>
      <c r="J84" s="3963" t="n"/>
      <c r="K84" s="3963" t="n"/>
      <c r="L84" s="3963" t="n"/>
      <c r="M84" s="3963" t="n"/>
      <c r="N84" s="3963" t="n"/>
      <c r="O84" s="3963" t="n"/>
      <c r="P84" s="3963" t="n"/>
      <c r="Q84" s="3963" t="n"/>
      <c r="R84" s="3963" t="n"/>
      <c r="S84" s="3963" t="n"/>
      <c r="T84" s="3963" t="n"/>
      <c r="U84" s="3963" t="n"/>
      <c r="V84" s="3963" t="n"/>
      <c r="W84" s="3963" t="n"/>
      <c r="X84" s="3963" t="n"/>
      <c r="Y84" s="3963" t="n"/>
      <c r="Z84" s="3963" t="n"/>
      <c r="AA84" s="3963" t="n"/>
      <c r="AB84" s="3963" t="n"/>
      <c r="AC84" s="3963" t="n"/>
      <c r="AD84" s="3963" t="n"/>
      <c r="AE84" s="3963" t="n"/>
      <c r="AF84" s="3963" t="n"/>
      <c r="AG84" s="3963" t="n"/>
      <c r="AH84" s="3963" t="n"/>
      <c r="AI84" s="3963" t="n"/>
      <c r="AJ84" s="3964" t="n"/>
    </row>
    <row r="85" s="3154" customFormat="1" ht="13.5" customHeight="1">
      <c r="A85" s="1989" t="inlineStr">
        <is>
          <t xml:space="preserve">Demolition</t>
        </is>
      </c>
      <c r="B85" s="3949" t="n"/>
      <c r="C85" s="3954" t="n">
        <v>0</v>
      </c>
      <c r="D85" s="3936" t="n">
        <f t="array" ref="D85">C85/'Project Summary'!$I$8</f>
        <v>0</v>
      </c>
      <c r="E85" s="3937" t="n">
        <f t="array" ref="E85">C85/'Project Summary'!$I$7</f>
        <v>0</v>
      </c>
      <c r="F85" s="2023" t="n"/>
      <c r="G85" s="1995" t="str">
        <f t="array" ref="G85">IF(AND(E85=0,F85=""),"HIDE","")</f>
        <v>HIDE</v>
      </c>
      <c r="H85" s="26" t="n"/>
      <c r="I85" s="26" t="n"/>
      <c r="J85" s="26" t="n"/>
      <c r="K85" s="26" t="n"/>
      <c r="L85" s="26" t="n"/>
      <c r="M85" s="26" t="n"/>
      <c r="N85" s="26" t="n"/>
      <c r="O85" s="26" t="n"/>
      <c r="P85" s="26" t="n"/>
      <c r="Q85" s="26" t="n"/>
      <c r="R85" s="26" t="n"/>
      <c r="S85" s="26" t="n"/>
      <c r="T85" s="26" t="n"/>
      <c r="U85" s="26" t="n"/>
      <c r="V85" s="26" t="n"/>
      <c r="W85" s="26" t="n"/>
      <c r="X85" s="26" t="n"/>
      <c r="Y85" s="26" t="n"/>
      <c r="Z85" s="26" t="n"/>
      <c r="AA85" s="26" t="n"/>
      <c r="AB85" s="26" t="n"/>
      <c r="AC85" s="26" t="n"/>
      <c r="AD85" s="26" t="n"/>
      <c r="AE85" s="26" t="n"/>
      <c r="AF85" s="26" t="n"/>
      <c r="AG85" s="26" t="n"/>
      <c r="AH85" s="26" t="n"/>
      <c r="AI85" s="26" t="n"/>
      <c r="AJ85" s="27" t="n"/>
    </row>
    <row r="86" s="3154" customFormat="1" ht="13.5" customHeight="1">
      <c r="A86" s="1996" t="inlineStr">
        <is>
          <t xml:space="preserve">Remediation</t>
        </is>
      </c>
      <c r="B86" s="3942" t="n"/>
      <c r="C86" s="3968" t="n">
        <v>0</v>
      </c>
      <c r="D86" s="3940" t="n">
        <f t="array" ref="D86">C86/'Project Summary'!$I$8</f>
        <v>0</v>
      </c>
      <c r="E86" s="3941" t="n">
        <f t="array" ref="E86">C86/'Project Summary'!$I$7</f>
        <v>0</v>
      </c>
      <c r="F86" s="2001" t="n"/>
      <c r="G86" s="1995" t="str">
        <f t="array" ref="G86">IF(AND(E86=0,F86=""),"HIDE","")</f>
        <v>HIDE</v>
      </c>
      <c r="H86" s="26" t="n"/>
      <c r="I86" s="26" t="n"/>
      <c r="J86" s="26" t="n"/>
      <c r="K86" s="26" t="n"/>
      <c r="L86" s="26" t="n"/>
      <c r="M86" s="26" t="n"/>
      <c r="N86" s="26" t="n"/>
      <c r="O86" s="26" t="n"/>
      <c r="P86" s="26" t="n"/>
      <c r="Q86" s="26" t="n"/>
      <c r="R86" s="26" t="n"/>
      <c r="S86" s="26" t="n"/>
      <c r="T86" s="26" t="n"/>
      <c r="U86" s="26" t="n"/>
      <c r="V86" s="26" t="n"/>
      <c r="W86" s="26" t="n"/>
      <c r="X86" s="26" t="n"/>
      <c r="Y86" s="26" t="n"/>
      <c r="Z86" s="26" t="n"/>
      <c r="AA86" s="26" t="n"/>
      <c r="AB86" s="26" t="n"/>
      <c r="AC86" s="26" t="n"/>
      <c r="AD86" s="26" t="n"/>
      <c r="AE86" s="26" t="n"/>
      <c r="AF86" s="26" t="n"/>
      <c r="AG86" s="26" t="n"/>
      <c r="AH86" s="26" t="n"/>
      <c r="AI86" s="26" t="n"/>
      <c r="AJ86" s="27" t="n"/>
    </row>
    <row r="87" s="3154" customFormat="1" ht="13.5" customHeight="1">
      <c r="A87" s="1996" t="inlineStr">
        <is>
          <t xml:space="preserve">Site Work/Utilities</t>
        </is>
      </c>
      <c r="B87" s="3969" t="n">
        <f t="array" ref="B87">C87/'Assumptions'!$J$7</f>
        <v>2500</v>
      </c>
      <c r="C87" s="3970" t="n">
        <v>250000</v>
      </c>
      <c r="D87" s="3940" t="n">
        <f t="array" ref="D87">C87/'Project Summary'!$I$8</f>
        <v>13.773543325152223</v>
      </c>
      <c r="E87" s="3941" t="n">
        <f t="array" ref="E87">C87/'Project Summary'!$I$7</f>
        <v>2500</v>
      </c>
      <c r="F87" s="2046" t="inlineStr">
        <is>
          <t xml:space="preserve">3/25/2025 Pinkerton Cost</t>
        </is>
      </c>
      <c r="G87" s="1995" t="str">
        <f t="array" ref="G87">IF(AND(E87=0,F87=""),"HIDE","")</f>
      </c>
      <c r="H87" s="26" t="n"/>
      <c r="I87" s="26" t="n"/>
      <c r="J87" s="26" t="n"/>
      <c r="K87" s="26" t="n"/>
      <c r="L87" s="26" t="n"/>
      <c r="M87" s="26" t="n"/>
      <c r="N87" s="26" t="n"/>
      <c r="O87" s="26" t="n"/>
      <c r="P87" s="26" t="n"/>
      <c r="Q87" s="26" t="n"/>
      <c r="R87" s="26" t="n"/>
      <c r="S87" s="26" t="n"/>
      <c r="T87" s="26" t="n"/>
      <c r="U87" s="26" t="n"/>
      <c r="V87" s="26" t="n"/>
      <c r="W87" s="26" t="n"/>
      <c r="X87" s="26" t="n"/>
      <c r="Y87" s="26" t="n"/>
      <c r="Z87" s="26" t="n"/>
      <c r="AA87" s="26" t="n"/>
      <c r="AB87" s="26" t="n"/>
      <c r="AC87" s="26" t="n"/>
      <c r="AD87" s="26" t="n"/>
      <c r="AE87" s="26" t="n"/>
      <c r="AF87" s="26" t="n"/>
      <c r="AG87" s="26" t="n"/>
      <c r="AH87" s="26" t="n"/>
      <c r="AI87" s="26" t="n"/>
      <c r="AJ87" s="27" t="n"/>
    </row>
    <row r="88" s="3154" customFormat="1" ht="13.5" customHeight="1">
      <c r="A88" s="1996" t="inlineStr">
        <is>
          <t xml:space="preserve">Foundations</t>
        </is>
      </c>
      <c r="B88" s="3942" t="n"/>
      <c r="C88" s="3968" t="n">
        <v>0</v>
      </c>
      <c r="D88" s="3940" t="n">
        <f t="array" ref="D88">C88/'Project Summary'!$I$8</f>
        <v>0</v>
      </c>
      <c r="E88" s="3941" t="n">
        <f t="array" ref="E88">C88/'Project Summary'!$I$7</f>
        <v>0</v>
      </c>
      <c r="F88" s="2004" t="inlineStr">
        <is>
          <t xml:space="preserve">Assume no deep foundations</t>
        </is>
      </c>
      <c r="G88" s="1995" t="str">
        <f t="array" ref="G88">IF(AND(E88=0,F88=""),"HIDE","")</f>
      </c>
      <c r="H88" s="26" t="n"/>
      <c r="I88" s="26" t="n"/>
      <c r="J88" s="26" t="n"/>
      <c r="K88" s="26" t="n"/>
      <c r="L88" s="26" t="n"/>
      <c r="M88" s="26" t="n"/>
      <c r="N88" s="26" t="n"/>
      <c r="O88" s="26" t="n"/>
      <c r="P88" s="26" t="n"/>
      <c r="Q88" s="26" t="n"/>
      <c r="R88" s="26" t="n"/>
      <c r="S88" s="26" t="n"/>
      <c r="T88" s="26" t="n"/>
      <c r="U88" s="26" t="n"/>
      <c r="V88" s="26" t="n"/>
      <c r="W88" s="26" t="n"/>
      <c r="X88" s="26" t="n"/>
      <c r="Y88" s="26" t="n"/>
      <c r="Z88" s="26" t="n"/>
      <c r="AA88" s="26" t="n"/>
      <c r="AB88" s="26" t="n"/>
      <c r="AC88" s="26" t="n"/>
      <c r="AD88" s="26" t="n"/>
      <c r="AE88" s="26" t="n"/>
      <c r="AF88" s="26" t="n"/>
      <c r="AG88" s="26" t="n"/>
      <c r="AH88" s="26" t="n"/>
      <c r="AI88" s="26" t="n"/>
      <c r="AJ88" s="27" t="n"/>
    </row>
    <row r="89" s="3154" customFormat="1" ht="13.5" customHeight="1">
      <c r="A89" s="1996" t="inlineStr">
        <is>
          <t xml:space="preserve">Parking Structure</t>
        </is>
      </c>
      <c r="B89" s="3942" t="n"/>
      <c r="C89" s="3968" t="n">
        <v>0</v>
      </c>
      <c r="D89" s="3940" t="n">
        <f t="array" ref="D89">C89/'Project Summary'!$I$8</f>
        <v>0</v>
      </c>
      <c r="E89" s="3941" t="n">
        <f t="array" ref="E89">C89/'Project Summary'!$I$7</f>
        <v>0</v>
      </c>
      <c r="F89" s="2004" t="inlineStr">
        <is>
          <t xml:space="preserve">Assume surface and shared parking</t>
        </is>
      </c>
      <c r="G89" s="1995" t="str">
        <f t="array" ref="G89">IF(AND(E89=0,F89=""),"HIDE","")</f>
      </c>
      <c r="H89" s="26" t="n"/>
      <c r="I89" s="26" t="n"/>
      <c r="J89" s="26" t="n"/>
      <c r="K89" s="26" t="n"/>
      <c r="L89" s="26" t="n"/>
      <c r="M89" s="26" t="n"/>
      <c r="N89" s="26" t="n"/>
      <c r="O89" s="26" t="n"/>
      <c r="P89" s="26" t="n"/>
      <c r="Q89" s="26" t="n"/>
      <c r="R89" s="26" t="n"/>
      <c r="S89" s="26" t="n"/>
      <c r="T89" s="26" t="n"/>
      <c r="U89" s="26" t="n"/>
      <c r="V89" s="26" t="n"/>
      <c r="W89" s="26" t="n"/>
      <c r="X89" s="26" t="n"/>
      <c r="Y89" s="26" t="n"/>
      <c r="Z89" s="26" t="n"/>
      <c r="AA89" s="26" t="n"/>
      <c r="AB89" s="26" t="n"/>
      <c r="AC89" s="26" t="n"/>
      <c r="AD89" s="26" t="n"/>
      <c r="AE89" s="26" t="n"/>
      <c r="AF89" s="26" t="n"/>
      <c r="AG89" s="26" t="n"/>
      <c r="AH89" s="26" t="n"/>
      <c r="AI89" s="26" t="n"/>
      <c r="AJ89" s="27" t="n"/>
    </row>
    <row r="90" s="3154" customFormat="1" ht="13.5" customHeight="1">
      <c r="A90" s="1996" t="inlineStr">
        <is>
          <t xml:space="preserve">Paving/Sidewalks</t>
        </is>
      </c>
      <c r="B90" s="3942" t="n"/>
      <c r="C90" s="3968" t="n">
        <v>0</v>
      </c>
      <c r="D90" s="3940" t="n">
        <f t="array" ref="D90">C90/'Project Summary'!$I$8</f>
        <v>0</v>
      </c>
      <c r="E90" s="3941" t="n">
        <f t="array" ref="E90">C90/'Project Summary'!$I$7</f>
        <v>0</v>
      </c>
      <c r="F90" s="2001" t="n"/>
      <c r="G90" s="1995" t="str">
        <f t="array" ref="G90">IF(AND(E90=0,F90=""),"HIDE","")</f>
        <v>HIDE</v>
      </c>
      <c r="H90" s="26" t="n"/>
      <c r="I90" s="26" t="n"/>
      <c r="J90" s="26" t="n"/>
      <c r="K90" s="26" t="n"/>
      <c r="L90" s="26" t="n"/>
      <c r="M90" s="26" t="n"/>
      <c r="N90" s="26" t="n"/>
      <c r="O90" s="26" t="n"/>
      <c r="P90" s="26" t="n"/>
      <c r="Q90" s="26" t="n"/>
      <c r="R90" s="26" t="n"/>
      <c r="S90" s="26" t="n"/>
      <c r="T90" s="26" t="n"/>
      <c r="U90" s="26" t="n"/>
      <c r="V90" s="26" t="n"/>
      <c r="W90" s="26" t="n"/>
      <c r="X90" s="26" t="n"/>
      <c r="Y90" s="26" t="n"/>
      <c r="Z90" s="26" t="n"/>
      <c r="AA90" s="26" t="n"/>
      <c r="AB90" s="26" t="n"/>
      <c r="AC90" s="26" t="n"/>
      <c r="AD90" s="26" t="n"/>
      <c r="AE90" s="26" t="n"/>
      <c r="AF90" s="26" t="n"/>
      <c r="AG90" s="26" t="n"/>
      <c r="AH90" s="26" t="n"/>
      <c r="AI90" s="26" t="n"/>
      <c r="AJ90" s="27" t="n"/>
    </row>
    <row r="91" s="3154" customFormat="1" ht="13.5" customHeight="1">
      <c r="A91" s="1996" t="inlineStr">
        <is>
          <t xml:space="preserve">Landscape/Irrigation</t>
        </is>
      </c>
      <c r="B91" s="3942" t="n"/>
      <c r="C91" s="3968" t="n">
        <v>0</v>
      </c>
      <c r="D91" s="3940" t="n">
        <f t="array" ref="D91">C91/'Project Summary'!$I$8</f>
        <v>0</v>
      </c>
      <c r="E91" s="3941" t="n">
        <f t="array" ref="E91">C91/'Project Summary'!$I$7</f>
        <v>0</v>
      </c>
      <c r="F91" s="2001" t="n"/>
      <c r="G91" s="1995" t="str">
        <f t="array" ref="G91">IF(AND(E91=0,F91=""),"HIDE","")</f>
        <v>HIDE</v>
      </c>
      <c r="H91" s="26" t="n"/>
      <c r="I91" s="26" t="n"/>
      <c r="J91" s="26" t="n"/>
      <c r="K91" s="26" t="n"/>
      <c r="L91" s="26" t="n"/>
      <c r="M91" s="26" t="n"/>
      <c r="N91" s="26" t="n"/>
      <c r="O91" s="26" t="n"/>
      <c r="P91" s="26" t="n"/>
      <c r="Q91" s="26" t="n"/>
      <c r="R91" s="26" t="n"/>
      <c r="S91" s="26" t="n"/>
      <c r="T91" s="26" t="n"/>
      <c r="U91" s="26" t="n"/>
      <c r="V91" s="26" t="n"/>
      <c r="W91" s="26" t="n"/>
      <c r="X91" s="26" t="n"/>
      <c r="Y91" s="26" t="n"/>
      <c r="Z91" s="26" t="n"/>
      <c r="AA91" s="26" t="n"/>
      <c r="AB91" s="26" t="n"/>
      <c r="AC91" s="26" t="n"/>
      <c r="AD91" s="26" t="n"/>
      <c r="AE91" s="26" t="n"/>
      <c r="AF91" s="26" t="n"/>
      <c r="AG91" s="26" t="n"/>
      <c r="AH91" s="26" t="n"/>
      <c r="AI91" s="26" t="n"/>
      <c r="AJ91" s="27" t="n"/>
    </row>
    <row r="92" s="3154" customFormat="1" ht="13.5" customHeight="1">
      <c r="A92" s="1996" t="inlineStr">
        <is>
          <t xml:space="preserve">Site Lighting</t>
        </is>
      </c>
      <c r="B92" s="3942" t="n"/>
      <c r="C92" s="3968" t="n">
        <v>0</v>
      </c>
      <c r="D92" s="3940" t="n">
        <f t="array" ref="D92">C92/'Project Summary'!$I$8</f>
        <v>0</v>
      </c>
      <c r="E92" s="3941" t="n">
        <f t="array" ref="E92">C92/'Project Summary'!$I$7</f>
        <v>0</v>
      </c>
      <c r="F92" s="2001" t="n"/>
      <c r="G92" s="1995" t="str">
        <f t="array" ref="G92">IF(AND(E92=0,F92=""),"HIDE","")</f>
        <v>HIDE</v>
      </c>
      <c r="H92" s="26" t="n"/>
      <c r="I92" s="26" t="n"/>
      <c r="J92" s="26" t="n"/>
      <c r="K92" s="26" t="n"/>
      <c r="L92" s="26" t="n"/>
      <c r="M92" s="26" t="n"/>
      <c r="N92" s="26" t="n"/>
      <c r="O92" s="26" t="n"/>
      <c r="P92" s="26" t="n"/>
      <c r="Q92" s="26" t="n"/>
      <c r="R92" s="26" t="n"/>
      <c r="S92" s="26" t="n"/>
      <c r="T92" s="26" t="n"/>
      <c r="U92" s="26" t="n"/>
      <c r="V92" s="26" t="n"/>
      <c r="W92" s="26" t="n"/>
      <c r="X92" s="26" t="n"/>
      <c r="Y92" s="26" t="n"/>
      <c r="Z92" s="26" t="n"/>
      <c r="AA92" s="26" t="n"/>
      <c r="AB92" s="26" t="n"/>
      <c r="AC92" s="26" t="n"/>
      <c r="AD92" s="26" t="n"/>
      <c r="AE92" s="26" t="n"/>
      <c r="AF92" s="26" t="n"/>
      <c r="AG92" s="26" t="n"/>
      <c r="AH92" s="26" t="n"/>
      <c r="AI92" s="26" t="n"/>
      <c r="AJ92" s="27" t="n"/>
    </row>
    <row r="93" s="3154" customFormat="1" ht="13.5" customHeight="1">
      <c r="A93" s="1996" t="inlineStr">
        <is>
          <t xml:space="preserve">Amenities/Sports Court</t>
        </is>
      </c>
      <c r="B93" s="3942" t="n"/>
      <c r="C93" s="3968" t="n">
        <v>0</v>
      </c>
      <c r="D93" s="3940" t="n">
        <f t="array" ref="D93">C93/'Project Summary'!$I$8</f>
        <v>0</v>
      </c>
      <c r="E93" s="3941" t="n">
        <f t="array" ref="E93">C93/'Project Summary'!$I$7</f>
        <v>0</v>
      </c>
      <c r="F93" s="2001" t="n"/>
      <c r="G93" s="1995" t="str">
        <f t="array" ref="G93">IF(AND(E93=0,F93=""),"HIDE","")</f>
        <v>HIDE</v>
      </c>
      <c r="H93" s="26" t="n"/>
      <c r="I93" s="26" t="n"/>
      <c r="J93" s="26" t="n"/>
      <c r="K93" s="26" t="n"/>
      <c r="L93" s="26" t="n"/>
      <c r="M93" s="26" t="n"/>
      <c r="N93" s="26" t="n"/>
      <c r="O93" s="26" t="n"/>
      <c r="P93" s="26" t="n"/>
      <c r="Q93" s="26" t="n"/>
      <c r="R93" s="26" t="n"/>
      <c r="S93" s="26" t="n"/>
      <c r="T93" s="26" t="n"/>
      <c r="U93" s="26" t="n"/>
      <c r="V93" s="26" t="n"/>
      <c r="W93" s="26" t="n"/>
      <c r="X93" s="26" t="n"/>
      <c r="Y93" s="26" t="n"/>
      <c r="Z93" s="26" t="n"/>
      <c r="AA93" s="26" t="n"/>
      <c r="AB93" s="26" t="n"/>
      <c r="AC93" s="26" t="n"/>
      <c r="AD93" s="26" t="n"/>
      <c r="AE93" s="26" t="n"/>
      <c r="AF93" s="26" t="n"/>
      <c r="AG93" s="26" t="n"/>
      <c r="AH93" s="26" t="n"/>
      <c r="AI93" s="26" t="n"/>
      <c r="AJ93" s="27" t="n"/>
    </row>
    <row r="94" s="3154" customFormat="1" ht="13.5" customHeight="1">
      <c r="A94" s="1996" t="inlineStr">
        <is>
          <t xml:space="preserve">Site Work Contingency</t>
        </is>
      </c>
      <c r="B94" s="3938" t="n">
        <v>0.05</v>
      </c>
      <c r="C94" s="3968" t="n">
        <v>0</v>
      </c>
      <c r="D94" s="3940" t="n">
        <f t="array" ref="D94">C94/'Project Summary'!$I$8</f>
        <v>0</v>
      </c>
      <c r="E94" s="3941" t="n">
        <f t="array" ref="E94">C94/'Project Summary'!$I$7</f>
        <v>0</v>
      </c>
      <c r="F94" s="2001" t="n"/>
      <c r="G94" s="1995" t="str">
        <f t="array" ref="G94">IF(AND(E94=0,F94=""),"HIDE","")</f>
        <v>HIDE</v>
      </c>
      <c r="H94" s="26" t="n"/>
      <c r="I94" s="26" t="n"/>
      <c r="J94" s="26" t="n"/>
      <c r="K94" s="26" t="n"/>
      <c r="L94" s="26" t="n"/>
      <c r="M94" s="26" t="n"/>
      <c r="N94" s="26" t="n"/>
      <c r="O94" s="26" t="n"/>
      <c r="P94" s="26" t="n"/>
      <c r="Q94" s="26" t="n"/>
      <c r="R94" s="26" t="n"/>
      <c r="S94" s="26" t="n"/>
      <c r="T94" s="26" t="n"/>
      <c r="U94" s="26" t="n"/>
      <c r="V94" s="26" t="n"/>
      <c r="W94" s="26" t="n"/>
      <c r="X94" s="26" t="n"/>
      <c r="Y94" s="26" t="n"/>
      <c r="Z94" s="26" t="n"/>
      <c r="AA94" s="26" t="n"/>
      <c r="AB94" s="26" t="n"/>
      <c r="AC94" s="26" t="n"/>
      <c r="AD94" s="26" t="n"/>
      <c r="AE94" s="26" t="n"/>
      <c r="AF94" s="26" t="n"/>
      <c r="AG94" s="26" t="n"/>
      <c r="AH94" s="26" t="n"/>
      <c r="AI94" s="26" t="n"/>
      <c r="AJ94" s="27" t="n"/>
    </row>
    <row r="95" s="3154" customFormat="1" ht="13.5" customHeight="1">
      <c r="A95" s="2006" t="str">
        <f t="array" ref="A95">"Subtotal: "&amp;A84</f>
        <v>Subtotal: Site Work</v>
      </c>
      <c r="B95" s="3944" t="n"/>
      <c r="C95" s="3945" t="n">
        <f t="array" ref="C95">SUM(C85:C94)</f>
        <v>250000</v>
      </c>
      <c r="D95" s="3946" t="n">
        <f t="array" ref="D95">SUM(D85:D94)</f>
        <v>13.773543325152223</v>
      </c>
      <c r="E95" s="3945" t="n">
        <f t="array" ref="E95">SUM(E85:E94)</f>
        <v>2500</v>
      </c>
      <c r="F95" s="2010" t="n"/>
      <c r="G95" s="26" t="n"/>
      <c r="H95" s="26" t="n"/>
      <c r="I95" s="26" t="n"/>
      <c r="J95" s="26" t="n"/>
      <c r="K95" s="26" t="n"/>
      <c r="L95" s="26" t="n"/>
      <c r="M95" s="26" t="n"/>
      <c r="N95" s="26" t="n"/>
      <c r="O95" s="26" t="n"/>
      <c r="P95" s="26" t="n"/>
      <c r="Q95" s="26" t="n"/>
      <c r="R95" s="26" t="n"/>
      <c r="S95" s="26" t="n"/>
      <c r="T95" s="26" t="n"/>
      <c r="U95" s="26" t="n"/>
      <c r="V95" s="26" t="n"/>
      <c r="W95" s="26" t="n"/>
      <c r="X95" s="26" t="n"/>
      <c r="Y95" s="26" t="n"/>
      <c r="Z95" s="26" t="n"/>
      <c r="AA95" s="26" t="n"/>
      <c r="AB95" s="26" t="n"/>
      <c r="AC95" s="26" t="n"/>
      <c r="AD95" s="26" t="n"/>
      <c r="AE95" s="26" t="n"/>
      <c r="AF95" s="26" t="n"/>
      <c r="AG95" s="26" t="n"/>
      <c r="AH95" s="26" t="n"/>
      <c r="AI95" s="26" t="n"/>
      <c r="AJ95" s="27" t="n"/>
    </row>
    <row r="96" s="3154" customFormat="1" ht="8" customHeight="1">
      <c r="A96" s="2011" t="n"/>
      <c r="B96" s="3947" t="n"/>
      <c r="C96" s="26" t="n"/>
      <c r="D96" s="3948" t="n"/>
      <c r="E96" s="3364" t="n"/>
      <c r="F96" s="1983" t="n"/>
      <c r="G96" s="26" t="n"/>
      <c r="H96" s="26" t="n"/>
      <c r="I96" s="26" t="n"/>
      <c r="J96" s="26" t="n"/>
      <c r="K96" s="26" t="n"/>
      <c r="L96" s="26" t="n"/>
      <c r="M96" s="26" t="n"/>
      <c r="N96" s="26" t="n"/>
      <c r="O96" s="26" t="n"/>
      <c r="P96" s="26" t="n"/>
      <c r="Q96" s="26" t="n"/>
      <c r="R96" s="26" t="n"/>
      <c r="S96" s="26" t="n"/>
      <c r="T96" s="26" t="n"/>
      <c r="U96" s="26" t="n"/>
      <c r="V96" s="26" t="n"/>
      <c r="W96" s="26" t="n"/>
      <c r="X96" s="26" t="n"/>
      <c r="Y96" s="26" t="n"/>
      <c r="Z96" s="26" t="n"/>
      <c r="AA96" s="26" t="n"/>
      <c r="AB96" s="26" t="n"/>
      <c r="AC96" s="26" t="n"/>
      <c r="AD96" s="26" t="n"/>
      <c r="AE96" s="26" t="n"/>
      <c r="AF96" s="26" t="n"/>
      <c r="AG96" s="26" t="n"/>
      <c r="AH96" s="26" t="n"/>
      <c r="AI96" s="26" t="n"/>
      <c r="AJ96" s="27" t="n"/>
    </row>
    <row r="97" s="3154" customFormat="1" ht="13.5" customHeight="1">
      <c r="A97" s="2038" t="inlineStr">
        <is>
          <t xml:space="preserve">Building Construction</t>
        </is>
      </c>
      <c r="B97" s="3971" t="n"/>
      <c r="C97" s="3971" t="n"/>
      <c r="D97" s="3966" t="n"/>
      <c r="E97" s="3967" t="n"/>
      <c r="F97" s="2042" t="n"/>
      <c r="G97" s="2034" t="n"/>
      <c r="H97" s="2034" t="n"/>
      <c r="I97" s="2034" t="n"/>
      <c r="J97" s="3963" t="n"/>
      <c r="K97" s="3963" t="n"/>
      <c r="L97" s="3963" t="n"/>
      <c r="M97" s="3963" t="n"/>
      <c r="N97" s="3963" t="n"/>
      <c r="O97" s="3963" t="n"/>
      <c r="P97" s="3963" t="n"/>
      <c r="Q97" s="3963" t="n"/>
      <c r="R97" s="3963" t="n"/>
      <c r="S97" s="3963" t="n"/>
      <c r="T97" s="3963" t="n"/>
      <c r="U97" s="3963" t="n"/>
      <c r="V97" s="3963" t="n"/>
      <c r="W97" s="3963" t="n"/>
      <c r="X97" s="3963" t="n"/>
      <c r="Y97" s="3963" t="n"/>
      <c r="Z97" s="3963" t="n"/>
      <c r="AA97" s="3963" t="n"/>
      <c r="AB97" s="3963" t="n"/>
      <c r="AC97" s="3963" t="n"/>
      <c r="AD97" s="3963" t="n"/>
      <c r="AE97" s="3963" t="n"/>
      <c r="AF97" s="3963" t="n"/>
      <c r="AG97" s="3963" t="n"/>
      <c r="AH97" s="3963" t="n"/>
      <c r="AI97" s="3963" t="n"/>
      <c r="AJ97" s="3964" t="n"/>
    </row>
    <row r="98" s="3154" customFormat="1" ht="13.5" customHeight="1">
      <c r="A98" s="1989" t="inlineStr">
        <is>
          <t xml:space="preserve">Building Shell</t>
        </is>
      </c>
      <c r="B98" s="3972" t="n">
        <f t="array" ref="B98">C98/'Assumptions'!$J$7</f>
        <v>41608.70451917809</v>
      </c>
      <c r="C98" s="3973" t="n">
        <f t="array" ref="C98">'CB-Construction Budget'!D23+'CB-Hotel Add-Ons'!D23</f>
        <v>4160870.451917809</v>
      </c>
      <c r="D98" s="3936" t="n">
        <f t="array" ref="D98">C98/'Project Summary'!$I$8</f>
        <v>229.2397177593426</v>
      </c>
      <c r="E98" s="3937" t="n">
        <f t="array" ref="E98">C98/'Project Summary'!$I$7</f>
        <v>41608.70451917809</v>
      </c>
      <c r="F98" s="2050" t="inlineStr">
        <is>
          <t xml:space="preserve">3/25/2025 Pinkerton Cost</t>
        </is>
      </c>
      <c r="G98" s="1995" t="str">
        <f t="array" ref="G98">IF(AND(E98=0,F98=""),"HIDE","")</f>
      </c>
      <c r="H98" s="3364" t="n"/>
      <c r="I98" s="26" t="n"/>
      <c r="J98" s="2051" t="n"/>
      <c r="K98" s="26" t="n"/>
      <c r="L98" s="26" t="n"/>
      <c r="M98" s="26" t="n"/>
      <c r="N98" s="26" t="n"/>
      <c r="O98" s="26" t="n"/>
      <c r="P98" s="26" t="n"/>
      <c r="Q98" s="26" t="n"/>
      <c r="R98" s="26" t="n"/>
      <c r="S98" s="26" t="n"/>
      <c r="T98" s="26" t="n"/>
      <c r="U98" s="26" t="n"/>
      <c r="V98" s="26" t="n"/>
      <c r="W98" s="26" t="n"/>
      <c r="X98" s="26" t="n"/>
      <c r="Y98" s="26" t="n"/>
      <c r="Z98" s="26" t="n"/>
      <c r="AA98" s="26" t="n"/>
      <c r="AB98" s="26" t="n"/>
      <c r="AC98" s="26" t="n"/>
      <c r="AD98" s="26" t="n"/>
      <c r="AE98" s="26" t="n"/>
      <c r="AF98" s="26" t="n"/>
      <c r="AG98" s="26" t="n"/>
      <c r="AH98" s="26" t="n"/>
      <c r="AI98" s="26" t="n"/>
      <c r="AJ98" s="27" t="n"/>
    </row>
    <row r="99" s="3154" customFormat="1" ht="13.5" customHeight="1">
      <c r="A99" s="1996" t="inlineStr">
        <is>
          <t xml:space="preserve">Lighting</t>
        </is>
      </c>
      <c r="B99" s="3974" t="n">
        <v>0</v>
      </c>
      <c r="C99" s="3939" t="n">
        <f t="array" ref="C99">B99*'Assumptions'!$J$7</f>
        <v>0</v>
      </c>
      <c r="D99" s="3940" t="n">
        <f t="array" ref="D99">C99/'Project Summary'!$I$8</f>
        <v>0</v>
      </c>
      <c r="E99" s="3941" t="n">
        <f t="array" ref="E99">C99/'Project Summary'!$I$7</f>
        <v>0</v>
      </c>
      <c r="F99" s="2004" t="inlineStr">
        <is>
          <t xml:space="preserve">Included in building shell</t>
        </is>
      </c>
      <c r="G99" s="1995" t="str">
        <f t="array" ref="G99">IF(AND(E99=0,F99=""),"HIDE","")</f>
      </c>
      <c r="H99" s="26" t="n"/>
      <c r="I99" s="26" t="n"/>
      <c r="J99" s="26" t="n"/>
      <c r="K99" s="26" t="n"/>
      <c r="L99" s="26" t="n"/>
      <c r="M99" s="26" t="n"/>
      <c r="N99" s="26" t="n"/>
      <c r="O99" s="26" t="n"/>
      <c r="P99" s="26" t="n"/>
      <c r="Q99" s="26" t="n"/>
      <c r="R99" s="26" t="n"/>
      <c r="S99" s="26" t="n"/>
      <c r="T99" s="26" t="n"/>
      <c r="U99" s="26" t="n"/>
      <c r="V99" s="26" t="n"/>
      <c r="W99" s="26" t="n"/>
      <c r="X99" s="26" t="n"/>
      <c r="Y99" s="26" t="n"/>
      <c r="Z99" s="26" t="n"/>
      <c r="AA99" s="26" t="n"/>
      <c r="AB99" s="26" t="n"/>
      <c r="AC99" s="26" t="n"/>
      <c r="AD99" s="26" t="n"/>
      <c r="AE99" s="26" t="n"/>
      <c r="AF99" s="26" t="n"/>
      <c r="AG99" s="26" t="n"/>
      <c r="AH99" s="26" t="n"/>
      <c r="AI99" s="26" t="n"/>
      <c r="AJ99" s="27" t="n"/>
    </row>
    <row r="100" s="3154" customFormat="1" ht="13.5" customHeight="1">
      <c r="A100" s="1996" t="inlineStr">
        <is>
          <t xml:space="preserve">Meeting/Conference</t>
        </is>
      </c>
      <c r="B100" s="3975" t="n">
        <v>0</v>
      </c>
      <c r="C100" s="3968" t="n">
        <f t="array" ref="C100">B100*'Assumptions'!$J$10</f>
        <v>0</v>
      </c>
      <c r="D100" s="3940" t="n">
        <f t="array" ref="D100">C100/'Project Summary'!$I$8</f>
        <v>0</v>
      </c>
      <c r="E100" s="3941" t="n">
        <f t="array" ref="E100">C100/'Project Summary'!$I$7</f>
        <v>0</v>
      </c>
      <c r="F100" s="2001" t="n"/>
      <c r="G100" s="1995" t="str">
        <f t="array" ref="G100">IF(AND(E100=0,F100=""),"HIDE","")</f>
        <v>HIDE</v>
      </c>
      <c r="H100" s="26" t="n"/>
      <c r="I100" s="26" t="n"/>
      <c r="J100" s="26" t="n"/>
      <c r="K100" s="26" t="n"/>
      <c r="L100" s="26" t="n"/>
      <c r="M100" s="26" t="n"/>
      <c r="N100" s="26" t="n"/>
      <c r="O100" s="26" t="n"/>
      <c r="P100" s="26" t="n"/>
      <c r="Q100" s="26" t="n"/>
      <c r="R100" s="26" t="n"/>
      <c r="S100" s="26" t="n"/>
      <c r="T100" s="26" t="n"/>
      <c r="U100" s="26" t="n"/>
      <c r="V100" s="26" t="n"/>
      <c r="W100" s="26" t="n"/>
      <c r="X100" s="26" t="n"/>
      <c r="Y100" s="26" t="n"/>
      <c r="Z100" s="26" t="n"/>
      <c r="AA100" s="26" t="n"/>
      <c r="AB100" s="26" t="n"/>
      <c r="AC100" s="26" t="n"/>
      <c r="AD100" s="26" t="n"/>
      <c r="AE100" s="26" t="n"/>
      <c r="AF100" s="26" t="n"/>
      <c r="AG100" s="26" t="n"/>
      <c r="AH100" s="26" t="n"/>
      <c r="AI100" s="26" t="n"/>
      <c r="AJ100" s="27" t="n"/>
    </row>
    <row r="101" s="3154" customFormat="1" ht="13.5" customHeight="1">
      <c r="A101" s="1996" t="inlineStr">
        <is>
          <t xml:space="preserve">Admin/Fitness</t>
        </is>
      </c>
      <c r="B101" s="3942" t="n"/>
      <c r="C101" s="3968" t="n">
        <v>0</v>
      </c>
      <c r="D101" s="3940" t="n">
        <f t="array" ref="D101">C101/'Project Summary'!$I$8</f>
        <v>0</v>
      </c>
      <c r="E101" s="3941" t="n">
        <f t="array" ref="E101">C101/'Project Summary'!$I$7</f>
        <v>0</v>
      </c>
      <c r="F101" s="2001" t="n"/>
      <c r="G101" s="1995" t="str">
        <f t="array" ref="G101">IF(AND(E101=0,F101=""),"HIDE","")</f>
        <v>HIDE</v>
      </c>
      <c r="H101" s="26" t="n"/>
      <c r="I101" s="26" t="n"/>
      <c r="J101" s="26" t="n"/>
      <c r="K101" s="26" t="n"/>
      <c r="L101" s="26" t="n"/>
      <c r="M101" s="26" t="n"/>
      <c r="N101" s="26" t="n"/>
      <c r="O101" s="26" t="n"/>
      <c r="P101" s="26" t="n"/>
      <c r="Q101" s="26" t="n"/>
      <c r="R101" s="26" t="n"/>
      <c r="S101" s="26" t="n"/>
      <c r="T101" s="26" t="n"/>
      <c r="U101" s="26" t="n"/>
      <c r="V101" s="26" t="n"/>
      <c r="W101" s="26" t="n"/>
      <c r="X101" s="26" t="n"/>
      <c r="Y101" s="26" t="n"/>
      <c r="Z101" s="26" t="n"/>
      <c r="AA101" s="26" t="n"/>
      <c r="AB101" s="26" t="n"/>
      <c r="AC101" s="26" t="n"/>
      <c r="AD101" s="26" t="n"/>
      <c r="AE101" s="26" t="n"/>
      <c r="AF101" s="26" t="n"/>
      <c r="AG101" s="26" t="n"/>
      <c r="AH101" s="26" t="n"/>
      <c r="AI101" s="26" t="n"/>
      <c r="AJ101" s="27" t="n"/>
    </row>
    <row r="102" s="3154" customFormat="1" ht="13.5" customHeight="1">
      <c r="A102" s="1996" t="inlineStr">
        <is>
          <t xml:space="preserve">Retail</t>
        </is>
      </c>
      <c r="B102" s="3942" t="n"/>
      <c r="C102" s="3968" t="n">
        <v>0</v>
      </c>
      <c r="D102" s="3940" t="n">
        <f t="array" ref="D102">C102/'Project Summary'!$I$8</f>
        <v>0</v>
      </c>
      <c r="E102" s="3941" t="n">
        <f t="array" ref="E102">C102/'Project Summary'!$I$7</f>
        <v>0</v>
      </c>
      <c r="F102" s="2001" t="n"/>
      <c r="G102" s="1995" t="str">
        <f t="array" ref="G102">IF(AND(E102=0,F102=""),"HIDE","")</f>
        <v>HIDE</v>
      </c>
      <c r="H102" s="26" t="n"/>
      <c r="I102" s="26" t="n"/>
      <c r="J102" s="26" t="n"/>
      <c r="K102" s="26" t="n"/>
      <c r="L102" s="26" t="n"/>
      <c r="M102" s="26" t="n"/>
      <c r="N102" s="26" t="n"/>
      <c r="O102" s="26" t="n"/>
      <c r="P102" s="26" t="n"/>
      <c r="Q102" s="26" t="n"/>
      <c r="R102" s="26" t="n"/>
      <c r="S102" s="26" t="n"/>
      <c r="T102" s="26" t="n"/>
      <c r="U102" s="26" t="n"/>
      <c r="V102" s="26" t="n"/>
      <c r="W102" s="26" t="n"/>
      <c r="X102" s="26" t="n"/>
      <c r="Y102" s="26" t="n"/>
      <c r="Z102" s="26" t="n"/>
      <c r="AA102" s="26" t="n"/>
      <c r="AB102" s="26" t="n"/>
      <c r="AC102" s="26" t="n"/>
      <c r="AD102" s="26" t="n"/>
      <c r="AE102" s="26" t="n"/>
      <c r="AF102" s="26" t="n"/>
      <c r="AG102" s="26" t="n"/>
      <c r="AH102" s="26" t="n"/>
      <c r="AI102" s="26" t="n"/>
      <c r="AJ102" s="27" t="n"/>
    </row>
    <row r="103" s="3154" customFormat="1" ht="13.5" customHeight="1">
      <c r="A103" s="1996" t="inlineStr">
        <is>
          <t xml:space="preserve">Pool</t>
        </is>
      </c>
      <c r="B103" s="3942" t="n"/>
      <c r="C103" s="3968" t="n"/>
      <c r="D103" s="3940" t="n">
        <f t="array" ref="D103">C103/'Project Summary'!$I$8</f>
        <v>0</v>
      </c>
      <c r="E103" s="3941" t="n">
        <f t="array" ref="E103">C103/'Project Summary'!$I$7</f>
        <v>0</v>
      </c>
      <c r="F103" s="2001" t="n"/>
      <c r="G103" s="1995" t="str">
        <f t="array" ref="G103">IF(AND(E103=0,F103=""),"HIDE","")</f>
        <v>HIDE</v>
      </c>
      <c r="H103" s="26" t="n"/>
      <c r="I103" s="26" t="n"/>
      <c r="J103" s="26" t="n"/>
      <c r="K103" s="26" t="n"/>
      <c r="L103" s="26" t="n"/>
      <c r="M103" s="26" t="n"/>
      <c r="N103" s="26" t="n"/>
      <c r="O103" s="26" t="n"/>
      <c r="P103" s="26" t="n"/>
      <c r="Q103" s="26" t="n"/>
      <c r="R103" s="26" t="n"/>
      <c r="S103" s="26" t="n"/>
      <c r="T103" s="26" t="n"/>
      <c r="U103" s="26" t="n"/>
      <c r="V103" s="26" t="n"/>
      <c r="W103" s="26" t="n"/>
      <c r="X103" s="26" t="n"/>
      <c r="Y103" s="26" t="n"/>
      <c r="Z103" s="26" t="n"/>
      <c r="AA103" s="26" t="n"/>
      <c r="AB103" s="26" t="n"/>
      <c r="AC103" s="26" t="n"/>
      <c r="AD103" s="26" t="n"/>
      <c r="AE103" s="26" t="n"/>
      <c r="AF103" s="26" t="n"/>
      <c r="AG103" s="26" t="n"/>
      <c r="AH103" s="26" t="n"/>
      <c r="AI103" s="26" t="n"/>
      <c r="AJ103" s="27" t="n"/>
    </row>
    <row r="104" s="3154" customFormat="1" ht="13.5" customHeight="1">
      <c r="A104" s="1996" t="inlineStr">
        <is>
          <t xml:space="preserve">Roof Terrace</t>
        </is>
      </c>
      <c r="B104" s="3942" t="n"/>
      <c r="C104" s="3943" t="n">
        <v>0</v>
      </c>
      <c r="D104" s="3940" t="n">
        <f t="array" ref="D104">C104/'Project Summary'!$I$8</f>
        <v>0</v>
      </c>
      <c r="E104" s="3941" t="n">
        <f t="array" ref="E104">C104/'Project Summary'!$I$7</f>
        <v>0</v>
      </c>
      <c r="F104" s="2001" t="n"/>
      <c r="G104" s="1995" t="str">
        <f t="array" ref="G104">IF(AND(E104=0,F104=""),"HIDE","")</f>
        <v>HIDE</v>
      </c>
      <c r="H104" s="26" t="n"/>
      <c r="I104" s="26" t="n"/>
      <c r="J104" s="26" t="n"/>
      <c r="K104" s="26" t="n"/>
      <c r="L104" s="26" t="n"/>
      <c r="M104" s="26" t="n"/>
      <c r="N104" s="26" t="n"/>
      <c r="O104" s="26" t="n"/>
      <c r="P104" s="26" t="n"/>
      <c r="Q104" s="26" t="n"/>
      <c r="R104" s="26" t="n"/>
      <c r="S104" s="26" t="n"/>
      <c r="T104" s="26" t="n"/>
      <c r="U104" s="26" t="n"/>
      <c r="V104" s="26" t="n"/>
      <c r="W104" s="26" t="n"/>
      <c r="X104" s="26" t="n"/>
      <c r="Y104" s="26" t="n"/>
      <c r="Z104" s="26" t="n"/>
      <c r="AA104" s="26" t="n"/>
      <c r="AB104" s="26" t="n"/>
      <c r="AC104" s="26" t="n"/>
      <c r="AD104" s="26" t="n"/>
      <c r="AE104" s="26" t="n"/>
      <c r="AF104" s="26" t="n"/>
      <c r="AG104" s="26" t="n"/>
      <c r="AH104" s="26" t="n"/>
      <c r="AI104" s="26" t="n"/>
      <c r="AJ104" s="27" t="n"/>
    </row>
    <row r="105" s="3154" customFormat="1" ht="13.5" customHeight="1">
      <c r="A105" s="1996" t="inlineStr">
        <is>
          <t xml:space="preserve">Amenities</t>
        </is>
      </c>
      <c r="B105" s="3942" t="n"/>
      <c r="C105" s="3968" t="n">
        <v>0</v>
      </c>
      <c r="D105" s="3940" t="n">
        <f t="array" ref="D105">C105/'Project Summary'!$I$8</f>
        <v>0</v>
      </c>
      <c r="E105" s="3941" t="n">
        <f t="array" ref="E105">C105/'Project Summary'!$I$7</f>
        <v>0</v>
      </c>
      <c r="F105" s="2001" t="n"/>
      <c r="G105" s="1995" t="str">
        <f t="array" ref="G105">IF(AND(E105=0,F105=""),"HIDE","")</f>
        <v>HIDE</v>
      </c>
      <c r="H105" s="26" t="n"/>
      <c r="I105" s="26" t="n"/>
      <c r="J105" s="26" t="n"/>
      <c r="K105" s="26" t="n"/>
      <c r="L105" s="26" t="n"/>
      <c r="M105" s="26" t="n"/>
      <c r="N105" s="26" t="n"/>
      <c r="O105" s="26" t="n"/>
      <c r="P105" s="26" t="n"/>
      <c r="Q105" s="26" t="n"/>
      <c r="R105" s="26" t="n"/>
      <c r="S105" s="26" t="n"/>
      <c r="T105" s="26" t="n"/>
      <c r="U105" s="26" t="n"/>
      <c r="V105" s="26" t="n"/>
      <c r="W105" s="26" t="n"/>
      <c r="X105" s="26" t="n"/>
      <c r="Y105" s="26" t="n"/>
      <c r="Z105" s="26" t="n"/>
      <c r="AA105" s="26" t="n"/>
      <c r="AB105" s="26" t="n"/>
      <c r="AC105" s="26" t="n"/>
      <c r="AD105" s="26" t="n"/>
      <c r="AE105" s="26" t="n"/>
      <c r="AF105" s="26" t="n"/>
      <c r="AG105" s="26" t="n"/>
      <c r="AH105" s="26" t="n"/>
      <c r="AI105" s="26" t="n"/>
      <c r="AJ105" s="27" t="n"/>
    </row>
    <row r="106" s="3154" customFormat="1" ht="13.5" customHeight="1">
      <c r="A106" s="1996" t="inlineStr">
        <is>
          <t xml:space="preserve">Hard Cost Contingency</t>
        </is>
      </c>
      <c r="B106" s="4523" t="n">
        <v>0</v>
      </c>
      <c r="C106" s="4524" t="n">
        <v>0</v>
      </c>
      <c r="D106" s="3940" t="n">
        <f t="array" ref="D106">C106/'Project Summary'!$I$8</f>
        <v>0</v>
      </c>
      <c r="E106" s="3941" t="n">
        <f t="array" ref="E106">C106/'Project Summary'!$I$7</f>
        <v>0</v>
      </c>
      <c r="F106" s="4525" t="inlineStr">
        <is>
          <t xml:space="preserve">Set to $0: hard-cost contingency is already carried once in CB-Summary!B18.</t>
        </is>
      </c>
      <c r="G106" s="1995" t="str">
        <f t="array" ref="G106">IF(AND(E106=0,F106=""),"HIDE","")</f>
      </c>
      <c r="H106" s="26" t="n"/>
      <c r="I106" s="26" t="n"/>
      <c r="J106" s="26" t="n"/>
      <c r="K106" s="26" t="n"/>
      <c r="L106" s="26" t="n"/>
      <c r="M106" s="26" t="n"/>
      <c r="N106" s="26" t="n"/>
      <c r="O106" s="26" t="n"/>
      <c r="P106" s="26" t="n"/>
      <c r="Q106" s="26" t="n"/>
      <c r="R106" s="26" t="n"/>
      <c r="S106" s="26" t="n"/>
      <c r="T106" s="26" t="n"/>
      <c r="U106" s="26" t="n"/>
      <c r="V106" s="26" t="n"/>
      <c r="W106" s="26" t="n"/>
      <c r="X106" s="26" t="n"/>
      <c r="Y106" s="26" t="n"/>
      <c r="Z106" s="26" t="n"/>
      <c r="AA106" s="26" t="n"/>
      <c r="AB106" s="26" t="n"/>
      <c r="AC106" s="26" t="n"/>
      <c r="AD106" s="26" t="n"/>
      <c r="AE106" s="26" t="n"/>
      <c r="AF106" s="26" t="n"/>
      <c r="AG106" s="26" t="n"/>
      <c r="AH106" s="26" t="n"/>
      <c r="AI106" s="26" t="n"/>
      <c r="AJ106" s="27" t="n"/>
    </row>
    <row r="107" s="3154" customFormat="1" ht="13.5" customHeight="1">
      <c r="A107" s="2006" t="str">
        <f t="array" ref="A107">"Subtotal: "&amp;A97</f>
        <v>Subtotal: Building Construction</v>
      </c>
      <c r="B107" s="3944" t="n"/>
      <c r="C107" s="3945" t="n">
        <f t="array" ref="C107">SUM(C98:C106)</f>
        <v>4160870.451917809</v>
      </c>
      <c r="D107" s="3946" t="n">
        <f t="array" ref="D107">SUM(D98:D106)</f>
        <v>229.2397177593426</v>
      </c>
      <c r="E107" s="3945" t="n">
        <f t="array" ref="E107">SUM(E98:E106)</f>
        <v>41608.70451917809</v>
      </c>
      <c r="F107" s="2010" t="n"/>
      <c r="G107" s="26" t="n"/>
      <c r="H107" s="26" t="n"/>
      <c r="I107" s="26" t="n"/>
      <c r="J107" s="26" t="n"/>
      <c r="K107" s="26" t="n"/>
      <c r="L107" s="26" t="n"/>
      <c r="M107" s="26" t="n"/>
      <c r="N107" s="26" t="n"/>
      <c r="O107" s="26" t="n"/>
      <c r="P107" s="26" t="n"/>
      <c r="Q107" s="26" t="n"/>
      <c r="R107" s="26" t="n"/>
      <c r="S107" s="26" t="n"/>
      <c r="T107" s="26" t="n"/>
      <c r="U107" s="26" t="n"/>
      <c r="V107" s="26" t="n"/>
      <c r="W107" s="26" t="n"/>
      <c r="X107" s="26" t="n"/>
      <c r="Y107" s="26" t="n"/>
      <c r="Z107" s="26" t="n"/>
      <c r="AA107" s="26" t="n"/>
      <c r="AB107" s="26" t="n"/>
      <c r="AC107" s="26" t="n"/>
      <c r="AD107" s="26" t="n"/>
      <c r="AE107" s="26" t="n"/>
      <c r="AF107" s="26" t="n"/>
      <c r="AG107" s="26" t="n"/>
      <c r="AH107" s="26" t="n"/>
      <c r="AI107" s="26" t="n"/>
      <c r="AJ107" s="27" t="n"/>
    </row>
    <row r="108" s="3154" customFormat="1" ht="13.5" customHeight="1">
      <c r="A108" s="2054" t="str">
        <f t="array" ref="A108">"Subtotal: "&amp;A83</f>
        <v>Subtotal: CONSTRUCTION HARD COSTS</v>
      </c>
      <c r="B108" s="3976" t="n"/>
      <c r="C108" s="3977" t="n">
        <f t="array" ref="C108">C95+C107</f>
        <v>4410870.4519178085</v>
      </c>
      <c r="D108" s="3978" t="n">
        <f t="array" ref="D108">D95+D107</f>
        <v>243.01326108449481</v>
      </c>
      <c r="E108" s="3977" t="n">
        <f t="array" ref="E108">E95+E107</f>
        <v>44108.70451917809</v>
      </c>
      <c r="F108" s="2058" t="n"/>
      <c r="G108" s="26" t="n"/>
      <c r="H108" s="26" t="n"/>
      <c r="I108" s="26" t="n"/>
      <c r="J108" s="3364" t="n">
        <f t="array" ref="J108">$B$24*C108</f>
        <v>132326.11355753426</v>
      </c>
      <c r="K108" s="26" t="n"/>
      <c r="L108" s="26" t="n"/>
      <c r="M108" s="26" t="n"/>
      <c r="N108" s="26" t="n"/>
      <c r="O108" s="26" t="n"/>
      <c r="P108" s="26" t="n"/>
      <c r="Q108" s="26" t="n"/>
      <c r="R108" s="26" t="n"/>
      <c r="S108" s="26" t="n"/>
      <c r="T108" s="26" t="n"/>
      <c r="U108" s="26" t="n"/>
      <c r="V108" s="26" t="n"/>
      <c r="W108" s="26" t="n"/>
      <c r="X108" s="26" t="n"/>
      <c r="Y108" s="26" t="n"/>
      <c r="Z108" s="26" t="n"/>
      <c r="AA108" s="26" t="n"/>
      <c r="AB108" s="26" t="n"/>
      <c r="AC108" s="26" t="n"/>
      <c r="AD108" s="26" t="n"/>
      <c r="AE108" s="26" t="n"/>
      <c r="AF108" s="26" t="n"/>
      <c r="AG108" s="26" t="n"/>
      <c r="AH108" s="26" t="n"/>
      <c r="AI108" s="26" t="n"/>
      <c r="AJ108" s="27" t="n"/>
    </row>
    <row r="109" s="3154" customFormat="1" ht="8" customHeight="1">
      <c r="A109" s="2011" t="n"/>
      <c r="B109" s="3947" t="n"/>
      <c r="C109" s="26" t="n"/>
      <c r="D109" s="3948" t="n"/>
      <c r="E109" s="3364" t="n"/>
      <c r="F109" s="1983" t="n"/>
      <c r="G109" s="26" t="n"/>
      <c r="H109" s="26" t="n"/>
      <c r="I109" s="26" t="n"/>
      <c r="J109" s="26" t="n"/>
      <c r="K109" s="26" t="n"/>
      <c r="L109" s="26" t="n"/>
      <c r="M109" s="26" t="n"/>
      <c r="N109" s="26" t="n"/>
      <c r="O109" s="26" t="n"/>
      <c r="P109" s="26" t="n"/>
      <c r="Q109" s="26" t="n"/>
      <c r="R109" s="26" t="n"/>
      <c r="S109" s="26" t="n"/>
      <c r="T109" s="26" t="n"/>
      <c r="U109" s="26" t="n"/>
      <c r="V109" s="26" t="n"/>
      <c r="W109" s="26" t="n"/>
      <c r="X109" s="26" t="n"/>
      <c r="Y109" s="26" t="n"/>
      <c r="Z109" s="26" t="n"/>
      <c r="AA109" s="26" t="n"/>
      <c r="AB109" s="26" t="n"/>
      <c r="AC109" s="26" t="n"/>
      <c r="AD109" s="26" t="n"/>
      <c r="AE109" s="26" t="n"/>
      <c r="AF109" s="26" t="n"/>
      <c r="AG109" s="26" t="n"/>
      <c r="AH109" s="26" t="n"/>
      <c r="AI109" s="26" t="n"/>
      <c r="AJ109" s="27" t="n"/>
    </row>
    <row r="110" s="3154" customFormat="1" ht="13.5" customHeight="1">
      <c r="A110" s="1985" t="inlineStr">
        <is>
          <t xml:space="preserve">CONSTRUCTION SOFT COSTS</t>
        </is>
      </c>
      <c r="B110" s="3933" t="n"/>
      <c r="C110" s="1987" t="inlineStr">
        <is>
          <t xml:space="preserve">TOTAL</t>
        </is>
      </c>
      <c r="D110" s="1987" t="inlineStr">
        <is>
          <t xml:space="preserve">$/GSF</t>
        </is>
      </c>
      <c r="E110" s="1987" t="inlineStr">
        <is>
          <t xml:space="preserve">PKEY</t>
        </is>
      </c>
      <c r="F110" s="1988" t="inlineStr">
        <is>
          <t xml:space="preserve">NOTES</t>
        </is>
      </c>
      <c r="G110" s="2034" t="n"/>
      <c r="H110" s="2034" t="n"/>
      <c r="I110" s="2034" t="n"/>
      <c r="J110" s="3963" t="n"/>
      <c r="K110" s="3963" t="n"/>
      <c r="L110" s="3963" t="n"/>
      <c r="M110" s="3963" t="n"/>
      <c r="N110" s="2037" t="inlineStr">
        <is>
          <t xml:space="preserve">SOFT COSTS</t>
        </is>
      </c>
      <c r="O110" s="3963" t="n"/>
      <c r="P110" s="3963" t="n"/>
      <c r="Q110" s="3963" t="n"/>
      <c r="R110" s="3963" t="n"/>
      <c r="S110" s="3963" t="n"/>
      <c r="T110" s="3963" t="n"/>
      <c r="U110" s="3963" t="n"/>
      <c r="V110" s="3963" t="n"/>
      <c r="W110" s="3963" t="n"/>
      <c r="X110" s="3963" t="n"/>
      <c r="Y110" s="3963" t="n"/>
      <c r="Z110" s="3963" t="n"/>
      <c r="AA110" s="3963" t="n"/>
      <c r="AB110" s="3963" t="n"/>
      <c r="AC110" s="3963" t="n"/>
      <c r="AD110" s="3963" t="n"/>
      <c r="AE110" s="3963" t="n"/>
      <c r="AF110" s="3963" t="n"/>
      <c r="AG110" s="3963" t="n"/>
      <c r="AH110" s="3963" t="n"/>
      <c r="AI110" s="3963" t="n"/>
      <c r="AJ110" s="3964" t="n"/>
    </row>
    <row r="111" s="3154" customFormat="1" ht="13.5" customHeight="1">
      <c r="A111" s="2038" t="inlineStr">
        <is>
          <t xml:space="preserve">Permits &amp; Fees</t>
        </is>
      </c>
      <c r="B111" s="3965" t="n"/>
      <c r="C111" s="3971" t="n"/>
      <c r="D111" s="3966" t="n"/>
      <c r="E111" s="3967" t="n"/>
      <c r="F111" s="2042" t="n"/>
      <c r="G111" s="2034" t="n"/>
      <c r="H111" s="2034" t="n"/>
      <c r="I111" s="2034" t="n"/>
      <c r="J111" s="3963" t="n"/>
      <c r="K111" s="3963" t="n"/>
      <c r="L111" s="3963" t="n"/>
      <c r="M111" s="3963" t="n"/>
      <c r="N111" s="3963" t="n"/>
      <c r="O111" s="3963" t="n"/>
      <c r="P111" s="3963" t="n"/>
      <c r="Q111" s="3963" t="n"/>
      <c r="R111" s="3963" t="n"/>
      <c r="S111" s="3963" t="n"/>
      <c r="T111" s="3963" t="n"/>
      <c r="U111" s="3963" t="n"/>
      <c r="V111" s="3963" t="n"/>
      <c r="W111" s="3963" t="n"/>
      <c r="X111" s="3963" t="n"/>
      <c r="Y111" s="3963" t="n"/>
      <c r="Z111" s="3963" t="n"/>
      <c r="AA111" s="3963" t="n"/>
      <c r="AB111" s="3963" t="n"/>
      <c r="AC111" s="3963" t="n"/>
      <c r="AD111" s="3963" t="n"/>
      <c r="AE111" s="3963" t="n"/>
      <c r="AF111" s="3963" t="n"/>
      <c r="AG111" s="3963" t="n"/>
      <c r="AH111" s="3963" t="n"/>
      <c r="AI111" s="3963" t="n"/>
      <c r="AJ111" s="3964" t="n"/>
    </row>
    <row r="112" s="3154" customFormat="1" ht="13.5" customHeight="1">
      <c r="A112" s="1989" t="inlineStr">
        <is>
          <t xml:space="preserve">Inspection Fee</t>
        </is>
      </c>
      <c r="B112" s="3949" t="n"/>
      <c r="C112" s="3954" t="n">
        <v>0</v>
      </c>
      <c r="D112" s="3936" t="n">
        <f t="array" ref="D112">C112/'Project Summary'!$I$8</f>
        <v>0</v>
      </c>
      <c r="E112" s="3937" t="n">
        <f t="array" ref="E112">C112/'Project Summary'!$I$7</f>
        <v>0</v>
      </c>
      <c r="F112" s="2023" t="n"/>
      <c r="G112" s="1995" t="str">
        <f t="array" ref="G112">IF(AND(E112=0,F112=""),"HIDE","")</f>
        <v>HIDE</v>
      </c>
      <c r="H112" s="26" t="n"/>
      <c r="I112" s="26" t="n"/>
      <c r="J112" s="26" t="n"/>
      <c r="K112" s="26" t="n"/>
      <c r="L112" s="26" t="n"/>
      <c r="M112" s="26" t="n"/>
      <c r="N112" s="26" t="n"/>
      <c r="O112" s="26" t="n"/>
      <c r="P112" s="26" t="n"/>
      <c r="Q112" s="26" t="n"/>
      <c r="R112" s="26" t="n"/>
      <c r="S112" s="26" t="n"/>
      <c r="T112" s="26" t="n"/>
      <c r="U112" s="26" t="n"/>
      <c r="V112" s="26" t="n"/>
      <c r="W112" s="26" t="n"/>
      <c r="X112" s="26" t="n"/>
      <c r="Y112" s="26" t="n"/>
      <c r="Z112" s="26" t="n"/>
      <c r="AA112" s="26" t="n"/>
      <c r="AB112" s="26" t="n"/>
      <c r="AC112" s="26" t="n"/>
      <c r="AD112" s="26" t="n"/>
      <c r="AE112" s="26" t="n"/>
      <c r="AF112" s="26" t="n"/>
      <c r="AG112" s="26" t="n"/>
      <c r="AH112" s="26" t="n"/>
      <c r="AI112" s="26" t="n"/>
      <c r="AJ112" s="27" t="n"/>
    </row>
    <row r="113" s="3154" customFormat="1" ht="13.5" customHeight="1">
      <c r="A113" s="1996" t="inlineStr">
        <is>
          <t xml:space="preserve">Fire/Police Permit/Fee</t>
        </is>
      </c>
      <c r="B113" s="3939" t="n"/>
      <c r="C113" s="3943" t="n">
        <v>0</v>
      </c>
      <c r="D113" s="3940" t="n">
        <f t="array" ref="D113">C113/'Project Summary'!$I$8</f>
        <v>0</v>
      </c>
      <c r="E113" s="3941" t="n">
        <f t="array" ref="E113">C113/'Project Summary'!$I$7</f>
        <v>0</v>
      </c>
      <c r="F113" s="2001" t="n"/>
      <c r="G113" s="1995" t="str">
        <f t="array" ref="G113">IF(AND(E113=0,F113=""),"HIDE","")</f>
        <v>HIDE</v>
      </c>
      <c r="H113" s="26" t="n"/>
      <c r="I113" s="26" t="n"/>
      <c r="J113" s="26" t="n"/>
      <c r="K113" s="26" t="n"/>
      <c r="L113" s="26" t="n"/>
      <c r="M113" s="26" t="n"/>
      <c r="N113" s="26" t="n"/>
      <c r="O113" s="26" t="n"/>
      <c r="P113" s="26" t="n"/>
      <c r="Q113" s="26" t="n"/>
      <c r="R113" s="26" t="n"/>
      <c r="S113" s="26" t="n"/>
      <c r="T113" s="26" t="n"/>
      <c r="U113" s="26" t="n"/>
      <c r="V113" s="26" t="n"/>
      <c r="W113" s="26" t="n"/>
      <c r="X113" s="26" t="n"/>
      <c r="Y113" s="26" t="n"/>
      <c r="Z113" s="26" t="n"/>
      <c r="AA113" s="26" t="n"/>
      <c r="AB113" s="26" t="n"/>
      <c r="AC113" s="26" t="n"/>
      <c r="AD113" s="26" t="n"/>
      <c r="AE113" s="26" t="n"/>
      <c r="AF113" s="26" t="n"/>
      <c r="AG113" s="26" t="n"/>
      <c r="AH113" s="26" t="n"/>
      <c r="AI113" s="26" t="n"/>
      <c r="AJ113" s="27" t="n"/>
    </row>
    <row r="114" s="3154" customFormat="1" ht="13.5" customHeight="1">
      <c r="A114" s="1996" t="inlineStr">
        <is>
          <t xml:space="preserve">Other Professional</t>
        </is>
      </c>
      <c r="B114" s="3942" t="n"/>
      <c r="C114" s="3943" t="n">
        <v>0</v>
      </c>
      <c r="D114" s="3940" t="n">
        <f t="array" ref="D114">C114/'Project Summary'!$I$8</f>
        <v>0</v>
      </c>
      <c r="E114" s="3941" t="n">
        <f t="array" ref="E114">C114/'Project Summary'!$I$7</f>
        <v>0</v>
      </c>
      <c r="F114" s="2001" t="n"/>
      <c r="G114" s="1995" t="str">
        <f t="array" ref="G114">IF(AND(E114=0,F114=""),"HIDE","")</f>
        <v>HIDE</v>
      </c>
      <c r="H114" s="26" t="n"/>
      <c r="I114" s="26" t="n"/>
      <c r="J114" s="26" t="n"/>
      <c r="K114" s="26" t="n"/>
      <c r="L114" s="26" t="n"/>
      <c r="M114" s="26" t="n"/>
      <c r="N114" s="26" t="n"/>
      <c r="O114" s="26" t="n"/>
      <c r="P114" s="26" t="n"/>
      <c r="Q114" s="26" t="n"/>
      <c r="R114" s="26" t="n"/>
      <c r="S114" s="26" t="n"/>
      <c r="T114" s="26" t="n"/>
      <c r="U114" s="26" t="n"/>
      <c r="V114" s="26" t="n"/>
      <c r="W114" s="26" t="n"/>
      <c r="X114" s="26" t="n"/>
      <c r="Y114" s="26" t="n"/>
      <c r="Z114" s="26" t="n"/>
      <c r="AA114" s="26" t="n"/>
      <c r="AB114" s="26" t="n"/>
      <c r="AC114" s="26" t="n"/>
      <c r="AD114" s="26" t="n"/>
      <c r="AE114" s="26" t="n"/>
      <c r="AF114" s="26" t="n"/>
      <c r="AG114" s="26" t="n"/>
      <c r="AH114" s="26" t="n"/>
      <c r="AI114" s="26" t="n"/>
      <c r="AJ114" s="27" t="n"/>
    </row>
    <row r="115" s="3154" customFormat="1" ht="13.5" customHeight="1">
      <c r="A115" s="1996" t="inlineStr">
        <is>
          <t xml:space="preserve">Site Security</t>
        </is>
      </c>
      <c r="B115" s="3939" t="n"/>
      <c r="C115" s="3943" t="n">
        <v>0</v>
      </c>
      <c r="D115" s="3940" t="n">
        <f t="array" ref="D115">C115/'Project Summary'!$I$8</f>
        <v>0</v>
      </c>
      <c r="E115" s="3941" t="n">
        <f t="array" ref="E115">C115/'Project Summary'!$I$7</f>
        <v>0</v>
      </c>
      <c r="F115" s="2001" t="n"/>
      <c r="G115" s="1995" t="str">
        <f t="array" ref="G115">IF(AND(E115=0,F115=""),"HIDE","")</f>
        <v>HIDE</v>
      </c>
      <c r="H115" s="26" t="n"/>
      <c r="I115" s="26" t="n"/>
      <c r="J115" s="26" t="n"/>
      <c r="K115" s="26" t="n"/>
      <c r="L115" s="26" t="n"/>
      <c r="M115" s="26" t="n"/>
      <c r="N115" s="26" t="n"/>
      <c r="O115" s="26" t="n"/>
      <c r="P115" s="26" t="n"/>
      <c r="Q115" s="26" t="n"/>
      <c r="R115" s="26" t="n"/>
      <c r="S115" s="26" t="n"/>
      <c r="T115" s="26" t="n"/>
      <c r="U115" s="26" t="n"/>
      <c r="V115" s="26" t="n"/>
      <c r="W115" s="26" t="n"/>
      <c r="X115" s="26" t="n"/>
      <c r="Y115" s="26" t="n"/>
      <c r="Z115" s="26" t="n"/>
      <c r="AA115" s="26" t="n"/>
      <c r="AB115" s="26" t="n"/>
      <c r="AC115" s="26" t="n"/>
      <c r="AD115" s="26" t="n"/>
      <c r="AE115" s="26" t="n"/>
      <c r="AF115" s="26" t="n"/>
      <c r="AG115" s="26" t="n"/>
      <c r="AH115" s="26" t="n"/>
      <c r="AI115" s="26" t="n"/>
      <c r="AJ115" s="27" t="n"/>
    </row>
    <row r="116" s="3154" customFormat="1" ht="13.5" customHeight="1">
      <c r="A116" s="1996" t="inlineStr">
        <is>
          <t xml:space="preserve">Building Permit/Fee</t>
        </is>
      </c>
      <c r="B116" s="2059" t="n">
        <v>0.008500000000000001</v>
      </c>
      <c r="C116" s="3939" t="n">
        <f t="array" ref="C116">B116*C98</f>
        <v>35367.39884130138</v>
      </c>
      <c r="D116" s="3940" t="n">
        <f t="array" ref="D116">C116/'Project Summary'!$I$8</f>
        <v>1.9485376009544124</v>
      </c>
      <c r="E116" s="3941" t="n">
        <f t="array" ref="E116">C116/'Project Summary'!$I$7</f>
        <v>353.6739884130138</v>
      </c>
      <c r="F116" s="2004" t="inlineStr">
        <is>
          <t xml:space="preserve">City permit fee — TBD based on final location</t>
        </is>
      </c>
      <c r="G116" s="1995" t="str">
        <f t="array" ref="G116">IF(AND(E116=0,F116=""),"HIDE","")</f>
      </c>
      <c r="H116" s="26" t="n"/>
      <c r="I116" s="26" t="n"/>
      <c r="J116" s="26" t="n"/>
      <c r="K116" s="26" t="n"/>
      <c r="L116" s="26" t="n"/>
      <c r="M116" s="26" t="n"/>
      <c r="N116" s="26" t="n"/>
      <c r="O116" s="26" t="n"/>
      <c r="P116" s="26" t="n"/>
      <c r="Q116" s="26" t="n"/>
      <c r="R116" s="26" t="n"/>
      <c r="S116" s="26" t="n"/>
      <c r="T116" s="26" t="n"/>
      <c r="U116" s="26" t="n"/>
      <c r="V116" s="26" t="n"/>
      <c r="W116" s="26" t="n"/>
      <c r="X116" s="26" t="n"/>
      <c r="Y116" s="26" t="n"/>
      <c r="Z116" s="26" t="n"/>
      <c r="AA116" s="26" t="n"/>
      <c r="AB116" s="26" t="n"/>
      <c r="AC116" s="26" t="n"/>
      <c r="AD116" s="26" t="n"/>
      <c r="AE116" s="26" t="n"/>
      <c r="AF116" s="26" t="n"/>
      <c r="AG116" s="26" t="n"/>
      <c r="AH116" s="26" t="n"/>
      <c r="AI116" s="26" t="n"/>
      <c r="AJ116" s="27" t="n"/>
    </row>
    <row r="117" s="3154" customFormat="1" ht="13.5" customHeight="1">
      <c r="A117" s="1996" t="inlineStr">
        <is>
          <t xml:space="preserve">Water/Sewer Fee</t>
        </is>
      </c>
      <c r="B117" s="3979" t="n">
        <v>0</v>
      </c>
      <c r="C117" s="3939" t="n">
        <f t="array" ref="C117">B117*'Assumptions'!J7</f>
        <v>0</v>
      </c>
      <c r="D117" s="3940" t="n">
        <f t="array" ref="D117">C117/'Project Summary'!$I$8</f>
        <v>0</v>
      </c>
      <c r="E117" s="3941" t="n">
        <f t="array" ref="E117">C117/'Project Summary'!$I$7</f>
        <v>0</v>
      </c>
      <c r="F117" s="2001" t="n"/>
      <c r="G117" s="1995" t="str">
        <f t="array" ref="G117">IF(AND(E117=0,F117=""),"HIDE","")</f>
        <v>HIDE</v>
      </c>
      <c r="H117" s="26" t="n"/>
      <c r="I117" s="26" t="n"/>
      <c r="J117" s="26" t="n"/>
      <c r="K117" s="26" t="n"/>
      <c r="L117" s="26" t="n"/>
      <c r="M117" s="26" t="n"/>
      <c r="N117" s="26" t="n"/>
      <c r="O117" s="26" t="n"/>
      <c r="P117" s="26" t="n"/>
      <c r="Q117" s="26" t="n"/>
      <c r="R117" s="26" t="n"/>
      <c r="S117" s="26" t="n"/>
      <c r="T117" s="26" t="n"/>
      <c r="U117" s="26" t="n"/>
      <c r="V117" s="26" t="n"/>
      <c r="W117" s="26" t="n"/>
      <c r="X117" s="26" t="n"/>
      <c r="Y117" s="26" t="n"/>
      <c r="Z117" s="26" t="n"/>
      <c r="AA117" s="26" t="n"/>
      <c r="AB117" s="26" t="n"/>
      <c r="AC117" s="26" t="n"/>
      <c r="AD117" s="26" t="n"/>
      <c r="AE117" s="26" t="n"/>
      <c r="AF117" s="26" t="n"/>
      <c r="AG117" s="26" t="n"/>
      <c r="AH117" s="26" t="n"/>
      <c r="AI117" s="26" t="n"/>
      <c r="AJ117" s="27" t="n"/>
    </row>
    <row r="118" s="3154" customFormat="1" ht="13.5" customHeight="1">
      <c r="A118" s="1996" t="inlineStr">
        <is>
          <t xml:space="preserve">Fire Fee</t>
        </is>
      </c>
      <c r="B118" s="3979" t="n">
        <v>0</v>
      </c>
      <c r="C118" s="3939" t="n">
        <f t="array" ref="C118">B118*'Project Summary'!$I$7</f>
        <v>0</v>
      </c>
      <c r="D118" s="3940" t="n">
        <f t="array" ref="D118">C118/'Project Summary'!$I$8</f>
        <v>0</v>
      </c>
      <c r="E118" s="3941" t="n">
        <f t="array" ref="E118">C118/'Project Summary'!$I$7</f>
        <v>0</v>
      </c>
      <c r="F118" s="2001" t="n"/>
      <c r="G118" s="1995" t="str">
        <f t="array" ref="G118">IF(AND(E118=0,F118=""),"HIDE","")</f>
        <v>HIDE</v>
      </c>
      <c r="H118" s="26" t="n"/>
      <c r="I118" s="26" t="n"/>
      <c r="J118" s="26" t="n"/>
      <c r="K118" s="26" t="n"/>
      <c r="L118" s="26" t="n"/>
      <c r="M118" s="26" t="n"/>
      <c r="N118" s="26" t="n"/>
      <c r="O118" s="26" t="n"/>
      <c r="P118" s="26" t="n"/>
      <c r="Q118" s="26" t="n"/>
      <c r="R118" s="26" t="n"/>
      <c r="S118" s="26" t="n"/>
      <c r="T118" s="26" t="n"/>
      <c r="U118" s="26" t="n"/>
      <c r="V118" s="26" t="n"/>
      <c r="W118" s="26" t="n"/>
      <c r="X118" s="26" t="n"/>
      <c r="Y118" s="26" t="n"/>
      <c r="Z118" s="26" t="n"/>
      <c r="AA118" s="26" t="n"/>
      <c r="AB118" s="26" t="n"/>
      <c r="AC118" s="26" t="n"/>
      <c r="AD118" s="26" t="n"/>
      <c r="AE118" s="26" t="n"/>
      <c r="AF118" s="26" t="n"/>
      <c r="AG118" s="26" t="n"/>
      <c r="AH118" s="26" t="n"/>
      <c r="AI118" s="26" t="n"/>
      <c r="AJ118" s="27" t="n"/>
    </row>
    <row r="119" s="3154" customFormat="1" ht="13.5" customHeight="1">
      <c r="A119" s="1996" t="inlineStr">
        <is>
          <t xml:space="preserve">Law Enforcement Fee</t>
        </is>
      </c>
      <c r="B119" s="3979" t="n">
        <v>0</v>
      </c>
      <c r="C119" s="3939" t="n">
        <f t="array" ref="C119">B119*'Project Summary'!$I$7</f>
        <v>0</v>
      </c>
      <c r="D119" s="3940" t="n">
        <f t="array" ref="D119">C119/'Project Summary'!$I$8</f>
        <v>0</v>
      </c>
      <c r="E119" s="3941" t="n">
        <f t="array" ref="E119">C119/'Project Summary'!$I$7</f>
        <v>0</v>
      </c>
      <c r="F119" s="2001" t="n"/>
      <c r="G119" s="1995" t="str">
        <f t="array" ref="G119">IF(AND(E119=0,F119=""),"HIDE","")</f>
        <v>HIDE</v>
      </c>
      <c r="H119" s="26" t="n"/>
      <c r="I119" s="26" t="n"/>
      <c r="J119" s="26" t="n"/>
      <c r="K119" s="26" t="n"/>
      <c r="L119" s="26" t="n"/>
      <c r="M119" s="26" t="n"/>
      <c r="N119" s="26" t="n"/>
      <c r="O119" s="26" t="n"/>
      <c r="P119" s="26" t="n"/>
      <c r="Q119" s="26" t="n"/>
      <c r="R119" s="26" t="n"/>
      <c r="S119" s="26" t="n"/>
      <c r="T119" s="26" t="n"/>
      <c r="U119" s="26" t="n"/>
      <c r="V119" s="26" t="n"/>
      <c r="W119" s="26" t="n"/>
      <c r="X119" s="26" t="n"/>
      <c r="Y119" s="26" t="n"/>
      <c r="Z119" s="26" t="n"/>
      <c r="AA119" s="26" t="n"/>
      <c r="AB119" s="26" t="n"/>
      <c r="AC119" s="26" t="n"/>
      <c r="AD119" s="26" t="n"/>
      <c r="AE119" s="26" t="n"/>
      <c r="AF119" s="26" t="n"/>
      <c r="AG119" s="26" t="n"/>
      <c r="AH119" s="26" t="n"/>
      <c r="AI119" s="26" t="n"/>
      <c r="AJ119" s="27" t="n"/>
    </row>
    <row r="120" s="3154" customFormat="1" ht="13.5" customHeight="1">
      <c r="A120" s="1996" t="inlineStr">
        <is>
          <t xml:space="preserve">Parks/Rec Fee</t>
        </is>
      </c>
      <c r="B120" s="3979" t="n">
        <v>0</v>
      </c>
      <c r="C120" s="3939" t="n">
        <f t="array" ref="C120">B120*'Project Summary'!$I$7</f>
        <v>0</v>
      </c>
      <c r="D120" s="3940" t="n">
        <f t="array" ref="D120">C120/'Project Summary'!$I$8</f>
        <v>0</v>
      </c>
      <c r="E120" s="3941" t="n">
        <f t="array" ref="E120">C120/'Project Summary'!$I$7</f>
        <v>0</v>
      </c>
      <c r="F120" s="2001" t="n"/>
      <c r="G120" s="1995" t="str">
        <f t="array" ref="G120">IF(AND(E120=0,F120=""),"HIDE","")</f>
        <v>HIDE</v>
      </c>
      <c r="H120" s="26" t="n"/>
      <c r="I120" s="26" t="n"/>
      <c r="J120" s="26" t="n"/>
      <c r="K120" s="26" t="n"/>
      <c r="L120" s="26" t="n"/>
      <c r="M120" s="26" t="n"/>
      <c r="N120" s="26" t="n"/>
      <c r="O120" s="26" t="n"/>
      <c r="P120" s="26" t="n"/>
      <c r="Q120" s="26" t="n"/>
      <c r="R120" s="26" t="n"/>
      <c r="S120" s="26" t="n"/>
      <c r="T120" s="26" t="n"/>
      <c r="U120" s="26" t="n"/>
      <c r="V120" s="26" t="n"/>
      <c r="W120" s="26" t="n"/>
      <c r="X120" s="26" t="n"/>
      <c r="Y120" s="26" t="n"/>
      <c r="Z120" s="26" t="n"/>
      <c r="AA120" s="26" t="n"/>
      <c r="AB120" s="26" t="n"/>
      <c r="AC120" s="26" t="n"/>
      <c r="AD120" s="26" t="n"/>
      <c r="AE120" s="26" t="n"/>
      <c r="AF120" s="26" t="n"/>
      <c r="AG120" s="26" t="n"/>
      <c r="AH120" s="26" t="n"/>
      <c r="AI120" s="26" t="n"/>
      <c r="AJ120" s="27" t="n"/>
    </row>
    <row r="121" s="3154" customFormat="1" ht="13.5" customHeight="1">
      <c r="A121" s="1996" t="inlineStr">
        <is>
          <t xml:space="preserve">Transportation Permit/Fee</t>
        </is>
      </c>
      <c r="B121" s="3979" t="n">
        <v>0</v>
      </c>
      <c r="C121" s="3939" t="n">
        <f t="array" ref="C121">B121*'Project Summary'!$I$7</f>
        <v>0</v>
      </c>
      <c r="D121" s="3940" t="n">
        <f t="array" ref="D121">C121/'Project Summary'!$I$8</f>
        <v>0</v>
      </c>
      <c r="E121" s="3941" t="n">
        <f t="array" ref="E121">C121/'Project Summary'!$I$7</f>
        <v>0</v>
      </c>
      <c r="F121" s="2001" t="n"/>
      <c r="G121" s="1995" t="str">
        <f t="array" ref="G121">IF(AND(E121=0,F121=""),"HIDE","")</f>
        <v>HIDE</v>
      </c>
      <c r="H121" s="26" t="n"/>
      <c r="I121" s="26" t="n"/>
      <c r="J121" s="26" t="n"/>
      <c r="K121" s="26" t="n"/>
      <c r="L121" s="26" t="n"/>
      <c r="M121" s="26" t="n"/>
      <c r="N121" s="26" t="n"/>
      <c r="O121" s="26" t="n"/>
      <c r="P121" s="26" t="n"/>
      <c r="Q121" s="26" t="n"/>
      <c r="R121" s="26" t="n"/>
      <c r="S121" s="26" t="n"/>
      <c r="T121" s="26" t="n"/>
      <c r="U121" s="26" t="n"/>
      <c r="V121" s="26" t="n"/>
      <c r="W121" s="26" t="n"/>
      <c r="X121" s="26" t="n"/>
      <c r="Y121" s="26" t="n"/>
      <c r="Z121" s="26" t="n"/>
      <c r="AA121" s="26" t="n"/>
      <c r="AB121" s="26" t="n"/>
      <c r="AC121" s="26" t="n"/>
      <c r="AD121" s="26" t="n"/>
      <c r="AE121" s="26" t="n"/>
      <c r="AF121" s="26" t="n"/>
      <c r="AG121" s="26" t="n"/>
      <c r="AH121" s="26" t="n"/>
      <c r="AI121" s="26" t="n"/>
      <c r="AJ121" s="27" t="n"/>
    </row>
    <row r="122" s="3154" customFormat="1" ht="13.5" customHeight="1">
      <c r="A122" s="1996" t="inlineStr">
        <is>
          <t xml:space="preserve">Other Permits/Fees</t>
        </is>
      </c>
      <c r="B122" s="3942" t="n"/>
      <c r="C122" s="3943" t="n">
        <v>50000</v>
      </c>
      <c r="D122" s="3940" t="n">
        <f t="array" ref="D122">C122/'Project Summary'!$I$8</f>
        <v>2.7547086650304444</v>
      </c>
      <c r="E122" s="3941" t="n">
        <f t="array" ref="E122">C122/'Project Summary'!$I$7</f>
        <v>500</v>
      </c>
      <c r="F122" s="2004" t="inlineStr">
        <is>
          <t xml:space="preserve">EST: Placeholder until all ATC fees are evaluated</t>
        </is>
      </c>
      <c r="G122" s="1995" t="str">
        <f t="array" ref="G122">IF(AND(E122=0,F122=""),"HIDE","")</f>
      </c>
      <c r="H122" s="26" t="n"/>
      <c r="I122" s="26" t="n"/>
      <c r="J122" s="26" t="n"/>
      <c r="K122" s="26" t="n"/>
      <c r="L122" s="26" t="n"/>
      <c r="M122" s="26" t="n"/>
      <c r="N122" s="26" t="n"/>
      <c r="O122" s="26" t="n"/>
      <c r="P122" s="26" t="n"/>
      <c r="Q122" s="26" t="n"/>
      <c r="R122" s="26" t="n"/>
      <c r="S122" s="26" t="n"/>
      <c r="T122" s="26" t="n"/>
      <c r="U122" s="26" t="n"/>
      <c r="V122" s="26" t="n"/>
      <c r="W122" s="26" t="n"/>
      <c r="X122" s="26" t="n"/>
      <c r="Y122" s="26" t="n"/>
      <c r="Z122" s="26" t="n"/>
      <c r="AA122" s="26" t="n"/>
      <c r="AB122" s="26" t="n"/>
      <c r="AC122" s="26" t="n"/>
      <c r="AD122" s="26" t="n"/>
      <c r="AE122" s="26" t="n"/>
      <c r="AF122" s="26" t="n"/>
      <c r="AG122" s="26" t="n"/>
      <c r="AH122" s="26" t="n"/>
      <c r="AI122" s="26" t="n"/>
      <c r="AJ122" s="27" t="n"/>
    </row>
    <row r="123" s="3154" customFormat="1" ht="13.5" customHeight="1">
      <c r="A123" s="2006" t="str">
        <f t="array" ref="A123">"Subtotal: "&amp;A111</f>
        <v>Subtotal: Permits &amp; Fees</v>
      </c>
      <c r="B123" s="3944" t="n"/>
      <c r="C123" s="3945" t="n">
        <f t="array" ref="C123">SUM(C112:C122)</f>
        <v>85367.39884130139</v>
      </c>
      <c r="D123" s="3946" t="n">
        <f t="array" ref="D123">SUM(D112:D122)</f>
        <v>4.703246265984857</v>
      </c>
      <c r="E123" s="3945" t="n">
        <f t="array" ref="E123">SUM(E112:E122)</f>
        <v>853.6739884130138</v>
      </c>
      <c r="F123" s="2010" t="n"/>
      <c r="G123" s="26" t="n"/>
      <c r="H123" s="26" t="n"/>
      <c r="I123" s="26" t="n"/>
      <c r="J123" s="26" t="n"/>
      <c r="K123" s="26" t="n"/>
      <c r="L123" s="26" t="n"/>
      <c r="M123" s="26" t="n"/>
      <c r="N123" s="26" t="n"/>
      <c r="O123" s="26" t="n"/>
      <c r="P123" s="26" t="n"/>
      <c r="Q123" s="26" t="n"/>
      <c r="R123" s="26" t="n"/>
      <c r="S123" s="26" t="n"/>
      <c r="T123" s="26" t="n"/>
      <c r="U123" s="26" t="n"/>
      <c r="V123" s="26" t="n"/>
      <c r="W123" s="26" t="n"/>
      <c r="X123" s="26" t="n"/>
      <c r="Y123" s="26" t="n"/>
      <c r="Z123" s="26" t="n"/>
      <c r="AA123" s="26" t="n"/>
      <c r="AB123" s="26" t="n"/>
      <c r="AC123" s="26" t="n"/>
      <c r="AD123" s="26" t="n"/>
      <c r="AE123" s="26" t="n"/>
      <c r="AF123" s="26" t="n"/>
      <c r="AG123" s="26" t="n"/>
      <c r="AH123" s="26" t="n"/>
      <c r="AI123" s="26" t="n"/>
      <c r="AJ123" s="27" t="n"/>
    </row>
    <row r="124" s="3154" customFormat="1" ht="8" customHeight="1">
      <c r="A124" s="2011" t="n"/>
      <c r="B124" s="26" t="n"/>
      <c r="C124" s="26" t="n"/>
      <c r="D124" s="3948" t="n"/>
      <c r="E124" s="3980" t="n"/>
      <c r="F124" s="2062" t="n"/>
      <c r="G124" s="26" t="n"/>
      <c r="H124" s="26" t="n"/>
      <c r="I124" s="26" t="n"/>
      <c r="J124" s="26" t="n"/>
      <c r="K124" s="26" t="n"/>
      <c r="L124" s="26" t="n"/>
      <c r="M124" s="26" t="n"/>
      <c r="N124" s="26" t="n"/>
      <c r="O124" s="26" t="n"/>
      <c r="P124" s="26" t="n"/>
      <c r="Q124" s="26" t="n"/>
      <c r="R124" s="26" t="n"/>
      <c r="S124" s="26" t="n"/>
      <c r="T124" s="26" t="n"/>
      <c r="U124" s="26" t="n"/>
      <c r="V124" s="26" t="n"/>
      <c r="W124" s="26" t="n"/>
      <c r="X124" s="26" t="n"/>
      <c r="Y124" s="26" t="n"/>
      <c r="Z124" s="26" t="n"/>
      <c r="AA124" s="26" t="n"/>
      <c r="AB124" s="26" t="n"/>
      <c r="AC124" s="26" t="n"/>
      <c r="AD124" s="26" t="n"/>
      <c r="AE124" s="26" t="n"/>
      <c r="AF124" s="26" t="n"/>
      <c r="AG124" s="26" t="n"/>
      <c r="AH124" s="26" t="n"/>
      <c r="AI124" s="26" t="n"/>
      <c r="AJ124" s="27" t="n"/>
    </row>
    <row r="125" s="3154" customFormat="1" ht="13.5" customHeight="1">
      <c r="A125" s="2038" t="inlineStr">
        <is>
          <t xml:space="preserve">Testing &amp; Inspections</t>
        </is>
      </c>
      <c r="B125" s="3965" t="n"/>
      <c r="C125" s="3971" t="n"/>
      <c r="D125" s="3966" t="n"/>
      <c r="E125" s="3967" t="n"/>
      <c r="F125" s="2042" t="n"/>
      <c r="G125" s="26" t="n"/>
      <c r="H125" s="26" t="n"/>
      <c r="I125" s="26" t="n"/>
      <c r="J125" s="26" t="n"/>
      <c r="K125" s="26" t="n"/>
      <c r="L125" s="26" t="n"/>
      <c r="M125" s="26" t="n"/>
      <c r="N125" s="26" t="n"/>
      <c r="O125" s="26" t="n"/>
      <c r="P125" s="26" t="n"/>
      <c r="Q125" s="26" t="n"/>
      <c r="R125" s="26" t="n"/>
      <c r="S125" s="26" t="n"/>
      <c r="T125" s="26" t="n"/>
      <c r="U125" s="26" t="n"/>
      <c r="V125" s="26" t="n"/>
      <c r="W125" s="26" t="n"/>
      <c r="X125" s="26" t="n"/>
      <c r="Y125" s="26" t="n"/>
      <c r="Z125" s="26" t="n"/>
      <c r="AA125" s="26" t="n"/>
      <c r="AB125" s="26" t="n"/>
      <c r="AC125" s="26" t="n"/>
      <c r="AD125" s="26" t="n"/>
      <c r="AE125" s="26" t="n"/>
      <c r="AF125" s="26" t="n"/>
      <c r="AG125" s="26" t="n"/>
      <c r="AH125" s="26" t="n"/>
      <c r="AI125" s="26" t="n"/>
      <c r="AJ125" s="27" t="n"/>
    </row>
    <row r="126" s="3154" customFormat="1" ht="13.5" customHeight="1">
      <c r="A126" s="1989" t="inlineStr">
        <is>
          <t xml:space="preserve">Materials Testing</t>
        </is>
      </c>
      <c r="B126" s="3949" t="n"/>
      <c r="C126" s="3954" t="n">
        <v>8000</v>
      </c>
      <c r="D126" s="3936" t="n">
        <f t="array" ref="D126">C126/'Project Summary'!$I$8</f>
        <v>0.44075338640487116</v>
      </c>
      <c r="E126" s="3937" t="n">
        <f t="array" ref="E126">C126/'Project Summary'!$I$7</f>
        <v>80</v>
      </c>
      <c r="F126" s="1994" t="inlineStr">
        <is>
          <t xml:space="preserve">PROPOSAL:  GTEC dated 9/16/24</t>
        </is>
      </c>
      <c r="G126" s="1995" t="str">
        <f t="array" ref="G126">IF(AND(E126=0,F126=""),"HIDE","")</f>
      </c>
      <c r="H126" s="26" t="n"/>
      <c r="I126" s="26" t="n"/>
      <c r="J126" s="26" t="n"/>
      <c r="K126" s="26" t="n"/>
      <c r="L126" s="26" t="n"/>
      <c r="M126" s="26" t="n"/>
      <c r="N126" s="26" t="n"/>
      <c r="O126" s="26" t="n"/>
      <c r="P126" s="26" t="n"/>
      <c r="Q126" s="26" t="n"/>
      <c r="R126" s="26" t="n"/>
      <c r="S126" s="26" t="n"/>
      <c r="T126" s="26" t="n"/>
      <c r="U126" s="26" t="n"/>
      <c r="V126" s="26" t="n"/>
      <c r="W126" s="26" t="n"/>
      <c r="X126" s="26" t="n"/>
      <c r="Y126" s="26" t="n"/>
      <c r="Z126" s="26" t="n"/>
      <c r="AA126" s="26" t="n"/>
      <c r="AB126" s="26" t="n"/>
      <c r="AC126" s="26" t="n"/>
      <c r="AD126" s="26" t="n"/>
      <c r="AE126" s="26" t="n"/>
      <c r="AF126" s="26" t="n"/>
      <c r="AG126" s="26" t="n"/>
      <c r="AH126" s="26" t="n"/>
      <c r="AI126" s="26" t="n"/>
      <c r="AJ126" s="27" t="n"/>
    </row>
    <row r="127" s="3154" customFormat="1" ht="13.5" customHeight="1">
      <c r="A127" s="1996" t="inlineStr">
        <is>
          <t xml:space="preserve">Threshold Inspections</t>
        </is>
      </c>
      <c r="B127" s="3942" t="n"/>
      <c r="C127" s="3943" t="n">
        <v>0</v>
      </c>
      <c r="D127" s="3940" t="n">
        <f t="array" ref="D127">C127/'Project Summary'!$I$8</f>
        <v>0</v>
      </c>
      <c r="E127" s="3941" t="n">
        <f t="array" ref="E127">C127/'Project Summary'!$I$7</f>
        <v>0</v>
      </c>
      <c r="F127" s="2004" t="inlineStr">
        <is>
          <t xml:space="preserve">Assume no threshold inspections needed for bldg of this size</t>
        </is>
      </c>
      <c r="G127" s="1995" t="str">
        <f t="array" ref="G127">IF(AND(E127=0,F127=""),"HIDE","")</f>
      </c>
      <c r="H127" s="26" t="n"/>
      <c r="I127" s="26" t="n"/>
      <c r="J127" s="26" t="n"/>
      <c r="K127" s="26" t="n"/>
      <c r="L127" s="26" t="n"/>
      <c r="M127" s="26" t="n"/>
      <c r="N127" s="26" t="n"/>
      <c r="O127" s="26" t="n"/>
      <c r="P127" s="26" t="n"/>
      <c r="Q127" s="26" t="n"/>
      <c r="R127" s="26" t="n"/>
      <c r="S127" s="26" t="n"/>
      <c r="T127" s="26" t="n"/>
      <c r="U127" s="26" t="n"/>
      <c r="V127" s="26" t="n"/>
      <c r="W127" s="26" t="n"/>
      <c r="X127" s="26" t="n"/>
      <c r="Y127" s="26" t="n"/>
      <c r="Z127" s="26" t="n"/>
      <c r="AA127" s="26" t="n"/>
      <c r="AB127" s="26" t="n"/>
      <c r="AC127" s="26" t="n"/>
      <c r="AD127" s="26" t="n"/>
      <c r="AE127" s="26" t="n"/>
      <c r="AF127" s="26" t="n"/>
      <c r="AG127" s="26" t="n"/>
      <c r="AH127" s="26" t="n"/>
      <c r="AI127" s="26" t="n"/>
      <c r="AJ127" s="27" t="n"/>
    </row>
    <row r="128" s="3154" customFormat="1" ht="13.5" customHeight="1">
      <c r="A128" s="1996" t="inlineStr">
        <is>
          <t xml:space="preserve">HVAC Test &amp; Balance</t>
        </is>
      </c>
      <c r="B128" s="3942" t="n"/>
      <c r="C128" s="3943" t="n">
        <v>0</v>
      </c>
      <c r="D128" s="3940" t="n">
        <f t="array" ref="D128">C128/'Project Summary'!$I$8</f>
        <v>0</v>
      </c>
      <c r="E128" s="3941" t="n">
        <f t="array" ref="E128">C128/'Project Summary'!$I$7</f>
        <v>0</v>
      </c>
      <c r="F128" s="2001" t="n"/>
      <c r="G128" s="1995" t="str">
        <f t="array" ref="G128">IF(AND(E128=0,F128=""),"HIDE","")</f>
        <v>HIDE</v>
      </c>
      <c r="H128" s="26" t="n"/>
      <c r="I128" s="26" t="n"/>
      <c r="J128" s="26" t="n"/>
      <c r="K128" s="26" t="n"/>
      <c r="L128" s="26" t="n"/>
      <c r="M128" s="26" t="n"/>
      <c r="N128" s="26" t="n"/>
      <c r="O128" s="26" t="n"/>
      <c r="P128" s="26" t="n"/>
      <c r="Q128" s="26" t="n"/>
      <c r="R128" s="26" t="n"/>
      <c r="S128" s="26" t="n"/>
      <c r="T128" s="26" t="n"/>
      <c r="U128" s="26" t="n"/>
      <c r="V128" s="26" t="n"/>
      <c r="W128" s="26" t="n"/>
      <c r="X128" s="26" t="n"/>
      <c r="Y128" s="26" t="n"/>
      <c r="Z128" s="26" t="n"/>
      <c r="AA128" s="26" t="n"/>
      <c r="AB128" s="26" t="n"/>
      <c r="AC128" s="26" t="n"/>
      <c r="AD128" s="26" t="n"/>
      <c r="AE128" s="26" t="n"/>
      <c r="AF128" s="26" t="n"/>
      <c r="AG128" s="26" t="n"/>
      <c r="AH128" s="26" t="n"/>
      <c r="AI128" s="26" t="n"/>
      <c r="AJ128" s="27" t="n"/>
    </row>
    <row r="129" s="3154" customFormat="1" ht="13.5" customHeight="1">
      <c r="A129" s="1996" t="inlineStr">
        <is>
          <t xml:space="preserve">Elevator Commissioning</t>
        </is>
      </c>
      <c r="B129" s="3942" t="n"/>
      <c r="C129" s="3943" t="n">
        <v>0</v>
      </c>
      <c r="D129" s="3940" t="n">
        <f t="array" ref="D129">C129/'Project Summary'!$I$8</f>
        <v>0</v>
      </c>
      <c r="E129" s="3941" t="n">
        <f t="array" ref="E129">C129/'Project Summary'!$I$7</f>
        <v>0</v>
      </c>
      <c r="F129" s="2001" t="n"/>
      <c r="G129" s="1995" t="str">
        <f t="array" ref="G129">IF(AND(E129=0,F129=""),"HIDE","")</f>
        <v>HIDE</v>
      </c>
      <c r="H129" s="26" t="n"/>
      <c r="I129" s="26" t="n"/>
      <c r="J129" s="26" t="n"/>
      <c r="K129" s="26" t="n"/>
      <c r="L129" s="26" t="n"/>
      <c r="M129" s="26" t="n"/>
      <c r="N129" s="26" t="n"/>
      <c r="O129" s="26" t="n"/>
      <c r="P129" s="26" t="n"/>
      <c r="Q129" s="26" t="n"/>
      <c r="R129" s="26" t="n"/>
      <c r="S129" s="26" t="n"/>
      <c r="T129" s="26" t="n"/>
      <c r="U129" s="26" t="n"/>
      <c r="V129" s="26" t="n"/>
      <c r="W129" s="26" t="n"/>
      <c r="X129" s="26" t="n"/>
      <c r="Y129" s="26" t="n"/>
      <c r="Z129" s="26" t="n"/>
      <c r="AA129" s="26" t="n"/>
      <c r="AB129" s="26" t="n"/>
      <c r="AC129" s="26" t="n"/>
      <c r="AD129" s="26" t="n"/>
      <c r="AE129" s="26" t="n"/>
      <c r="AF129" s="26" t="n"/>
      <c r="AG129" s="26" t="n"/>
      <c r="AH129" s="26" t="n"/>
      <c r="AI129" s="26" t="n"/>
      <c r="AJ129" s="27" t="n"/>
    </row>
    <row r="130" s="3154" customFormat="1" ht="13.5" customHeight="1">
      <c r="A130" s="1996" t="inlineStr">
        <is>
          <t xml:space="preserve">LEED Commissioning</t>
        </is>
      </c>
      <c r="B130" s="3942" t="n"/>
      <c r="C130" s="3943" t="n">
        <v>0</v>
      </c>
      <c r="D130" s="3940" t="n">
        <f t="array" ref="D130">C130/'Project Summary'!$I$8</f>
        <v>0</v>
      </c>
      <c r="E130" s="3941" t="n">
        <f t="array" ref="E130">C130/'Project Summary'!$I$7</f>
        <v>0</v>
      </c>
      <c r="F130" s="2001" t="n"/>
      <c r="G130" s="1995" t="str">
        <f t="array" ref="G130">IF(AND(E130=0,F130=""),"HIDE","")</f>
        <v>HIDE</v>
      </c>
      <c r="H130" s="26" t="n"/>
      <c r="I130" s="26" t="n"/>
      <c r="J130" s="26" t="n"/>
      <c r="K130" s="26" t="n"/>
      <c r="L130" s="26" t="n"/>
      <c r="M130" s="26" t="n"/>
      <c r="N130" s="26" t="n"/>
      <c r="O130" s="26" t="n"/>
      <c r="P130" s="26" t="n"/>
      <c r="Q130" s="26" t="n"/>
      <c r="R130" s="26" t="n"/>
      <c r="S130" s="26" t="n"/>
      <c r="T130" s="26" t="n"/>
      <c r="U130" s="26" t="n"/>
      <c r="V130" s="26" t="n"/>
      <c r="W130" s="26" t="n"/>
      <c r="X130" s="26" t="n"/>
      <c r="Y130" s="26" t="n"/>
      <c r="Z130" s="26" t="n"/>
      <c r="AA130" s="26" t="n"/>
      <c r="AB130" s="26" t="n"/>
      <c r="AC130" s="26" t="n"/>
      <c r="AD130" s="26" t="n"/>
      <c r="AE130" s="26" t="n"/>
      <c r="AF130" s="26" t="n"/>
      <c r="AG130" s="26" t="n"/>
      <c r="AH130" s="26" t="n"/>
      <c r="AI130" s="26" t="n"/>
      <c r="AJ130" s="27" t="n"/>
    </row>
    <row r="131" s="3154" customFormat="1" ht="13.5" customHeight="1">
      <c r="A131" s="1996" t="inlineStr">
        <is>
          <t xml:space="preserve">Other Commissioning</t>
        </is>
      </c>
      <c r="B131" s="3942" t="n"/>
      <c r="C131" s="3943" t="n">
        <v>0</v>
      </c>
      <c r="D131" s="3940" t="n">
        <f t="array" ref="D131">C131/'Project Summary'!$I$8</f>
        <v>0</v>
      </c>
      <c r="E131" s="3941" t="n">
        <f t="array" ref="E131">C131/'Project Summary'!$I$7</f>
        <v>0</v>
      </c>
      <c r="F131" s="2001" t="n"/>
      <c r="G131" s="1995" t="str">
        <f t="array" ref="G131">IF(AND(E131=0,F131=""),"HIDE","")</f>
        <v>HIDE</v>
      </c>
      <c r="H131" s="26" t="n"/>
      <c r="I131" s="26" t="n"/>
      <c r="J131" s="26" t="n"/>
      <c r="K131" s="26" t="n"/>
      <c r="L131" s="26" t="n"/>
      <c r="M131" s="26" t="n"/>
      <c r="N131" s="26" t="n"/>
      <c r="O131" s="26" t="n"/>
      <c r="P131" s="26" t="n"/>
      <c r="Q131" s="26" t="n"/>
      <c r="R131" s="26" t="n"/>
      <c r="S131" s="26" t="n"/>
      <c r="T131" s="26" t="n"/>
      <c r="U131" s="26" t="n"/>
      <c r="V131" s="26" t="n"/>
      <c r="W131" s="26" t="n"/>
      <c r="X131" s="26" t="n"/>
      <c r="Y131" s="26" t="n"/>
      <c r="Z131" s="26" t="n"/>
      <c r="AA131" s="26" t="n"/>
      <c r="AB131" s="26" t="n"/>
      <c r="AC131" s="26" t="n"/>
      <c r="AD131" s="26" t="n"/>
      <c r="AE131" s="26" t="n"/>
      <c r="AF131" s="26" t="n"/>
      <c r="AG131" s="26" t="n"/>
      <c r="AH131" s="26" t="n"/>
      <c r="AI131" s="26" t="n"/>
      <c r="AJ131" s="27" t="n"/>
    </row>
    <row r="132" s="3154" customFormat="1" ht="13.5" customHeight="1">
      <c r="A132" s="2006" t="str">
        <f t="array" ref="A132">"Subtotal: "&amp;A125</f>
        <v>Subtotal: Testing &amp; Inspections</v>
      </c>
      <c r="B132" s="3944" t="n"/>
      <c r="C132" s="3945" t="n">
        <f t="array" ref="C132">SUM(C126:C131)</f>
        <v>8000</v>
      </c>
      <c r="D132" s="3946" t="n">
        <f t="array" ref="D132">SUM(D126:D131)</f>
        <v>0.44075338640487116</v>
      </c>
      <c r="E132" s="3945" t="n">
        <f t="array" ref="E132">SUM(E126:E131)</f>
        <v>80</v>
      </c>
      <c r="F132" s="2010" t="n"/>
      <c r="G132" s="26" t="n"/>
      <c r="H132" s="26" t="n"/>
      <c r="I132" s="26" t="n"/>
      <c r="J132" s="26" t="n"/>
      <c r="K132" s="26" t="n"/>
      <c r="L132" s="26" t="n"/>
      <c r="M132" s="26" t="n"/>
      <c r="N132" s="26" t="n"/>
      <c r="O132" s="26" t="n"/>
      <c r="P132" s="26" t="n"/>
      <c r="Q132" s="26" t="n"/>
      <c r="R132" s="26" t="n"/>
      <c r="S132" s="26" t="n"/>
      <c r="T132" s="26" t="n"/>
      <c r="U132" s="26" t="n"/>
      <c r="V132" s="26" t="n"/>
      <c r="W132" s="26" t="n"/>
      <c r="X132" s="26" t="n"/>
      <c r="Y132" s="26" t="n"/>
      <c r="Z132" s="26" t="n"/>
      <c r="AA132" s="26" t="n"/>
      <c r="AB132" s="26" t="n"/>
      <c r="AC132" s="26" t="n"/>
      <c r="AD132" s="26" t="n"/>
      <c r="AE132" s="26" t="n"/>
      <c r="AF132" s="26" t="n"/>
      <c r="AG132" s="26" t="n"/>
      <c r="AH132" s="26" t="n"/>
      <c r="AI132" s="26" t="n"/>
      <c r="AJ132" s="27" t="n"/>
    </row>
    <row r="133" s="3154" customFormat="1" ht="8" customHeight="1">
      <c r="A133" s="2011" t="n"/>
      <c r="B133" s="3947" t="n"/>
      <c r="C133" s="26" t="n"/>
      <c r="D133" s="3948" t="n"/>
      <c r="E133" s="3364" t="n"/>
      <c r="F133" s="1983" t="n"/>
      <c r="G133" s="26" t="n"/>
      <c r="H133" s="26" t="n"/>
      <c r="I133" s="26" t="n"/>
      <c r="J133" s="26" t="n"/>
      <c r="K133" s="26" t="n"/>
      <c r="L133" s="26" t="n"/>
      <c r="M133" s="26" t="n"/>
      <c r="N133" s="26" t="n"/>
      <c r="O133" s="26" t="n"/>
      <c r="P133" s="26" t="n"/>
      <c r="Q133" s="26" t="n"/>
      <c r="R133" s="26" t="n"/>
      <c r="S133" s="26" t="n"/>
      <c r="T133" s="26" t="n"/>
      <c r="U133" s="26" t="n"/>
      <c r="V133" s="26" t="n"/>
      <c r="W133" s="26" t="n"/>
      <c r="X133" s="26" t="n"/>
      <c r="Y133" s="26" t="n"/>
      <c r="Z133" s="26" t="n"/>
      <c r="AA133" s="26" t="n"/>
      <c r="AB133" s="26" t="n"/>
      <c r="AC133" s="26" t="n"/>
      <c r="AD133" s="26" t="n"/>
      <c r="AE133" s="26" t="n"/>
      <c r="AF133" s="26" t="n"/>
      <c r="AG133" s="26" t="n"/>
      <c r="AH133" s="26" t="n"/>
      <c r="AI133" s="26" t="n"/>
      <c r="AJ133" s="27" t="n"/>
    </row>
    <row r="134" s="3154" customFormat="1" ht="13.5" customHeight="1">
      <c r="A134" s="2038" t="inlineStr">
        <is>
          <t xml:space="preserve">Other Soft Costs</t>
        </is>
      </c>
      <c r="B134" s="3965" t="n"/>
      <c r="C134" s="3971" t="n"/>
      <c r="D134" s="3966" t="n"/>
      <c r="E134" s="3967" t="n"/>
      <c r="F134" s="2042" t="n"/>
      <c r="G134" s="26" t="n"/>
      <c r="H134" s="26" t="n"/>
      <c r="I134" s="26" t="n"/>
      <c r="J134" s="26" t="n"/>
      <c r="K134" s="26" t="n"/>
      <c r="L134" s="26" t="n"/>
      <c r="M134" s="26" t="n"/>
      <c r="N134" s="26" t="n"/>
      <c r="O134" s="26" t="n"/>
      <c r="P134" s="26" t="n"/>
      <c r="Q134" s="26" t="n"/>
      <c r="R134" s="26" t="n"/>
      <c r="S134" s="26" t="n"/>
      <c r="T134" s="26" t="n"/>
      <c r="U134" s="26" t="n"/>
      <c r="V134" s="26" t="n"/>
      <c r="W134" s="26" t="n"/>
      <c r="X134" s="26" t="n"/>
      <c r="Y134" s="26" t="n"/>
      <c r="Z134" s="26" t="n"/>
      <c r="AA134" s="26" t="n"/>
      <c r="AB134" s="26" t="n"/>
      <c r="AC134" s="26" t="n"/>
      <c r="AD134" s="26" t="n"/>
      <c r="AE134" s="26" t="n"/>
      <c r="AF134" s="26" t="n"/>
      <c r="AG134" s="26" t="n"/>
      <c r="AH134" s="26" t="n"/>
      <c r="AI134" s="26" t="n"/>
      <c r="AJ134" s="27" t="n"/>
    </row>
    <row r="135" s="3154" customFormat="1" ht="13.5" customHeight="1">
      <c r="A135" s="1989" t="inlineStr">
        <is>
          <t xml:space="preserve">Builders Risk Insurance</t>
        </is>
      </c>
      <c r="B135" s="3949" t="n"/>
      <c r="C135" s="3954" t="n">
        <f t="array" ref="C135">0.015*C108</f>
        <v>66163.05677876713</v>
      </c>
      <c r="D135" s="3936" t="n">
        <f t="array" ref="D135">C135/'Project Summary'!$I$8</f>
        <v>3.645198916267422</v>
      </c>
      <c r="E135" s="3937" t="n">
        <f t="array" ref="E135">C135/'Project Summary'!$I$7</f>
        <v>661.6305677876713</v>
      </c>
      <c r="F135" s="1994" t="inlineStr">
        <is>
          <t xml:space="preserve">1.50% of Total Construction Costs BR+CGL</t>
        </is>
      </c>
      <c r="G135" s="1995" t="str">
        <f t="array" ref="G135">IF(AND(E135=0,F135=""),"HIDE","")</f>
      </c>
      <c r="H135" s="26" t="n"/>
      <c r="I135" s="26" t="n"/>
      <c r="J135" s="26" t="n"/>
      <c r="K135" s="26" t="n"/>
      <c r="L135" s="26" t="n"/>
      <c r="M135" s="26" t="n"/>
      <c r="N135" s="26" t="n"/>
      <c r="O135" s="26" t="n"/>
      <c r="P135" s="26" t="n"/>
      <c r="Q135" s="26" t="n"/>
      <c r="R135" s="26" t="n"/>
      <c r="S135" s="26" t="n"/>
      <c r="T135" s="26" t="n"/>
      <c r="U135" s="26" t="n"/>
      <c r="V135" s="26" t="n"/>
      <c r="W135" s="26" t="n"/>
      <c r="X135" s="26" t="n"/>
      <c r="Y135" s="26" t="n"/>
      <c r="Z135" s="26" t="n"/>
      <c r="AA135" s="26" t="n"/>
      <c r="AB135" s="26" t="n"/>
      <c r="AC135" s="26" t="n"/>
      <c r="AD135" s="26" t="n"/>
      <c r="AE135" s="26" t="n"/>
      <c r="AF135" s="26" t="n"/>
      <c r="AG135" s="26" t="n"/>
      <c r="AH135" s="26" t="n"/>
      <c r="AI135" s="26" t="n"/>
      <c r="AJ135" s="27" t="n"/>
    </row>
    <row r="136" s="3154" customFormat="1" ht="13.5" customHeight="1">
      <c r="A136" s="1996" t="inlineStr">
        <is>
          <t xml:space="preserve">Utilities</t>
        </is>
      </c>
      <c r="B136" s="3942" t="n"/>
      <c r="C136" s="3943" t="n">
        <v>20000</v>
      </c>
      <c r="D136" s="3940" t="n">
        <f t="array" ref="D136">C136/'Project Summary'!$I$8</f>
        <v>1.101883466012178</v>
      </c>
      <c r="E136" s="3941" t="n">
        <f t="array" ref="E136">C136/'Project Summary'!$I$7</f>
        <v>200</v>
      </c>
      <c r="F136" s="2001" t="n"/>
      <c r="G136" s="1995" t="str">
        <f t="array" ref="G136">IF(AND(E136=0,F136=""),"HIDE","")</f>
      </c>
      <c r="H136" s="26" t="n"/>
      <c r="I136" s="26" t="n"/>
      <c r="J136" s="26" t="n"/>
      <c r="K136" s="26" t="n"/>
      <c r="L136" s="26" t="n"/>
      <c r="M136" s="26" t="n"/>
      <c r="N136" s="26" t="n"/>
      <c r="O136" s="26" t="n"/>
      <c r="P136" s="26" t="n"/>
      <c r="Q136" s="26" t="n"/>
      <c r="R136" s="26" t="n"/>
      <c r="S136" s="26" t="n"/>
      <c r="T136" s="26" t="n"/>
      <c r="U136" s="26" t="n"/>
      <c r="V136" s="26" t="n"/>
      <c r="W136" s="26" t="n"/>
      <c r="X136" s="26" t="n"/>
      <c r="Y136" s="26" t="n"/>
      <c r="Z136" s="26" t="n"/>
      <c r="AA136" s="26" t="n"/>
      <c r="AB136" s="26" t="n"/>
      <c r="AC136" s="26" t="n"/>
      <c r="AD136" s="26" t="n"/>
      <c r="AE136" s="26" t="n"/>
      <c r="AF136" s="26" t="n"/>
      <c r="AG136" s="26" t="n"/>
      <c r="AH136" s="26" t="n"/>
      <c r="AI136" s="26" t="n"/>
      <c r="AJ136" s="27" t="n"/>
    </row>
    <row r="137" s="3154" customFormat="1" ht="13.5" customHeight="1">
      <c r="A137" s="1996" t="inlineStr">
        <is>
          <t xml:space="preserve">Construction Trailer/Office</t>
        </is>
      </c>
      <c r="B137" s="3942" t="n"/>
      <c r="C137" s="3943" t="n">
        <v>0</v>
      </c>
      <c r="D137" s="3940" t="n">
        <f t="array" ref="D137">C137/'Project Summary'!$I$8</f>
        <v>0</v>
      </c>
      <c r="E137" s="3941" t="n">
        <f t="array" ref="E137">C137/'Project Summary'!$I$7</f>
        <v>0</v>
      </c>
      <c r="F137" s="2001" t="n"/>
      <c r="G137" s="1995" t="str">
        <f t="array" ref="G137">IF(AND(E137=0,F137=""),"HIDE","")</f>
        <v>HIDE</v>
      </c>
      <c r="H137" s="26" t="n"/>
      <c r="I137" s="26" t="n"/>
      <c r="J137" s="26" t="n"/>
      <c r="K137" s="26" t="n"/>
      <c r="L137" s="26" t="n"/>
      <c r="M137" s="26" t="n"/>
      <c r="N137" s="26" t="n"/>
      <c r="O137" s="26" t="n"/>
      <c r="P137" s="26" t="n"/>
      <c r="Q137" s="26" t="n"/>
      <c r="R137" s="26" t="n"/>
      <c r="S137" s="26" t="n"/>
      <c r="T137" s="26" t="n"/>
      <c r="U137" s="26" t="n"/>
      <c r="V137" s="26" t="n"/>
      <c r="W137" s="26" t="n"/>
      <c r="X137" s="26" t="n"/>
      <c r="Y137" s="26" t="n"/>
      <c r="Z137" s="26" t="n"/>
      <c r="AA137" s="26" t="n"/>
      <c r="AB137" s="26" t="n"/>
      <c r="AC137" s="26" t="n"/>
      <c r="AD137" s="26" t="n"/>
      <c r="AE137" s="26" t="n"/>
      <c r="AF137" s="26" t="n"/>
      <c r="AG137" s="26" t="n"/>
      <c r="AH137" s="26" t="n"/>
      <c r="AI137" s="26" t="n"/>
      <c r="AJ137" s="27" t="n"/>
    </row>
    <row r="138" s="3154" customFormat="1" ht="13.5" customHeight="1">
      <c r="A138" s="1996" t="inlineStr">
        <is>
          <t xml:space="preserve">Surveillance/Documentation</t>
        </is>
      </c>
      <c r="B138" s="3942" t="n"/>
      <c r="C138" s="3943" t="n">
        <v>0</v>
      </c>
      <c r="D138" s="3940" t="n">
        <f t="array" ref="D138">C138/'Project Summary'!$I$8</f>
        <v>0</v>
      </c>
      <c r="E138" s="3941" t="n">
        <f t="array" ref="E138">C138/'Project Summary'!$I$7</f>
        <v>0</v>
      </c>
      <c r="F138" s="2004" t="inlineStr">
        <is>
          <t xml:space="preserve">EST: for OxBlue</t>
        </is>
      </c>
      <c r="G138" s="1995" t="str">
        <f t="array" ref="G138">IF(AND(E138=0,F138=""),"HIDE","")</f>
      </c>
      <c r="H138" s="26" t="n"/>
      <c r="I138" s="26" t="n"/>
      <c r="J138" s="26" t="n"/>
      <c r="K138" s="26" t="n"/>
      <c r="L138" s="26" t="n"/>
      <c r="M138" s="26" t="n"/>
      <c r="N138" s="26" t="n"/>
      <c r="O138" s="26" t="n"/>
      <c r="P138" s="26" t="n"/>
      <c r="Q138" s="26" t="n"/>
      <c r="R138" s="26" t="n"/>
      <c r="S138" s="26" t="n"/>
      <c r="T138" s="26" t="n"/>
      <c r="U138" s="26" t="n"/>
      <c r="V138" s="26" t="n"/>
      <c r="W138" s="26" t="n"/>
      <c r="X138" s="26" t="n"/>
      <c r="Y138" s="26" t="n"/>
      <c r="Z138" s="26" t="n"/>
      <c r="AA138" s="26" t="n"/>
      <c r="AB138" s="26" t="n"/>
      <c r="AC138" s="26" t="n"/>
      <c r="AD138" s="26" t="n"/>
      <c r="AE138" s="26" t="n"/>
      <c r="AF138" s="26" t="n"/>
      <c r="AG138" s="26" t="n"/>
      <c r="AH138" s="26" t="n"/>
      <c r="AI138" s="26" t="n"/>
      <c r="AJ138" s="27" t="n"/>
    </row>
    <row r="139" s="3154" customFormat="1" ht="13.5" customHeight="1">
      <c r="A139" s="1996" t="inlineStr">
        <is>
          <t xml:space="preserve">3rd Party Supervision</t>
        </is>
      </c>
      <c r="B139" s="2063" t="n">
        <f t="array" ref="B139">C139/C108</f>
        <v>0.013602757245775041</v>
      </c>
      <c r="C139" s="3981" t="n">
        <v>60000</v>
      </c>
      <c r="D139" s="3940" t="n">
        <f t="array" ref="D139">C139/'Project Summary'!$I$8</f>
        <v>3.3056503980365335</v>
      </c>
      <c r="E139" s="3941" t="n">
        <f t="array" ref="E139">C139/'Project Summary'!$I$7</f>
        <v>600</v>
      </c>
      <c r="F139" s="2004" t="inlineStr">
        <is>
          <t xml:space="preserve">PMA 2025.03.14 proposal (split)</t>
        </is>
      </c>
      <c r="G139" s="1995" t="str">
        <f t="array" ref="G139">IF(AND(E139=0,F139=""),"HIDE","")</f>
      </c>
      <c r="H139" s="26" t="n"/>
      <c r="I139" s="26" t="n"/>
      <c r="J139" s="26" t="n"/>
      <c r="K139" s="26" t="n"/>
      <c r="L139" s="26" t="n"/>
      <c r="M139" s="26" t="n"/>
      <c r="N139" s="26" t="n"/>
      <c r="O139" s="26" t="n"/>
      <c r="P139" s="26" t="n"/>
      <c r="Q139" s="26" t="n"/>
      <c r="R139" s="26" t="n"/>
      <c r="S139" s="26" t="n"/>
      <c r="T139" s="26" t="n"/>
      <c r="U139" s="26" t="n"/>
      <c r="V139" s="26" t="n"/>
      <c r="W139" s="26" t="n"/>
      <c r="X139" s="26" t="n"/>
      <c r="Y139" s="26" t="n"/>
      <c r="Z139" s="26" t="n"/>
      <c r="AA139" s="26" t="n"/>
      <c r="AB139" s="26" t="n"/>
      <c r="AC139" s="26" t="n"/>
      <c r="AD139" s="26" t="n"/>
      <c r="AE139" s="26" t="n"/>
      <c r="AF139" s="26" t="n"/>
      <c r="AG139" s="26" t="n"/>
      <c r="AH139" s="26" t="n"/>
      <c r="AI139" s="26" t="n"/>
      <c r="AJ139" s="27" t="n"/>
    </row>
    <row r="140" s="3154" customFormat="1" ht="13.5" customHeight="1">
      <c r="A140" s="1996" t="inlineStr">
        <is>
          <t xml:space="preserve">Soft Cost Contingency</t>
        </is>
      </c>
      <c r="B140" s="3938" t="n">
        <v>0.025</v>
      </c>
      <c r="C140" s="3939" t="n">
        <f t="array" ref="C140">SUM(C135:C139)*B140</f>
        <v>3654.0764194691787</v>
      </c>
      <c r="D140" s="3940" t="n">
        <f t="array" ref="D140">C140/'Project Summary'!$I$8</f>
        <v>0.20131831950790335</v>
      </c>
      <c r="E140" s="3941" t="n">
        <f t="array" ref="E140">C140/'Project Summary'!$I$7</f>
        <v>36.54076419469179</v>
      </c>
      <c r="F140" s="2001" t="n"/>
      <c r="G140" s="1995" t="str">
        <f t="array" ref="G140">IF(AND(E140=0,F140=""),"HIDE","")</f>
      </c>
      <c r="H140" s="26" t="n"/>
      <c r="I140" s="26" t="n"/>
      <c r="J140" s="26" t="n"/>
      <c r="K140" s="26" t="n"/>
      <c r="L140" s="26" t="n"/>
      <c r="M140" s="26" t="n"/>
      <c r="N140" s="26" t="n"/>
      <c r="O140" s="26" t="n"/>
      <c r="P140" s="26" t="n"/>
      <c r="Q140" s="26" t="n"/>
      <c r="R140" s="26" t="n"/>
      <c r="S140" s="26" t="n"/>
      <c r="T140" s="26" t="n"/>
      <c r="U140" s="26" t="n"/>
      <c r="V140" s="26" t="n"/>
      <c r="W140" s="26" t="n"/>
      <c r="X140" s="26" t="n"/>
      <c r="Y140" s="26" t="n"/>
      <c r="Z140" s="26" t="n"/>
      <c r="AA140" s="26" t="n"/>
      <c r="AB140" s="26" t="n"/>
      <c r="AC140" s="26" t="n"/>
      <c r="AD140" s="26" t="n"/>
      <c r="AE140" s="26" t="n"/>
      <c r="AF140" s="26" t="n"/>
      <c r="AG140" s="26" t="n"/>
      <c r="AH140" s="26" t="n"/>
      <c r="AI140" s="26" t="n"/>
      <c r="AJ140" s="27" t="n"/>
    </row>
    <row r="141" s="3154" customFormat="1" ht="13.5" customHeight="1">
      <c r="A141" s="2006" t="str">
        <f t="array" ref="A141">"Subtotal: "&amp;A134</f>
        <v>Subtotal: Other Soft Costs</v>
      </c>
      <c r="B141" s="3944" t="n"/>
      <c r="C141" s="3945" t="n">
        <f t="array" ref="C141">SUM(C135:C140)</f>
        <v>149817.13319823632</v>
      </c>
      <c r="D141" s="3946" t="n">
        <f t="array" ref="D141">SUM(D135:D140)</f>
        <v>8.254051099824038</v>
      </c>
      <c r="E141" s="3945" t="n">
        <f t="array" ref="E141">SUM(E135:E140)</f>
        <v>1498.171331982363</v>
      </c>
      <c r="F141" s="2010" t="n"/>
      <c r="G141" s="26" t="n"/>
      <c r="H141" s="26" t="n"/>
      <c r="I141" s="26" t="n"/>
      <c r="J141" s="26" t="n"/>
      <c r="K141" s="26" t="n"/>
      <c r="L141" s="26" t="n"/>
      <c r="M141" s="26" t="n"/>
      <c r="N141" s="26" t="n"/>
      <c r="O141" s="26" t="n"/>
      <c r="P141" s="26" t="n"/>
      <c r="Q141" s="26" t="n"/>
      <c r="R141" s="26" t="n"/>
      <c r="S141" s="26" t="n"/>
      <c r="T141" s="26" t="n"/>
      <c r="U141" s="26" t="n"/>
      <c r="V141" s="26" t="n"/>
      <c r="W141" s="26" t="n"/>
      <c r="X141" s="26" t="n"/>
      <c r="Y141" s="26" t="n"/>
      <c r="Z141" s="26" t="n"/>
      <c r="AA141" s="26" t="n"/>
      <c r="AB141" s="26" t="n"/>
      <c r="AC141" s="26" t="n"/>
      <c r="AD141" s="26" t="n"/>
      <c r="AE141" s="26" t="n"/>
      <c r="AF141" s="26" t="n"/>
      <c r="AG141" s="26" t="n"/>
      <c r="AH141" s="26" t="n"/>
      <c r="AI141" s="26" t="n"/>
      <c r="AJ141" s="27" t="n"/>
    </row>
    <row r="142" s="3154" customFormat="1" ht="13.5" customHeight="1">
      <c r="A142" s="2054" t="str">
        <f t="array" ref="A142">"Subtotal: "&amp;A110</f>
        <v>Subtotal: CONSTRUCTION SOFT COSTS</v>
      </c>
      <c r="B142" s="3976" t="n"/>
      <c r="C142" s="3977" t="n">
        <f t="array" ref="C142">C123+C132+C141</f>
        <v>243184.5320395377</v>
      </c>
      <c r="D142" s="3978" t="n">
        <f t="array" ref="D142">D123+D132+D141</f>
        <v>13.398050752213766</v>
      </c>
      <c r="E142" s="3977" t="n">
        <f t="array" ref="E142">E123+E132+E141</f>
        <v>2431.845320395377</v>
      </c>
      <c r="F142" s="2058" t="n"/>
      <c r="G142" s="26" t="n"/>
      <c r="H142" s="26" t="n"/>
      <c r="I142" s="26" t="n"/>
      <c r="J142" s="3364" t="n">
        <f t="array" ref="J142">$B$24*C142</f>
        <v>7295.535961186131</v>
      </c>
      <c r="K142" s="26" t="n"/>
      <c r="L142" s="26" t="n"/>
      <c r="M142" s="26" t="n"/>
      <c r="N142" s="26" t="n"/>
      <c r="O142" s="26" t="n"/>
      <c r="P142" s="26" t="n"/>
      <c r="Q142" s="26" t="n"/>
      <c r="R142" s="26" t="n"/>
      <c r="S142" s="26" t="n"/>
      <c r="T142" s="26" t="n"/>
      <c r="U142" s="26" t="n"/>
      <c r="V142" s="26" t="n"/>
      <c r="W142" s="26" t="n"/>
      <c r="X142" s="26" t="n"/>
      <c r="Y142" s="26" t="n"/>
      <c r="Z142" s="26" t="n"/>
      <c r="AA142" s="26" t="n"/>
      <c r="AB142" s="26" t="n"/>
      <c r="AC142" s="26" t="n"/>
      <c r="AD142" s="26" t="n"/>
      <c r="AE142" s="26" t="n"/>
      <c r="AF142" s="26" t="n"/>
      <c r="AG142" s="26" t="n"/>
      <c r="AH142" s="26" t="n"/>
      <c r="AI142" s="26" t="n"/>
      <c r="AJ142" s="27" t="n"/>
    </row>
    <row r="143" s="3154" customFormat="1" ht="8" customHeight="1">
      <c r="A143" s="2021" t="n"/>
      <c r="B143" s="3947" t="n"/>
      <c r="C143" s="3364" t="n"/>
      <c r="D143" s="26" t="n"/>
      <c r="E143" s="3948" t="n"/>
      <c r="F143" s="2033" t="n"/>
      <c r="G143" s="2034" t="n"/>
      <c r="H143" s="2034" t="n"/>
      <c r="I143" s="2034" t="n"/>
      <c r="J143" s="3963" t="n"/>
      <c r="K143" s="3963" t="n"/>
      <c r="L143" s="3963" t="n"/>
      <c r="M143" s="3963" t="n"/>
      <c r="N143" s="3963" t="n"/>
      <c r="O143" s="3963" t="n"/>
      <c r="P143" s="3963" t="n"/>
      <c r="Q143" s="3963" t="n"/>
      <c r="R143" s="3963" t="n"/>
      <c r="S143" s="3963" t="n"/>
      <c r="T143" s="3963" t="n"/>
      <c r="U143" s="3963" t="n"/>
      <c r="V143" s="3963" t="n"/>
      <c r="W143" s="3963" t="n"/>
      <c r="X143" s="3963" t="n"/>
      <c r="Y143" s="3963" t="n"/>
      <c r="Z143" s="3963" t="n"/>
      <c r="AA143" s="3963" t="n"/>
      <c r="AB143" s="3963" t="n"/>
      <c r="AC143" s="3963" t="n"/>
      <c r="AD143" s="3963" t="n"/>
      <c r="AE143" s="3963" t="n"/>
      <c r="AF143" s="3963" t="n"/>
      <c r="AG143" s="3963" t="n"/>
      <c r="AH143" s="3963" t="n"/>
      <c r="AI143" s="3963" t="n"/>
      <c r="AJ143" s="3964" t="n"/>
    </row>
    <row r="144" s="3154" customFormat="1" ht="13.5" customHeight="1">
      <c r="A144" s="1985" t="inlineStr">
        <is>
          <t xml:space="preserve">OWNER DIRECT COSTS</t>
        </is>
      </c>
      <c r="B144" s="3933" t="n"/>
      <c r="C144" s="1987" t="inlineStr">
        <is>
          <t xml:space="preserve">TOTAL</t>
        </is>
      </c>
      <c r="D144" s="1987" t="inlineStr">
        <is>
          <t xml:space="preserve">$/GSF</t>
        </is>
      </c>
      <c r="E144" s="1987" t="inlineStr">
        <is>
          <t xml:space="preserve">PKEY</t>
        </is>
      </c>
      <c r="F144" s="1988" t="inlineStr">
        <is>
          <t xml:space="preserve">NOTES</t>
        </is>
      </c>
      <c r="G144" s="2034" t="n"/>
      <c r="H144" s="2034" t="n"/>
      <c r="I144" s="2034" t="n"/>
      <c r="J144" s="3963" t="n"/>
      <c r="K144" s="3963" t="n"/>
      <c r="L144" s="3963" t="n"/>
      <c r="M144" s="3963" t="n"/>
      <c r="N144" s="2037" t="inlineStr">
        <is>
          <t xml:space="preserve">HOTEL DIRECT</t>
        </is>
      </c>
      <c r="O144" s="3963" t="n"/>
      <c r="P144" s="3963" t="n"/>
      <c r="Q144" s="3963" t="n"/>
      <c r="R144" s="3963" t="n"/>
      <c r="S144" s="3963" t="n"/>
      <c r="T144" s="3963" t="n"/>
      <c r="U144" s="3963" t="n"/>
      <c r="V144" s="3963" t="n"/>
      <c r="W144" s="3963" t="n"/>
      <c r="X144" s="3963" t="n"/>
      <c r="Y144" s="3963" t="n"/>
      <c r="Z144" s="3963" t="n"/>
      <c r="AA144" s="3963" t="n"/>
      <c r="AB144" s="3963" t="n"/>
      <c r="AC144" s="3963" t="n"/>
      <c r="AD144" s="3963" t="n"/>
      <c r="AE144" s="3963" t="n"/>
      <c r="AF144" s="3963" t="n"/>
      <c r="AG144" s="3963" t="n"/>
      <c r="AH144" s="3963" t="n"/>
      <c r="AI144" s="3963" t="n"/>
      <c r="AJ144" s="3964" t="n"/>
    </row>
    <row r="145" s="3154" customFormat="1" ht="13.5" customHeight="1">
      <c r="A145" s="2038" t="inlineStr">
        <is>
          <t xml:space="preserve">FF&amp;E</t>
        </is>
      </c>
      <c r="B145" s="3965" t="n"/>
      <c r="C145" s="3971" t="n"/>
      <c r="D145" s="3966" t="n"/>
      <c r="E145" s="3967" t="n"/>
      <c r="F145" s="2042" t="n"/>
      <c r="G145" s="2034" t="n"/>
      <c r="H145" s="2034" t="n"/>
      <c r="I145" s="2034" t="n"/>
      <c r="J145" s="3963" t="n"/>
      <c r="K145" s="3963" t="n"/>
      <c r="L145" s="3963" t="n"/>
      <c r="M145" s="3963" t="n"/>
      <c r="N145" s="3963" t="n"/>
      <c r="O145" s="3963" t="n"/>
      <c r="P145" s="3963" t="n"/>
      <c r="Q145" s="3963" t="n"/>
      <c r="R145" s="3963" t="n"/>
      <c r="S145" s="3963" t="n"/>
      <c r="T145" s="3963" t="n"/>
      <c r="U145" s="3963" t="n"/>
      <c r="V145" s="3963" t="n"/>
      <c r="W145" s="3963" t="n"/>
      <c r="X145" s="3963" t="n"/>
      <c r="Y145" s="3963" t="n"/>
      <c r="Z145" s="3963" t="n"/>
      <c r="AA145" s="3963" t="n"/>
      <c r="AB145" s="3963" t="n"/>
      <c r="AC145" s="3963" t="n"/>
      <c r="AD145" s="3963" t="n"/>
      <c r="AE145" s="3963" t="n"/>
      <c r="AF145" s="3963" t="n"/>
      <c r="AG145" s="3963" t="n"/>
      <c r="AH145" s="3963" t="n"/>
      <c r="AI145" s="3963" t="n"/>
      <c r="AJ145" s="3964" t="n"/>
    </row>
    <row r="146" s="3154" customFormat="1" ht="13.5" customHeight="1">
      <c r="A146" s="1989" t="inlineStr">
        <is>
          <t xml:space="preserve">Common/Public Areas</t>
        </is>
      </c>
      <c r="B146" s="3982" t="n">
        <v>0</v>
      </c>
      <c r="C146" s="3983" t="n">
        <f t="array" ref="C146">'FFE-FF&amp;E'!J147</f>
        <v>280620.258975</v>
      </c>
      <c r="D146" s="3936" t="n">
        <f t="array" ref="D146">C146/'Project Summary'!$I$8</f>
        <v>15.460541179630399</v>
      </c>
      <c r="E146" s="3937" t="n">
        <f t="array" ref="E146">C146/'Project Summary'!$I$7</f>
        <v>2806.2025897500002</v>
      </c>
      <c r="F146" s="1994" t="inlineStr">
        <is>
          <t xml:space="preserve">EST: Need FFE guidance other than brand</t>
        </is>
      </c>
      <c r="G146" s="1995" t="str">
        <f t="array" ref="G146">IF(AND(E146=0,F146=""),"HIDE","")</f>
      </c>
      <c r="H146" s="26" t="n"/>
      <c r="I146" s="26" t="n"/>
      <c r="J146" s="26" t="n"/>
      <c r="K146" s="26" t="n"/>
      <c r="L146" s="26" t="n"/>
      <c r="M146" s="26" t="n"/>
      <c r="N146" s="26" t="n"/>
      <c r="O146" s="26" t="n"/>
      <c r="P146" s="26" t="n"/>
      <c r="Q146" s="26" t="n"/>
      <c r="R146" s="26" t="n"/>
      <c r="S146" s="26" t="n"/>
      <c r="T146" s="26" t="n"/>
      <c r="U146" s="26" t="n"/>
      <c r="V146" s="26" t="n"/>
      <c r="W146" s="26" t="n"/>
      <c r="X146" s="26" t="n"/>
      <c r="Y146" s="26" t="n"/>
      <c r="Z146" s="26" t="n"/>
      <c r="AA146" s="26" t="n"/>
      <c r="AB146" s="26" t="n"/>
      <c r="AC146" s="26" t="n"/>
      <c r="AD146" s="26" t="n"/>
      <c r="AE146" s="26" t="n"/>
      <c r="AF146" s="26" t="n"/>
      <c r="AG146" s="26" t="n"/>
      <c r="AH146" s="26" t="n"/>
      <c r="AI146" s="26" t="n"/>
      <c r="AJ146" s="27" t="n"/>
    </row>
    <row r="147" s="3154" customFormat="1" ht="13.5" customHeight="1">
      <c r="A147" s="1996" t="inlineStr">
        <is>
          <t xml:space="preserve">Guest Rooms</t>
        </is>
      </c>
      <c r="B147" s="3974" t="n">
        <v>0</v>
      </c>
      <c r="C147" s="3939" t="n">
        <f t="array" ref="C147">B147*'Assumptions'!$J$7</f>
        <v>0</v>
      </c>
      <c r="D147" s="3940" t="n">
        <f t="array" ref="D147">C147/'Project Summary'!$I$8</f>
        <v>0</v>
      </c>
      <c r="E147" s="3941" t="n">
        <f t="array" ref="E147">C147/'Project Summary'!$I$7</f>
        <v>0</v>
      </c>
      <c r="F147" s="2001" t="n"/>
      <c r="G147" s="1995" t="str">
        <f t="array" ref="G147">IF(AND(E147=0,F147=""),"HIDE","")</f>
        <v>HIDE</v>
      </c>
      <c r="H147" s="26" t="n"/>
      <c r="I147" s="26" t="n"/>
      <c r="J147" s="26" t="n"/>
      <c r="K147" s="26" t="n"/>
      <c r="L147" s="26" t="n"/>
      <c r="M147" s="26" t="n"/>
      <c r="N147" s="26" t="n"/>
      <c r="O147" s="26" t="n"/>
      <c r="P147" s="26" t="n"/>
      <c r="Q147" s="26" t="n"/>
      <c r="R147" s="26" t="n"/>
      <c r="S147" s="26" t="n"/>
      <c r="T147" s="26" t="n"/>
      <c r="U147" s="26" t="n"/>
      <c r="V147" s="26" t="n"/>
      <c r="W147" s="26" t="n"/>
      <c r="X147" s="26" t="n"/>
      <c r="Y147" s="26" t="n"/>
      <c r="Z147" s="26" t="n"/>
      <c r="AA147" s="26" t="n"/>
      <c r="AB147" s="26" t="n"/>
      <c r="AC147" s="26" t="n"/>
      <c r="AD147" s="26" t="n"/>
      <c r="AE147" s="26" t="n"/>
      <c r="AF147" s="26" t="n"/>
      <c r="AG147" s="26" t="n"/>
      <c r="AH147" s="26" t="n"/>
      <c r="AI147" s="26" t="n"/>
      <c r="AJ147" s="27" t="n"/>
    </row>
    <row r="148" s="3154" customFormat="1" ht="13.5" customHeight="1">
      <c r="A148" s="1996" t="inlineStr">
        <is>
          <t xml:space="preserve">Guest Room Corridors</t>
        </is>
      </c>
      <c r="B148" s="3984" t="n"/>
      <c r="C148" s="3943" t="n">
        <v>0</v>
      </c>
      <c r="D148" s="3940" t="n">
        <f t="array" ref="D148">C148/'Project Summary'!$I$8</f>
        <v>0</v>
      </c>
      <c r="E148" s="3941" t="n">
        <f t="array" ref="E148">C148/'Project Summary'!$I$7</f>
        <v>0</v>
      </c>
      <c r="F148" s="2001" t="n"/>
      <c r="G148" s="1995" t="str">
        <f t="array" ref="G148">IF(AND(E148=0,F148=""),"HIDE","")</f>
        <v>HIDE</v>
      </c>
      <c r="H148" s="26" t="n"/>
      <c r="I148" s="26" t="n"/>
      <c r="J148" s="26" t="n"/>
      <c r="K148" s="26" t="n"/>
      <c r="L148" s="26" t="n"/>
      <c r="M148" s="26" t="n"/>
      <c r="N148" s="26" t="n"/>
      <c r="O148" s="26" t="n"/>
      <c r="P148" s="26" t="n"/>
      <c r="Q148" s="26" t="n"/>
      <c r="R148" s="26" t="n"/>
      <c r="S148" s="26" t="n"/>
      <c r="T148" s="26" t="n"/>
      <c r="U148" s="26" t="n"/>
      <c r="V148" s="26" t="n"/>
      <c r="W148" s="26" t="n"/>
      <c r="X148" s="26" t="n"/>
      <c r="Y148" s="26" t="n"/>
      <c r="Z148" s="26" t="n"/>
      <c r="AA148" s="26" t="n"/>
      <c r="AB148" s="26" t="n"/>
      <c r="AC148" s="26" t="n"/>
      <c r="AD148" s="26" t="n"/>
      <c r="AE148" s="26" t="n"/>
      <c r="AF148" s="26" t="n"/>
      <c r="AG148" s="26" t="n"/>
      <c r="AH148" s="26" t="n"/>
      <c r="AI148" s="26" t="n"/>
      <c r="AJ148" s="27" t="n"/>
    </row>
    <row r="149" s="3154" customFormat="1" ht="13.5" customHeight="1">
      <c r="A149" s="1996" t="inlineStr">
        <is>
          <t xml:space="preserve">Laundry Equipment</t>
        </is>
      </c>
      <c r="B149" s="3985" t="n">
        <f t="array" ref="B149">C149/'Assumptions'!$J$7</f>
        <v>0</v>
      </c>
      <c r="C149" s="3981" t="n">
        <v>0</v>
      </c>
      <c r="D149" s="3940" t="n">
        <f t="array" ref="D149">C149/'Project Summary'!$I$8</f>
        <v>0</v>
      </c>
      <c r="E149" s="3941" t="n">
        <f t="array" ref="E149">C149/'Project Summary'!$I$7</f>
        <v>0</v>
      </c>
      <c r="F149" s="2004" t="inlineStr">
        <is>
          <t xml:space="preserve">2024.12.06 Southeast Laundry Bid</t>
        </is>
      </c>
      <c r="G149" s="1995" t="str">
        <f t="array" ref="G149">IF(AND(E149=0,F149=""),"HIDE","")</f>
      </c>
      <c r="H149" s="26" t="n"/>
      <c r="I149" s="26" t="n"/>
      <c r="J149" s="26" t="n"/>
      <c r="K149" s="26" t="n"/>
      <c r="L149" s="26" t="n"/>
      <c r="M149" s="26" t="n"/>
      <c r="N149" s="26" t="n"/>
      <c r="O149" s="26" t="n"/>
      <c r="P149" s="26" t="n"/>
      <c r="Q149" s="26" t="n"/>
      <c r="R149" s="26" t="n"/>
      <c r="S149" s="26" t="n"/>
      <c r="T149" s="26" t="n"/>
      <c r="U149" s="26" t="n"/>
      <c r="V149" s="26" t="n"/>
      <c r="W149" s="26" t="n"/>
      <c r="X149" s="26" t="n"/>
      <c r="Y149" s="26" t="n"/>
      <c r="Z149" s="26" t="n"/>
      <c r="AA149" s="26" t="n"/>
      <c r="AB149" s="26" t="n"/>
      <c r="AC149" s="26" t="n"/>
      <c r="AD149" s="26" t="n"/>
      <c r="AE149" s="26" t="n"/>
      <c r="AF149" s="26" t="n"/>
      <c r="AG149" s="26" t="n"/>
      <c r="AH149" s="26" t="n"/>
      <c r="AI149" s="26" t="n"/>
      <c r="AJ149" s="27" t="n"/>
    </row>
    <row r="150" s="3154" customFormat="1" ht="13.5" customHeight="1">
      <c r="A150" s="1996" t="inlineStr">
        <is>
          <t xml:space="preserve">Kitchen/Food Service</t>
        </is>
      </c>
      <c r="B150" s="3986" t="n">
        <v>0</v>
      </c>
      <c r="C150" s="3987" t="n">
        <v>0</v>
      </c>
      <c r="D150" s="3940" t="n">
        <f t="array" ref="D150">C150/'Project Summary'!$I$8</f>
        <v>0</v>
      </c>
      <c r="E150" s="3941" t="n">
        <f t="array" ref="E150">C150/'Project Summary'!$I$7</f>
        <v>0</v>
      </c>
      <c r="F150" s="2004" t="inlineStr">
        <is>
          <t xml:space="preserve">EST: Standard limited service kitchen for breakfast</t>
        </is>
      </c>
      <c r="G150" s="1995" t="str">
        <f t="array" ref="G150">IF(AND(E150=0,F150=""),"HIDE","")</f>
      </c>
      <c r="H150" s="26" t="n"/>
      <c r="I150" s="26" t="n"/>
      <c r="J150" s="26" t="n"/>
      <c r="K150" s="26" t="n"/>
      <c r="L150" s="26" t="n"/>
      <c r="M150" s="26" t="n"/>
      <c r="N150" s="26" t="n"/>
      <c r="O150" s="26" t="n"/>
      <c r="P150" s="26" t="n"/>
      <c r="Q150" s="26" t="n"/>
      <c r="R150" s="26" t="n"/>
      <c r="S150" s="26" t="n"/>
      <c r="T150" s="26" t="n"/>
      <c r="U150" s="26" t="n"/>
      <c r="V150" s="26" t="n"/>
      <c r="W150" s="26" t="n"/>
      <c r="X150" s="26" t="n"/>
      <c r="Y150" s="26" t="n"/>
      <c r="Z150" s="26" t="n"/>
      <c r="AA150" s="26" t="n"/>
      <c r="AB150" s="26" t="n"/>
      <c r="AC150" s="26" t="n"/>
      <c r="AD150" s="26" t="n"/>
      <c r="AE150" s="26" t="n"/>
      <c r="AF150" s="26" t="n"/>
      <c r="AG150" s="26" t="n"/>
      <c r="AH150" s="26" t="n"/>
      <c r="AI150" s="26" t="n"/>
      <c r="AJ150" s="27" t="n"/>
    </row>
    <row r="151" s="3154" customFormat="1" ht="13.5" customHeight="1">
      <c r="A151" s="1996" t="inlineStr">
        <is>
          <t xml:space="preserve">Pool/Pavillion</t>
        </is>
      </c>
      <c r="B151" s="3984" t="n"/>
      <c r="C151" s="3968" t="n">
        <v>0</v>
      </c>
      <c r="D151" s="3940" t="n">
        <f t="array" ref="D151">C151/'Project Summary'!$I$8</f>
        <v>0</v>
      </c>
      <c r="E151" s="3941" t="n">
        <f t="array" ref="E151">C151/'Project Summary'!$I$7</f>
        <v>0</v>
      </c>
      <c r="F151" s="2001" t="n"/>
      <c r="G151" s="1995" t="str">
        <f t="array" ref="G151">IF(AND(E151=0,F151=""),"HIDE","")</f>
        <v>HIDE</v>
      </c>
      <c r="H151" s="26" t="n"/>
      <c r="I151" s="26" t="n"/>
      <c r="J151" s="26" t="n"/>
      <c r="K151" s="26" t="n"/>
      <c r="L151" s="26" t="n"/>
      <c r="M151" s="26" t="n"/>
      <c r="N151" s="26" t="n"/>
      <c r="O151" s="26" t="n"/>
      <c r="P151" s="26" t="n"/>
      <c r="Q151" s="26" t="n"/>
      <c r="R151" s="26" t="n"/>
      <c r="S151" s="26" t="n"/>
      <c r="T151" s="26" t="n"/>
      <c r="U151" s="26" t="n"/>
      <c r="V151" s="26" t="n"/>
      <c r="W151" s="26" t="n"/>
      <c r="X151" s="26" t="n"/>
      <c r="Y151" s="26" t="n"/>
      <c r="Z151" s="26" t="n"/>
      <c r="AA151" s="26" t="n"/>
      <c r="AB151" s="26" t="n"/>
      <c r="AC151" s="26" t="n"/>
      <c r="AD151" s="26" t="n"/>
      <c r="AE151" s="26" t="n"/>
      <c r="AF151" s="26" t="n"/>
      <c r="AG151" s="26" t="n"/>
      <c r="AH151" s="26" t="n"/>
      <c r="AI151" s="26" t="n"/>
      <c r="AJ151" s="27" t="n"/>
    </row>
    <row r="152" s="3154" customFormat="1" ht="13.5" customHeight="1">
      <c r="A152" s="1996" t="inlineStr">
        <is>
          <t xml:space="preserve">Market Equipment</t>
        </is>
      </c>
      <c r="B152" s="3986" t="n">
        <v>100</v>
      </c>
      <c r="C152" s="3987" t="n">
        <v>0</v>
      </c>
      <c r="D152" s="3940" t="n">
        <f t="array" ref="D152">C152/'Project Summary'!$I$8</f>
        <v>0</v>
      </c>
      <c r="E152" s="3941" t="n">
        <f t="array" ref="E152">C152/'Project Summary'!$I$7</f>
        <v>0</v>
      </c>
      <c r="F152" s="2004" t="inlineStr">
        <is>
          <t xml:space="preserve">EST:  Coolers for suite shop</t>
        </is>
      </c>
      <c r="G152" s="1995" t="str">
        <f t="array" ref="G152">IF(AND(E152=0,F152=""),"HIDE","")</f>
      </c>
      <c r="H152" s="26" t="n"/>
      <c r="I152" s="26" t="n"/>
      <c r="J152" s="26" t="n"/>
      <c r="K152" s="26" t="n"/>
      <c r="L152" s="26" t="n"/>
      <c r="M152" s="26" t="n"/>
      <c r="N152" s="26" t="n"/>
      <c r="O152" s="26" t="n"/>
      <c r="P152" s="26" t="n"/>
      <c r="Q152" s="26" t="n"/>
      <c r="R152" s="26" t="n"/>
      <c r="S152" s="26" t="n"/>
      <c r="T152" s="26" t="n"/>
      <c r="U152" s="26" t="n"/>
      <c r="V152" s="26" t="n"/>
      <c r="W152" s="26" t="n"/>
      <c r="X152" s="26" t="n"/>
      <c r="Y152" s="26" t="n"/>
      <c r="Z152" s="26" t="n"/>
      <c r="AA152" s="26" t="n"/>
      <c r="AB152" s="26" t="n"/>
      <c r="AC152" s="26" t="n"/>
      <c r="AD152" s="26" t="n"/>
      <c r="AE152" s="26" t="n"/>
      <c r="AF152" s="26" t="n"/>
      <c r="AG152" s="26" t="n"/>
      <c r="AH152" s="26" t="n"/>
      <c r="AI152" s="26" t="n"/>
      <c r="AJ152" s="27" t="n"/>
    </row>
    <row r="153" s="3154" customFormat="1" ht="13.5" customHeight="1">
      <c r="A153" s="1996" t="inlineStr">
        <is>
          <t xml:space="preserve">Guest Floor Ice Machines</t>
        </is>
      </c>
      <c r="B153" s="3984" t="n"/>
      <c r="C153" s="3987" t="n">
        <v>0</v>
      </c>
      <c r="D153" s="3940" t="n">
        <f t="array" ref="D153">C153/'Project Summary'!$I$8</f>
        <v>0</v>
      </c>
      <c r="E153" s="3941" t="n">
        <f t="array" ref="E153">C153/'Project Summary'!$I$7</f>
        <v>0</v>
      </c>
      <c r="F153" s="2004" t="inlineStr">
        <is>
          <t xml:space="preserve">EST:  1 per floor @ $7k ea</t>
        </is>
      </c>
      <c r="G153" s="1995" t="str">
        <f t="array" ref="G153">IF(AND(E153=0,F153=""),"HIDE","")</f>
      </c>
      <c r="H153" s="26" t="n"/>
      <c r="I153" s="26" t="n"/>
      <c r="J153" s="26" t="n"/>
      <c r="K153" s="26" t="n"/>
      <c r="L153" s="26" t="n"/>
      <c r="M153" s="26" t="n"/>
      <c r="N153" s="26" t="n"/>
      <c r="O153" s="26" t="n"/>
      <c r="P153" s="26" t="n"/>
      <c r="Q153" s="26" t="n"/>
      <c r="R153" s="26" t="n"/>
      <c r="S153" s="26" t="n"/>
      <c r="T153" s="26" t="n"/>
      <c r="U153" s="26" t="n"/>
      <c r="V153" s="26" t="n"/>
      <c r="W153" s="26" t="n"/>
      <c r="X153" s="26" t="n"/>
      <c r="Y153" s="26" t="n"/>
      <c r="Z153" s="26" t="n"/>
      <c r="AA153" s="26" t="n"/>
      <c r="AB153" s="26" t="n"/>
      <c r="AC153" s="26" t="n"/>
      <c r="AD153" s="26" t="n"/>
      <c r="AE153" s="26" t="n"/>
      <c r="AF153" s="26" t="n"/>
      <c r="AG153" s="26" t="n"/>
      <c r="AH153" s="26" t="n"/>
      <c r="AI153" s="26" t="n"/>
      <c r="AJ153" s="27" t="n"/>
    </row>
    <row r="154" s="3154" customFormat="1" ht="13.5" customHeight="1">
      <c r="A154" s="1996" t="inlineStr">
        <is>
          <t xml:space="preserve">Fitness Equipment</t>
        </is>
      </c>
      <c r="B154" s="3984" t="n"/>
      <c r="C154" s="3981" t="n">
        <v>0</v>
      </c>
      <c r="D154" s="3940" t="n">
        <f t="array" ref="D154">C154/'Project Summary'!$I$8</f>
        <v>0</v>
      </c>
      <c r="E154" s="3941" t="n">
        <f t="array" ref="E154">C154/'Project Summary'!$I$7</f>
        <v>0</v>
      </c>
      <c r="F154" s="2004" t="inlineStr">
        <is>
          <t xml:space="preserve">2025.03.03 Life fitness quote + BB FFE est.</t>
        </is>
      </c>
      <c r="G154" s="1995" t="str">
        <f t="array" ref="G154">IF(AND(E154=0,F154=""),"HIDE","")</f>
      </c>
      <c r="H154" s="26" t="n"/>
      <c r="I154" s="26" t="n"/>
      <c r="J154" s="26" t="n"/>
      <c r="K154" s="26" t="n"/>
      <c r="L154" s="26" t="n"/>
      <c r="M154" s="26" t="n"/>
      <c r="N154" s="26" t="n"/>
      <c r="O154" s="26" t="n"/>
      <c r="P154" s="26" t="n"/>
      <c r="Q154" s="26" t="n"/>
      <c r="R154" s="26" t="n"/>
      <c r="S154" s="26" t="n"/>
      <c r="T154" s="26" t="n"/>
      <c r="U154" s="26" t="n"/>
      <c r="V154" s="26" t="n"/>
      <c r="W154" s="26" t="n"/>
      <c r="X154" s="26" t="n"/>
      <c r="Y154" s="26" t="n"/>
      <c r="Z154" s="26" t="n"/>
      <c r="AA154" s="26" t="n"/>
      <c r="AB154" s="26" t="n"/>
      <c r="AC154" s="26" t="n"/>
      <c r="AD154" s="26" t="n"/>
      <c r="AE154" s="26" t="n"/>
      <c r="AF154" s="26" t="n"/>
      <c r="AG154" s="26" t="n"/>
      <c r="AH154" s="26" t="n"/>
      <c r="AI154" s="26" t="n"/>
      <c r="AJ154" s="27" t="n"/>
    </row>
    <row r="155" s="3154" customFormat="1" ht="13.5" customHeight="1">
      <c r="A155" s="1996" t="inlineStr">
        <is>
          <t xml:space="preserve">Suite/Room Appliances</t>
        </is>
      </c>
      <c r="B155" s="3974" t="n">
        <v>0</v>
      </c>
      <c r="C155" s="3939" t="n">
        <f t="array" ref="C155">B155*'Assumptions'!$J$7</f>
        <v>0</v>
      </c>
      <c r="D155" s="3940" t="n">
        <f t="array" ref="D155">C155/'Project Summary'!$I$8</f>
        <v>0</v>
      </c>
      <c r="E155" s="3941" t="n">
        <f t="array" ref="E155">C155/'Project Summary'!$I$7</f>
        <v>0</v>
      </c>
      <c r="F155" s="2004" t="inlineStr">
        <is>
          <t xml:space="preserve">EST:  Determine if P&amp;L has this in their number</t>
        </is>
      </c>
      <c r="G155" s="1995" t="str">
        <f t="array" ref="G155">IF(AND(E155=0,F155=""),"HIDE","")</f>
      </c>
      <c r="H155" s="26" t="n"/>
      <c r="I155" s="26" t="n"/>
      <c r="J155" s="26" t="n"/>
      <c r="K155" s="26" t="n"/>
      <c r="L155" s="26" t="n"/>
      <c r="M155" s="26" t="n"/>
      <c r="N155" s="26" t="n"/>
      <c r="O155" s="26" t="n"/>
      <c r="P155" s="26" t="n"/>
      <c r="Q155" s="26" t="n"/>
      <c r="R155" s="26" t="n"/>
      <c r="S155" s="26" t="n"/>
      <c r="T155" s="26" t="n"/>
      <c r="U155" s="26" t="n"/>
      <c r="V155" s="26" t="n"/>
      <c r="W155" s="26" t="n"/>
      <c r="X155" s="26" t="n"/>
      <c r="Y155" s="26" t="n"/>
      <c r="Z155" s="26" t="n"/>
      <c r="AA155" s="26" t="n"/>
      <c r="AB155" s="26" t="n"/>
      <c r="AC155" s="26" t="n"/>
      <c r="AD155" s="26" t="n"/>
      <c r="AE155" s="26" t="n"/>
      <c r="AF155" s="26" t="n"/>
      <c r="AG155" s="26" t="n"/>
      <c r="AH155" s="26" t="n"/>
      <c r="AI155" s="26" t="n"/>
      <c r="AJ155" s="27" t="n"/>
    </row>
    <row r="156" s="3154" customFormat="1" ht="13.5" customHeight="1">
      <c r="A156" s="1996" t="inlineStr">
        <is>
          <t xml:space="preserve">Procurement (Freight/Tax)</t>
        </is>
      </c>
      <c r="B156" s="3938" t="n">
        <v>0</v>
      </c>
      <c r="C156" s="3939" t="n">
        <f t="array" ref="C156">B156*SUM(C146:C155)</f>
        <v>0</v>
      </c>
      <c r="D156" s="3940" t="n">
        <f t="array" ref="D156">C156/'Project Summary'!$I$8</f>
        <v>0</v>
      </c>
      <c r="E156" s="3941" t="n">
        <f t="array" ref="E156">C156/'Project Summary'!$I$7</f>
        <v>0</v>
      </c>
      <c r="F156" s="2001" t="n"/>
      <c r="G156" s="1995" t="str">
        <f t="array" ref="G156">IF(AND(E156=0,F156=""),"HIDE","")</f>
        <v>HIDE</v>
      </c>
      <c r="H156" s="26" t="n"/>
      <c r="I156" s="26" t="n"/>
      <c r="J156" s="26" t="n"/>
      <c r="K156" s="26" t="n"/>
      <c r="L156" s="26" t="n"/>
      <c r="M156" s="26" t="n"/>
      <c r="N156" s="26" t="n"/>
      <c r="O156" s="26" t="n"/>
      <c r="P156" s="26" t="n"/>
      <c r="Q156" s="26" t="n"/>
      <c r="R156" s="26" t="n"/>
      <c r="S156" s="26" t="n"/>
      <c r="T156" s="26" t="n"/>
      <c r="U156" s="26" t="n"/>
      <c r="V156" s="26" t="n"/>
      <c r="W156" s="26" t="n"/>
      <c r="X156" s="26" t="n"/>
      <c r="Y156" s="26" t="n"/>
      <c r="Z156" s="26" t="n"/>
      <c r="AA156" s="26" t="n"/>
      <c r="AB156" s="26" t="n"/>
      <c r="AC156" s="26" t="n"/>
      <c r="AD156" s="26" t="n"/>
      <c r="AE156" s="26" t="n"/>
      <c r="AF156" s="26" t="n"/>
      <c r="AG156" s="26" t="n"/>
      <c r="AH156" s="26" t="n"/>
      <c r="AI156" s="26" t="n"/>
      <c r="AJ156" s="27" t="n"/>
    </row>
    <row r="157" s="3154" customFormat="1" ht="13.5" customHeight="1">
      <c r="A157" s="1996" t="inlineStr">
        <is>
          <t xml:space="preserve">Tenant Improvement Allowance</t>
        </is>
      </c>
      <c r="B157" s="3984" t="n"/>
      <c r="C157" s="3943" t="n">
        <v>0</v>
      </c>
      <c r="D157" s="3940" t="n">
        <f t="array" ref="D157">C157/'Project Summary'!$I$8</f>
        <v>0</v>
      </c>
      <c r="E157" s="3941" t="n">
        <f t="array" ref="E157">C157/'Project Summary'!$I$7</f>
        <v>0</v>
      </c>
      <c r="F157" s="2001" t="n"/>
      <c r="G157" s="1995" t="str">
        <f t="array" ref="G157">IF(AND(E157=0,F157=""),"HIDE","")</f>
        <v>HIDE</v>
      </c>
      <c r="H157" s="26" t="n"/>
      <c r="I157" s="26" t="n"/>
      <c r="J157" s="26" t="n"/>
      <c r="K157" s="26" t="n"/>
      <c r="L157" s="26" t="n"/>
      <c r="M157" s="26" t="n"/>
      <c r="N157" s="26" t="n"/>
      <c r="O157" s="26" t="n"/>
      <c r="P157" s="26" t="n"/>
      <c r="Q157" s="26" t="n"/>
      <c r="R157" s="26" t="n"/>
      <c r="S157" s="26" t="n"/>
      <c r="T157" s="26" t="n"/>
      <c r="U157" s="26" t="n"/>
      <c r="V157" s="26" t="n"/>
      <c r="W157" s="26" t="n"/>
      <c r="X157" s="26" t="n"/>
      <c r="Y157" s="26" t="n"/>
      <c r="Z157" s="26" t="n"/>
      <c r="AA157" s="26" t="n"/>
      <c r="AB157" s="26" t="n"/>
      <c r="AC157" s="26" t="n"/>
      <c r="AD157" s="26" t="n"/>
      <c r="AE157" s="26" t="n"/>
      <c r="AF157" s="26" t="n"/>
      <c r="AG157" s="26" t="n"/>
      <c r="AH157" s="26" t="n"/>
      <c r="AI157" s="26" t="n"/>
      <c r="AJ157" s="27" t="n"/>
    </row>
    <row r="158" s="3154" customFormat="1" ht="13.5" customHeight="1">
      <c r="A158" s="1996" t="inlineStr">
        <is>
          <t xml:space="preserve">FF&amp;E Contingency</t>
        </is>
      </c>
      <c r="B158" s="3938" t="n">
        <v>0.025</v>
      </c>
      <c r="C158" s="3939" t="n">
        <f t="array" ref="C158">B158*SUM(C146:C157)</f>
        <v>7015.506474375001</v>
      </c>
      <c r="D158" s="3940" t="n">
        <f t="array" ref="D158">C158/'Project Summary'!$I$8</f>
        <v>0.38651352949076</v>
      </c>
      <c r="E158" s="3941" t="n">
        <f t="array" ref="E158">C158/'Project Summary'!$I$7</f>
        <v>70.15506474375</v>
      </c>
      <c r="F158" s="2001" t="n"/>
      <c r="G158" s="1995" t="str">
        <f t="array" ref="G158">IF(AND(E158=0,F158=""),"HIDE","")</f>
      </c>
      <c r="H158" s="26" t="n"/>
      <c r="I158" s="26" t="n"/>
      <c r="J158" s="26" t="n"/>
      <c r="K158" s="26" t="n"/>
      <c r="L158" s="26" t="n"/>
      <c r="M158" s="26" t="n"/>
      <c r="N158" s="26" t="n"/>
      <c r="O158" s="26" t="n"/>
      <c r="P158" s="26" t="n"/>
      <c r="Q158" s="26" t="n"/>
      <c r="R158" s="26" t="n"/>
      <c r="S158" s="26" t="n"/>
      <c r="T158" s="26" t="n"/>
      <c r="U158" s="26" t="n"/>
      <c r="V158" s="26" t="n"/>
      <c r="W158" s="26" t="n"/>
      <c r="X158" s="26" t="n"/>
      <c r="Y158" s="26" t="n"/>
      <c r="Z158" s="26" t="n"/>
      <c r="AA158" s="26" t="n"/>
      <c r="AB158" s="26" t="n"/>
      <c r="AC158" s="26" t="n"/>
      <c r="AD158" s="26" t="n"/>
      <c r="AE158" s="26" t="n"/>
      <c r="AF158" s="26" t="n"/>
      <c r="AG158" s="26" t="n"/>
      <c r="AH158" s="26" t="n"/>
      <c r="AI158" s="26" t="n"/>
      <c r="AJ158" s="27" t="n"/>
    </row>
    <row r="159" s="3154" customFormat="1" ht="13.5" customHeight="1">
      <c r="A159" s="2006" t="str">
        <f t="array" ref="A159">"Subtotal: "&amp;A145</f>
        <v>Subtotal: FF&amp;E</v>
      </c>
      <c r="B159" s="3944" t="n"/>
      <c r="C159" s="3945" t="n">
        <f t="array" ref="C159">SUM(C146:C158)</f>
        <v>287635.76544937503</v>
      </c>
      <c r="D159" s="3946" t="n">
        <f t="array" ref="D159">SUM(D146:D158)</f>
        <v>15.847054709121158</v>
      </c>
      <c r="E159" s="3945" t="n">
        <f t="array" ref="E159">SUM(E146:E158)</f>
        <v>2876.35765449375</v>
      </c>
      <c r="F159" s="2010" t="n"/>
      <c r="G159" s="26" t="n"/>
      <c r="H159" s="26" t="n"/>
      <c r="I159" s="26" t="n"/>
      <c r="J159" s="26" t="n"/>
      <c r="K159" s="26" t="n"/>
      <c r="L159" s="26" t="n"/>
      <c r="M159" s="26" t="n"/>
      <c r="N159" s="26" t="n"/>
      <c r="O159" s="26" t="n"/>
      <c r="P159" s="26" t="n"/>
      <c r="Q159" s="26" t="n"/>
      <c r="R159" s="26" t="n"/>
      <c r="S159" s="26" t="n"/>
      <c r="T159" s="26" t="n"/>
      <c r="U159" s="26" t="n"/>
      <c r="V159" s="26" t="n"/>
      <c r="W159" s="26" t="n"/>
      <c r="X159" s="26" t="n"/>
      <c r="Y159" s="26" t="n"/>
      <c r="Z159" s="26" t="n"/>
      <c r="AA159" s="26" t="n"/>
      <c r="AB159" s="26" t="n"/>
      <c r="AC159" s="26" t="n"/>
      <c r="AD159" s="26" t="n"/>
      <c r="AE159" s="26" t="n"/>
      <c r="AF159" s="26" t="n"/>
      <c r="AG159" s="26" t="n"/>
      <c r="AH159" s="26" t="n"/>
      <c r="AI159" s="26" t="n"/>
      <c r="AJ159" s="27" t="n"/>
    </row>
    <row r="160" s="3154" customFormat="1" ht="8" customHeight="1">
      <c r="A160" s="2011" t="n"/>
      <c r="B160" s="3947" t="n"/>
      <c r="C160" s="26" t="n"/>
      <c r="D160" s="3948" t="n"/>
      <c r="E160" s="3364" t="n"/>
      <c r="F160" s="1983" t="n"/>
      <c r="G160" s="26" t="n"/>
      <c r="H160" s="26" t="n"/>
      <c r="I160" s="26" t="n"/>
      <c r="J160" s="26" t="n"/>
      <c r="K160" s="26" t="n"/>
      <c r="L160" s="26" t="n"/>
      <c r="M160" s="26" t="n"/>
      <c r="N160" s="26" t="n"/>
      <c r="O160" s="26" t="n"/>
      <c r="P160" s="26" t="n"/>
      <c r="Q160" s="26" t="n"/>
      <c r="R160" s="26" t="n"/>
      <c r="S160" s="26" t="n"/>
      <c r="T160" s="26" t="n"/>
      <c r="U160" s="26" t="n"/>
      <c r="V160" s="26" t="n"/>
      <c r="W160" s="26" t="n"/>
      <c r="X160" s="26" t="n"/>
      <c r="Y160" s="26" t="n"/>
      <c r="Z160" s="26" t="n"/>
      <c r="AA160" s="26" t="n"/>
      <c r="AB160" s="26" t="n"/>
      <c r="AC160" s="26" t="n"/>
      <c r="AD160" s="26" t="n"/>
      <c r="AE160" s="26" t="n"/>
      <c r="AF160" s="26" t="n"/>
      <c r="AG160" s="26" t="n"/>
      <c r="AH160" s="26" t="n"/>
      <c r="AI160" s="26" t="n"/>
      <c r="AJ160" s="27" t="n"/>
    </row>
    <row r="161" s="3154" customFormat="1" ht="13.5" customHeight="1">
      <c r="A161" s="2038" t="inlineStr">
        <is>
          <t xml:space="preserve">OS&amp;E</t>
        </is>
      </c>
      <c r="B161" s="3965" t="n"/>
      <c r="C161" s="3971" t="n"/>
      <c r="D161" s="3966" t="n"/>
      <c r="E161" s="3967" t="n"/>
      <c r="F161" s="2042" t="n"/>
      <c r="G161" s="2034" t="n"/>
      <c r="H161" s="2034" t="n"/>
      <c r="I161" s="2034" t="n"/>
      <c r="J161" s="3963" t="n"/>
      <c r="K161" s="3963" t="n"/>
      <c r="L161" s="3963" t="n"/>
      <c r="M161" s="3963" t="n"/>
      <c r="N161" s="3963" t="n"/>
      <c r="O161" s="3963" t="n"/>
      <c r="P161" s="3963" t="n"/>
      <c r="Q161" s="3963" t="n"/>
      <c r="R161" s="3963" t="n"/>
      <c r="S161" s="3963" t="n"/>
      <c r="T161" s="3963" t="n"/>
      <c r="U161" s="3963" t="n"/>
      <c r="V161" s="3963" t="n"/>
      <c r="W161" s="3963" t="n"/>
      <c r="X161" s="3963" t="n"/>
      <c r="Y161" s="3963" t="n"/>
      <c r="Z161" s="3963" t="n"/>
      <c r="AA161" s="3963" t="n"/>
      <c r="AB161" s="3963" t="n"/>
      <c r="AC161" s="3963" t="n"/>
      <c r="AD161" s="3963" t="n"/>
      <c r="AE161" s="3963" t="n"/>
      <c r="AF161" s="3963" t="n"/>
      <c r="AG161" s="3963" t="n"/>
      <c r="AH161" s="3963" t="n"/>
      <c r="AI161" s="3963" t="n"/>
      <c r="AJ161" s="3964" t="n"/>
    </row>
    <row r="162" s="3154" customFormat="1" ht="13.5" customHeight="1">
      <c r="A162" s="1989" t="inlineStr">
        <is>
          <t xml:space="preserve">Prop Mgmt Sys &amp; POS</t>
        </is>
      </c>
      <c r="B162" s="3934" t="n">
        <v>0</v>
      </c>
      <c r="C162" s="3988" t="n">
        <f t="array" ref="C162">B162*'Assumptions'!$J$7</f>
        <v>0</v>
      </c>
      <c r="D162" s="3936" t="n">
        <f t="array" ref="D162">C162/'Project Summary'!$I$8</f>
        <v>0</v>
      </c>
      <c r="E162" s="3937" t="n">
        <f t="array" ref="E162">C162/'Project Summary'!$I$7</f>
        <v>0</v>
      </c>
      <c r="F162" s="3989" t="n"/>
      <c r="G162" s="1995" t="str">
        <f t="array" ref="G162">IF(AND(E162=0,F162=""),"HIDE","")</f>
        <v>HIDE</v>
      </c>
      <c r="H162" s="26" t="n"/>
      <c r="I162" s="26" t="n"/>
      <c r="J162" s="26" t="n"/>
      <c r="K162" s="26" t="n"/>
      <c r="L162" s="26" t="n"/>
      <c r="M162" s="26" t="n"/>
      <c r="N162" s="26" t="n"/>
      <c r="O162" s="26" t="n"/>
      <c r="P162" s="26" t="n"/>
      <c r="Q162" s="26" t="n"/>
      <c r="R162" s="26" t="n"/>
      <c r="S162" s="26" t="n"/>
      <c r="T162" s="26" t="n"/>
      <c r="U162" s="26" t="n"/>
      <c r="V162" s="26" t="n"/>
      <c r="W162" s="26" t="n"/>
      <c r="X162" s="26" t="n"/>
      <c r="Y162" s="26" t="n"/>
      <c r="Z162" s="26" t="n"/>
      <c r="AA162" s="26" t="n"/>
      <c r="AB162" s="26" t="n"/>
      <c r="AC162" s="26" t="n"/>
      <c r="AD162" s="26" t="n"/>
      <c r="AE162" s="26" t="n"/>
      <c r="AF162" s="26" t="n"/>
      <c r="AG162" s="26" t="n"/>
      <c r="AH162" s="26" t="n"/>
      <c r="AI162" s="26" t="n"/>
      <c r="AJ162" s="27" t="n"/>
    </row>
    <row r="163" s="3154" customFormat="1" ht="13.5" customHeight="1">
      <c r="A163" s="1996" t="inlineStr">
        <is>
          <t xml:space="preserve">Comm Sys/PBX</t>
        </is>
      </c>
      <c r="B163" s="3974" t="n">
        <v>0</v>
      </c>
      <c r="C163" s="3990" t="n">
        <f t="array" ref="C163">B163*'Assumptions'!$J$7</f>
        <v>0</v>
      </c>
      <c r="D163" s="3940" t="n">
        <f t="array" ref="D163">C163/'Project Summary'!$I$8</f>
        <v>0</v>
      </c>
      <c r="E163" s="3941" t="n">
        <f t="array" ref="E163">C163/'Project Summary'!$I$7</f>
        <v>0</v>
      </c>
      <c r="F163" s="3991" t="n"/>
      <c r="G163" s="1995" t="str">
        <f t="array" ref="G163">IF(AND(E163=0,F163=""),"HIDE","")</f>
        <v>HIDE</v>
      </c>
      <c r="H163" s="26" t="n"/>
      <c r="I163" s="26" t="n"/>
      <c r="J163" s="26" t="n"/>
      <c r="K163" s="26" t="n"/>
      <c r="L163" s="26" t="n"/>
      <c r="M163" s="26" t="n"/>
      <c r="N163" s="26" t="n"/>
      <c r="O163" s="26" t="n"/>
      <c r="P163" s="26" t="n"/>
      <c r="Q163" s="26" t="n"/>
      <c r="R163" s="26" t="n"/>
      <c r="S163" s="26" t="n"/>
      <c r="T163" s="26" t="n"/>
      <c r="U163" s="26" t="n"/>
      <c r="V163" s="26" t="n"/>
      <c r="W163" s="26" t="n"/>
      <c r="X163" s="26" t="n"/>
      <c r="Y163" s="26" t="n"/>
      <c r="Z163" s="26" t="n"/>
      <c r="AA163" s="26" t="n"/>
      <c r="AB163" s="26" t="n"/>
      <c r="AC163" s="26" t="n"/>
      <c r="AD163" s="26" t="n"/>
      <c r="AE163" s="26" t="n"/>
      <c r="AF163" s="26" t="n"/>
      <c r="AG163" s="26" t="n"/>
      <c r="AH163" s="26" t="n"/>
      <c r="AI163" s="26" t="n"/>
      <c r="AJ163" s="27" t="n"/>
    </row>
    <row r="164" s="3154" customFormat="1" ht="13.5" customHeight="1">
      <c r="A164" s="1996" t="inlineStr">
        <is>
          <t xml:space="preserve">Data Cabling/Equip</t>
        </is>
      </c>
      <c r="B164" s="3974" t="n">
        <v>0</v>
      </c>
      <c r="C164" s="3990" t="n">
        <f t="array" ref="C164">B164*'Assumptions'!$J$7</f>
        <v>0</v>
      </c>
      <c r="D164" s="3940" t="n">
        <f t="array" ref="D164">C164/'Project Summary'!$I$8</f>
        <v>0</v>
      </c>
      <c r="E164" s="3941" t="n">
        <f t="array" ref="E164">C164/'Project Summary'!$I$7</f>
        <v>0</v>
      </c>
      <c r="F164" s="3991" t="n"/>
      <c r="G164" s="1995" t="str">
        <f t="array" ref="G164">IF(AND(E164=0,F164=""),"HIDE","")</f>
        <v>HIDE</v>
      </c>
      <c r="H164" s="388" t="n"/>
      <c r="I164" s="388" t="n"/>
      <c r="J164" s="26" t="n"/>
      <c r="K164" s="26" t="n"/>
      <c r="L164" s="26" t="n"/>
      <c r="M164" s="26" t="n"/>
      <c r="N164" s="26" t="n"/>
      <c r="O164" s="26" t="n"/>
      <c r="P164" s="26" t="n"/>
      <c r="Q164" s="26" t="n"/>
      <c r="R164" s="26" t="n"/>
      <c r="S164" s="26" t="n"/>
      <c r="T164" s="26" t="n"/>
      <c r="U164" s="26" t="n"/>
      <c r="V164" s="26" t="n"/>
      <c r="W164" s="26" t="n"/>
      <c r="X164" s="26" t="n"/>
      <c r="Y164" s="26" t="n"/>
      <c r="Z164" s="26" t="n"/>
      <c r="AA164" s="26" t="n"/>
      <c r="AB164" s="26" t="n"/>
      <c r="AC164" s="26" t="n"/>
      <c r="AD164" s="26" t="n"/>
      <c r="AE164" s="26" t="n"/>
      <c r="AF164" s="26" t="n"/>
      <c r="AG164" s="26" t="n"/>
      <c r="AH164" s="26" t="n"/>
      <c r="AI164" s="26" t="n"/>
      <c r="AJ164" s="27" t="n"/>
    </row>
    <row r="165" s="3154" customFormat="1" ht="13.5" customHeight="1">
      <c r="A165" s="1996" t="inlineStr">
        <is>
          <t xml:space="preserve">AV Systems</t>
        </is>
      </c>
      <c r="B165" s="3974" t="n">
        <v>0</v>
      </c>
      <c r="C165" s="3990" t="n">
        <f t="array" ref="C165">B165*'Assumptions'!$J$7</f>
        <v>0</v>
      </c>
      <c r="D165" s="3940" t="n">
        <f t="array" ref="D165">C165/'Project Summary'!$I$8</f>
        <v>0</v>
      </c>
      <c r="E165" s="3941" t="n">
        <f t="array" ref="E165">C165/'Project Summary'!$I$7</f>
        <v>0</v>
      </c>
      <c r="F165" s="3991" t="n"/>
      <c r="G165" s="1995" t="str">
        <f t="array" ref="G165">IF(AND(E165=0,F165=""),"HIDE","")</f>
        <v>HIDE</v>
      </c>
      <c r="H165" s="3943" t="n">
        <f t="array" ref="H165">31500/2</f>
        <v>15750</v>
      </c>
      <c r="I165" s="2075" t="inlineStr">
        <is>
          <t xml:space="preserve">2025.03.22 RTM Proposal for both hotels - Move this to OS&amp;E</t>
        </is>
      </c>
      <c r="J165" s="26" t="n"/>
      <c r="K165" s="26" t="n"/>
      <c r="L165" s="26" t="n"/>
      <c r="M165" s="26" t="n"/>
      <c r="N165" s="26" t="n"/>
      <c r="O165" s="26" t="n"/>
      <c r="P165" s="26" t="n"/>
      <c r="Q165" s="26" t="n"/>
      <c r="R165" s="26" t="n"/>
      <c r="S165" s="26" t="n"/>
      <c r="T165" s="26" t="n"/>
      <c r="U165" s="26" t="n"/>
      <c r="V165" s="26" t="n"/>
      <c r="W165" s="26" t="n"/>
      <c r="X165" s="26" t="n"/>
      <c r="Y165" s="26" t="n"/>
      <c r="Z165" s="26" t="n"/>
      <c r="AA165" s="26" t="n"/>
      <c r="AB165" s="26" t="n"/>
      <c r="AC165" s="26" t="n"/>
      <c r="AD165" s="26" t="n"/>
      <c r="AE165" s="26" t="n"/>
      <c r="AF165" s="26" t="n"/>
      <c r="AG165" s="26" t="n"/>
      <c r="AH165" s="26" t="n"/>
      <c r="AI165" s="26" t="n"/>
      <c r="AJ165" s="27" t="n"/>
    </row>
    <row r="166" s="3154" customFormat="1" ht="13.5" customHeight="1">
      <c r="A166" s="1996" t="inlineStr">
        <is>
          <t xml:space="preserve">High Speed Int/Satellite</t>
        </is>
      </c>
      <c r="B166" s="3974" t="n">
        <v>0</v>
      </c>
      <c r="C166" s="3990" t="n">
        <f t="array" ref="C166">B166*'Assumptions'!$J$7</f>
        <v>0</v>
      </c>
      <c r="D166" s="3940" t="n">
        <f t="array" ref="D166">C166/'Project Summary'!$I$8</f>
        <v>0</v>
      </c>
      <c r="E166" s="3941" t="n">
        <f t="array" ref="E166">C166/'Project Summary'!$I$7</f>
        <v>0</v>
      </c>
      <c r="F166" s="3991" t="n"/>
      <c r="G166" s="1995" t="str">
        <f t="array" ref="G166">IF(AND(E166=0,F166=""),"HIDE","")</f>
        <v>HIDE</v>
      </c>
      <c r="H166" s="378" t="n"/>
      <c r="I166" s="378" t="n"/>
      <c r="J166" s="26" t="n"/>
      <c r="K166" s="26" t="n"/>
      <c r="L166" s="26" t="n"/>
      <c r="M166" s="26" t="n"/>
      <c r="N166" s="26" t="n"/>
      <c r="O166" s="26" t="n"/>
      <c r="P166" s="26" t="n"/>
      <c r="Q166" s="26" t="n"/>
      <c r="R166" s="26" t="n"/>
      <c r="S166" s="26" t="n"/>
      <c r="T166" s="26" t="n"/>
      <c r="U166" s="26" t="n"/>
      <c r="V166" s="26" t="n"/>
      <c r="W166" s="26" t="n"/>
      <c r="X166" s="26" t="n"/>
      <c r="Y166" s="26" t="n"/>
      <c r="Z166" s="26" t="n"/>
      <c r="AA166" s="26" t="n"/>
      <c r="AB166" s="26" t="n"/>
      <c r="AC166" s="26" t="n"/>
      <c r="AD166" s="26" t="n"/>
      <c r="AE166" s="26" t="n"/>
      <c r="AF166" s="26" t="n"/>
      <c r="AG166" s="26" t="n"/>
      <c r="AH166" s="26" t="n"/>
      <c r="AI166" s="26" t="n"/>
      <c r="AJ166" s="27" t="n"/>
    </row>
    <row r="167" s="3154" customFormat="1" ht="13.5" customHeight="1">
      <c r="A167" s="1996" t="inlineStr">
        <is>
          <t xml:space="preserve">CCTV System</t>
        </is>
      </c>
      <c r="B167" s="3974" t="n">
        <v>0</v>
      </c>
      <c r="C167" s="3990" t="n">
        <f t="array" ref="C167">B167*'Assumptions'!$J$7</f>
        <v>0</v>
      </c>
      <c r="D167" s="3940" t="n">
        <f t="array" ref="D167">C167/'Project Summary'!$I$8</f>
        <v>0</v>
      </c>
      <c r="E167" s="3941" t="n">
        <f t="array" ref="E167">C167/'Project Summary'!$I$7</f>
        <v>0</v>
      </c>
      <c r="F167" s="3991" t="n"/>
      <c r="G167" s="1995" t="str">
        <f t="array" ref="G167">IF(AND(E167=0,F167=""),"HIDE","")</f>
        <v>HIDE</v>
      </c>
      <c r="H167" s="26" t="n"/>
      <c r="I167" s="26" t="n"/>
      <c r="J167" s="26" t="n"/>
      <c r="K167" s="26" t="n"/>
      <c r="L167" s="26" t="n"/>
      <c r="M167" s="26" t="n"/>
      <c r="N167" s="26" t="n"/>
      <c r="O167" s="26" t="n"/>
      <c r="P167" s="26" t="n"/>
      <c r="Q167" s="26" t="n"/>
      <c r="R167" s="26" t="n"/>
      <c r="S167" s="26" t="n"/>
      <c r="T167" s="26" t="n"/>
      <c r="U167" s="26" t="n"/>
      <c r="V167" s="26" t="n"/>
      <c r="W167" s="26" t="n"/>
      <c r="X167" s="26" t="n"/>
      <c r="Y167" s="26" t="n"/>
      <c r="Z167" s="26" t="n"/>
      <c r="AA167" s="26" t="n"/>
      <c r="AB167" s="26" t="n"/>
      <c r="AC167" s="26" t="n"/>
      <c r="AD167" s="26" t="n"/>
      <c r="AE167" s="26" t="n"/>
      <c r="AF167" s="26" t="n"/>
      <c r="AG167" s="26" t="n"/>
      <c r="AH167" s="26" t="n"/>
      <c r="AI167" s="26" t="n"/>
      <c r="AJ167" s="27" t="n"/>
    </row>
    <row r="168" s="3154" customFormat="1" ht="13.5" customHeight="1">
      <c r="A168" s="1996" t="inlineStr">
        <is>
          <t xml:space="preserve">Business Center Equip</t>
        </is>
      </c>
      <c r="B168" s="3974" t="n">
        <v>0</v>
      </c>
      <c r="C168" s="3990" t="n">
        <f t="array" ref="C168">B168*'Assumptions'!$J$7</f>
        <v>0</v>
      </c>
      <c r="D168" s="3940" t="n">
        <f t="array" ref="D168">C168/'Project Summary'!$I$8</f>
        <v>0</v>
      </c>
      <c r="E168" s="3941" t="n">
        <f t="array" ref="E168">C168/'Project Summary'!$I$7</f>
        <v>0</v>
      </c>
      <c r="F168" s="3991" t="n"/>
      <c r="G168" s="1995" t="str">
        <f t="array" ref="G168">IF(AND(E168=0,F168=""),"HIDE","")</f>
        <v>HIDE</v>
      </c>
      <c r="H168" s="26" t="n"/>
      <c r="I168" s="26" t="n"/>
      <c r="J168" s="26" t="n"/>
      <c r="K168" s="26" t="n"/>
      <c r="L168" s="26" t="n"/>
      <c r="M168" s="26" t="n"/>
      <c r="N168" s="26" t="n"/>
      <c r="O168" s="26" t="n"/>
      <c r="P168" s="26" t="n"/>
      <c r="Q168" s="26" t="n"/>
      <c r="R168" s="26" t="n"/>
      <c r="S168" s="26" t="n"/>
      <c r="T168" s="26" t="n"/>
      <c r="U168" s="26" t="n"/>
      <c r="V168" s="26" t="n"/>
      <c r="W168" s="26" t="n"/>
      <c r="X168" s="26" t="n"/>
      <c r="Y168" s="26" t="n"/>
      <c r="Z168" s="26" t="n"/>
      <c r="AA168" s="26" t="n"/>
      <c r="AB168" s="26" t="n"/>
      <c r="AC168" s="26" t="n"/>
      <c r="AD168" s="26" t="n"/>
      <c r="AE168" s="26" t="n"/>
      <c r="AF168" s="26" t="n"/>
      <c r="AG168" s="26" t="n"/>
      <c r="AH168" s="26" t="n"/>
      <c r="AI168" s="26" t="n"/>
      <c r="AJ168" s="27" t="n"/>
    </row>
    <row r="169" s="3154" customFormat="1" ht="13.5" customHeight="1">
      <c r="A169" s="1996" t="inlineStr">
        <is>
          <t xml:space="preserve">Operating Sys &amp; Equip</t>
        </is>
      </c>
      <c r="B169" s="3974" t="n">
        <v>0</v>
      </c>
      <c r="C169" s="3990" t="n">
        <f t="array" ref="C169">B169*'Assumptions'!$J$7</f>
        <v>0</v>
      </c>
      <c r="D169" s="3940" t="n">
        <f t="array" ref="D169">C169/'Project Summary'!$I$8</f>
        <v>0</v>
      </c>
      <c r="E169" s="3941" t="n">
        <f t="array" ref="E169">C169/'Project Summary'!$I$7</f>
        <v>0</v>
      </c>
      <c r="F169" s="2004" t="inlineStr">
        <is>
          <t xml:space="preserve">EST:  Per [BRAND] cost document</t>
        </is>
      </c>
      <c r="G169" s="1995" t="str">
        <f t="array" ref="G169">IF(AND(E169=0,F169=""),"HIDE","")</f>
      </c>
      <c r="H169" s="26" t="n"/>
      <c r="I169" s="26" t="n"/>
      <c r="J169" s="26" t="n"/>
      <c r="K169" s="26" t="n"/>
      <c r="L169" s="26" t="n"/>
      <c r="M169" s="26" t="n"/>
      <c r="N169" s="26" t="n"/>
      <c r="O169" s="26" t="n"/>
      <c r="P169" s="26" t="n"/>
      <c r="Q169" s="26" t="n"/>
      <c r="R169" s="26" t="n"/>
      <c r="S169" s="26" t="n"/>
      <c r="T169" s="26" t="n"/>
      <c r="U169" s="26" t="n"/>
      <c r="V169" s="26" t="n"/>
      <c r="W169" s="26" t="n"/>
      <c r="X169" s="26" t="n"/>
      <c r="Y169" s="26" t="n"/>
      <c r="Z169" s="26" t="n"/>
      <c r="AA169" s="26" t="n"/>
      <c r="AB169" s="26" t="n"/>
      <c r="AC169" s="26" t="n"/>
      <c r="AD169" s="26" t="n"/>
      <c r="AE169" s="26" t="n"/>
      <c r="AF169" s="26" t="n"/>
      <c r="AG169" s="26" t="n"/>
      <c r="AH169" s="26" t="n"/>
      <c r="AI169" s="26" t="n"/>
      <c r="AJ169" s="27" t="n"/>
    </row>
    <row r="170" s="3154" customFormat="1" ht="13.5" customHeight="1">
      <c r="A170" s="1996" t="inlineStr">
        <is>
          <t xml:space="preserve">Procurement (Freight/Tax)</t>
        </is>
      </c>
      <c r="B170" s="3938" t="n">
        <v>0.05</v>
      </c>
      <c r="C170" s="3990" t="n">
        <f t="array" ref="C170">B170*SUM(C162:C169)</f>
        <v>0</v>
      </c>
      <c r="D170" s="3940" t="n">
        <f t="array" ref="D170">C170/'Project Summary'!$I$8</f>
        <v>0</v>
      </c>
      <c r="E170" s="3941" t="n">
        <f t="array" ref="E170">C170/'Project Summary'!$I$7</f>
        <v>0</v>
      </c>
      <c r="F170" s="2001" t="n"/>
      <c r="G170" s="1995" t="str">
        <f t="array" ref="G170">IF(AND(E170=0,F170=""),"HIDE","")</f>
        <v>HIDE</v>
      </c>
      <c r="H170" s="26" t="n"/>
      <c r="I170" s="26" t="n"/>
      <c r="J170" s="26" t="n"/>
      <c r="K170" s="26" t="n"/>
      <c r="L170" s="26" t="n"/>
      <c r="M170" s="26" t="n"/>
      <c r="N170" s="26" t="n"/>
      <c r="O170" s="26" t="n"/>
      <c r="P170" s="26" t="n"/>
      <c r="Q170" s="26" t="n"/>
      <c r="R170" s="26" t="n"/>
      <c r="S170" s="26" t="n"/>
      <c r="T170" s="26" t="n"/>
      <c r="U170" s="26" t="n"/>
      <c r="V170" s="26" t="n"/>
      <c r="W170" s="26" t="n"/>
      <c r="X170" s="26" t="n"/>
      <c r="Y170" s="26" t="n"/>
      <c r="Z170" s="26" t="n"/>
      <c r="AA170" s="26" t="n"/>
      <c r="AB170" s="26" t="n"/>
      <c r="AC170" s="26" t="n"/>
      <c r="AD170" s="26" t="n"/>
      <c r="AE170" s="26" t="n"/>
      <c r="AF170" s="26" t="n"/>
      <c r="AG170" s="26" t="n"/>
      <c r="AH170" s="26" t="n"/>
      <c r="AI170" s="26" t="n"/>
      <c r="AJ170" s="27" t="n"/>
    </row>
    <row r="171" s="3154" customFormat="1" ht="13.5" customHeight="1">
      <c r="A171" s="1996" t="inlineStr">
        <is>
          <t xml:space="preserve">Sign Pkg (Exterior)</t>
        </is>
      </c>
      <c r="B171" s="3942" t="n"/>
      <c r="C171" s="3943" t="n">
        <v>0</v>
      </c>
      <c r="D171" s="3940" t="n">
        <f t="array" ref="D171">C171/'Project Summary'!$I$8</f>
        <v>0</v>
      </c>
      <c r="E171" s="3941" t="n">
        <f t="array" ref="E171">C171/'Project Summary'!$I$7</f>
        <v>0</v>
      </c>
      <c r="F171" s="2001" t="n"/>
      <c r="G171" s="1995" t="str">
        <f t="array" ref="G171">IF(AND(E171=0,F171=""),"HIDE","")</f>
        <v>HIDE</v>
      </c>
      <c r="H171" s="26" t="n"/>
      <c r="I171" s="26" t="n"/>
      <c r="J171" s="26" t="n"/>
      <c r="K171" s="26" t="n"/>
      <c r="L171" s="26" t="n"/>
      <c r="M171" s="26" t="n"/>
      <c r="N171" s="26" t="n"/>
      <c r="O171" s="26" t="n"/>
      <c r="P171" s="26" t="n"/>
      <c r="Q171" s="26" t="n"/>
      <c r="R171" s="26" t="n"/>
      <c r="S171" s="26" t="n"/>
      <c r="T171" s="26" t="n"/>
      <c r="U171" s="26" t="n"/>
      <c r="V171" s="26" t="n"/>
      <c r="W171" s="26" t="n"/>
      <c r="X171" s="26" t="n"/>
      <c r="Y171" s="26" t="n"/>
      <c r="Z171" s="26" t="n"/>
      <c r="AA171" s="26" t="n"/>
      <c r="AB171" s="26" t="n"/>
      <c r="AC171" s="26" t="n"/>
      <c r="AD171" s="26" t="n"/>
      <c r="AE171" s="26" t="n"/>
      <c r="AF171" s="26" t="n"/>
      <c r="AG171" s="26" t="n"/>
      <c r="AH171" s="26" t="n"/>
      <c r="AI171" s="26" t="n"/>
      <c r="AJ171" s="27" t="n"/>
    </row>
    <row r="172" s="3154" customFormat="1" ht="13.5" customHeight="1">
      <c r="A172" s="1996" t="inlineStr">
        <is>
          <t xml:space="preserve">Sign Pkg (Interior)</t>
        </is>
      </c>
      <c r="B172" s="3942" t="n"/>
      <c r="C172" s="3943" t="n">
        <v>0</v>
      </c>
      <c r="D172" s="3940" t="n">
        <f t="array" ref="D172">C172/'Project Summary'!$I$8</f>
        <v>0</v>
      </c>
      <c r="E172" s="3941" t="n">
        <f t="array" ref="E172">C172/'Project Summary'!$I$7</f>
        <v>0</v>
      </c>
      <c r="F172" s="2001" t="n"/>
      <c r="G172" s="1995" t="str">
        <f t="array" ref="G172">IF(AND(E172=0,F172=""),"HIDE","")</f>
        <v>HIDE</v>
      </c>
      <c r="H172" s="26" t="n"/>
      <c r="I172" s="26" t="n"/>
      <c r="J172" s="26" t="n"/>
      <c r="K172" s="26" t="n"/>
      <c r="L172" s="26" t="n"/>
      <c r="M172" s="26" t="n"/>
      <c r="N172" s="26" t="n"/>
      <c r="O172" s="26" t="n"/>
      <c r="P172" s="26" t="n"/>
      <c r="Q172" s="26" t="n"/>
      <c r="R172" s="26" t="n"/>
      <c r="S172" s="26" t="n"/>
      <c r="T172" s="26" t="n"/>
      <c r="U172" s="26" t="n"/>
      <c r="V172" s="26" t="n"/>
      <c r="W172" s="26" t="n"/>
      <c r="X172" s="26" t="n"/>
      <c r="Y172" s="26" t="n"/>
      <c r="Z172" s="26" t="n"/>
      <c r="AA172" s="26" t="n"/>
      <c r="AB172" s="26" t="n"/>
      <c r="AC172" s="26" t="n"/>
      <c r="AD172" s="26" t="n"/>
      <c r="AE172" s="26" t="n"/>
      <c r="AF172" s="26" t="n"/>
      <c r="AG172" s="26" t="n"/>
      <c r="AH172" s="26" t="n"/>
      <c r="AI172" s="26" t="n"/>
      <c r="AJ172" s="27" t="n"/>
    </row>
    <row r="173" s="3154" customFormat="1" ht="13.5" customHeight="1">
      <c r="A173" s="1996" t="inlineStr">
        <is>
          <t xml:space="preserve">OS&amp;E Contingency</t>
        </is>
      </c>
      <c r="B173" s="3938" t="n">
        <v>0.025</v>
      </c>
      <c r="C173" s="3939" t="n">
        <f t="array" ref="C173">B173*SUM(C162:C172)</f>
        <v>0</v>
      </c>
      <c r="D173" s="3940" t="n">
        <f t="array" ref="D173">C173/'Project Summary'!$I$8</f>
        <v>0</v>
      </c>
      <c r="E173" s="3941" t="n">
        <f t="array" ref="E173">C173/'Project Summary'!$I$7</f>
        <v>0</v>
      </c>
      <c r="F173" s="2001" t="n"/>
      <c r="G173" s="1995" t="str">
        <f t="array" ref="G173">IF(AND(E173=0,F173=""),"HIDE","")</f>
        <v>HIDE</v>
      </c>
      <c r="H173" s="26" t="n"/>
      <c r="I173" s="26" t="n"/>
      <c r="J173" s="26" t="n"/>
      <c r="K173" s="26" t="n"/>
      <c r="L173" s="26" t="n"/>
      <c r="M173" s="26" t="n"/>
      <c r="N173" s="26" t="n"/>
      <c r="O173" s="26" t="n"/>
      <c r="P173" s="26" t="n"/>
      <c r="Q173" s="26" t="n"/>
      <c r="R173" s="26" t="n"/>
      <c r="S173" s="26" t="n"/>
      <c r="T173" s="26" t="n"/>
      <c r="U173" s="26" t="n"/>
      <c r="V173" s="26" t="n"/>
      <c r="W173" s="26" t="n"/>
      <c r="X173" s="26" t="n"/>
      <c r="Y173" s="26" t="n"/>
      <c r="Z173" s="26" t="n"/>
      <c r="AA173" s="26" t="n"/>
      <c r="AB173" s="26" t="n"/>
      <c r="AC173" s="26" t="n"/>
      <c r="AD173" s="26" t="n"/>
      <c r="AE173" s="26" t="n"/>
      <c r="AF173" s="26" t="n"/>
      <c r="AG173" s="26" t="n"/>
      <c r="AH173" s="26" t="n"/>
      <c r="AI173" s="26" t="n"/>
      <c r="AJ173" s="27" t="n"/>
    </row>
    <row r="174" s="3154" customFormat="1" ht="13.5" customHeight="1">
      <c r="A174" s="2006" t="str">
        <f t="array" ref="A174">"Subtotal: "&amp;A161</f>
        <v>Subtotal: OS&amp;E</v>
      </c>
      <c r="B174" s="3944" t="n"/>
      <c r="C174" s="3945" t="n">
        <f t="array" ref="C174">SUM(C162:C173)</f>
        <v>0</v>
      </c>
      <c r="D174" s="3946" t="n">
        <f t="array" ref="D174">SUM(D162:D173)</f>
        <v>0</v>
      </c>
      <c r="E174" s="3945" t="n">
        <f t="array" ref="E174">SUM(E162:E173)</f>
        <v>0</v>
      </c>
      <c r="F174" s="2010" t="n"/>
      <c r="G174" s="26" t="n"/>
      <c r="H174" s="26" t="n"/>
      <c r="I174" s="26" t="n"/>
      <c r="J174" s="26" t="n"/>
      <c r="K174" s="26" t="n"/>
      <c r="L174" s="26" t="n"/>
      <c r="M174" s="26" t="n"/>
      <c r="N174" s="26" t="n"/>
      <c r="O174" s="26" t="n"/>
      <c r="P174" s="26" t="n"/>
      <c r="Q174" s="26" t="n"/>
      <c r="R174" s="26" t="n"/>
      <c r="S174" s="26" t="n"/>
      <c r="T174" s="26" t="n"/>
      <c r="U174" s="26" t="n"/>
      <c r="V174" s="26" t="n"/>
      <c r="W174" s="26" t="n"/>
      <c r="X174" s="26" t="n"/>
      <c r="Y174" s="26" t="n"/>
      <c r="Z174" s="26" t="n"/>
      <c r="AA174" s="26" t="n"/>
      <c r="AB174" s="26" t="n"/>
      <c r="AC174" s="26" t="n"/>
      <c r="AD174" s="26" t="n"/>
      <c r="AE174" s="26" t="n"/>
      <c r="AF174" s="26" t="n"/>
      <c r="AG174" s="26" t="n"/>
      <c r="AH174" s="26" t="n"/>
      <c r="AI174" s="26" t="n"/>
      <c r="AJ174" s="27" t="n"/>
    </row>
    <row r="175" s="3154" customFormat="1" ht="13.5" customHeight="1">
      <c r="A175" s="2054" t="str">
        <f t="array" ref="A175">"Subtotal: "&amp;A144</f>
        <v>Subtotal: OWNER DIRECT COSTS</v>
      </c>
      <c r="B175" s="3976" t="n"/>
      <c r="C175" s="3977" t="n">
        <f t="array" ref="C175">C159+C174</f>
        <v>287635.76544937503</v>
      </c>
      <c r="D175" s="3978" t="n">
        <f t="array" ref="D175">D159+D174</f>
        <v>15.847054709121158</v>
      </c>
      <c r="E175" s="3977" t="n">
        <f t="array" ref="E175">E159+E174</f>
        <v>2876.35765449375</v>
      </c>
      <c r="F175" s="2058" t="n"/>
      <c r="G175" s="26" t="n"/>
      <c r="H175" s="26" t="n"/>
      <c r="I175" s="26" t="n"/>
      <c r="J175" s="3364" t="n">
        <f t="array" ref="J175">$B$24*C175</f>
        <v>8629.07296348125</v>
      </c>
      <c r="K175" s="26" t="n"/>
      <c r="L175" s="26" t="n"/>
      <c r="M175" s="26" t="n"/>
      <c r="N175" s="26" t="n"/>
      <c r="O175" s="26" t="n"/>
      <c r="P175" s="26" t="n"/>
      <c r="Q175" s="26" t="n"/>
      <c r="R175" s="26" t="n"/>
      <c r="S175" s="26" t="n"/>
      <c r="T175" s="26" t="n"/>
      <c r="U175" s="26" t="n"/>
      <c r="V175" s="26" t="n"/>
      <c r="W175" s="26" t="n"/>
      <c r="X175" s="26" t="n"/>
      <c r="Y175" s="26" t="n"/>
      <c r="Z175" s="26" t="n"/>
      <c r="AA175" s="26" t="n"/>
      <c r="AB175" s="26" t="n"/>
      <c r="AC175" s="26" t="n"/>
      <c r="AD175" s="26" t="n"/>
      <c r="AE175" s="26" t="n"/>
      <c r="AF175" s="26" t="n"/>
      <c r="AG175" s="26" t="n"/>
      <c r="AH175" s="26" t="n"/>
      <c r="AI175" s="26" t="n"/>
      <c r="AJ175" s="27" t="n"/>
    </row>
    <row r="176" s="3154" customFormat="1" ht="8" customHeight="1">
      <c r="A176" s="2021" t="n"/>
      <c r="B176" s="3947" t="n"/>
      <c r="C176" s="3364" t="n"/>
      <c r="D176" s="26" t="n"/>
      <c r="E176" s="3992" t="n"/>
      <c r="F176" s="2033" t="n"/>
      <c r="G176" s="2034" t="n"/>
      <c r="H176" s="2034" t="n"/>
      <c r="I176" s="2034" t="n"/>
      <c r="J176" s="3963" t="n"/>
      <c r="K176" s="3963" t="n"/>
      <c r="L176" s="3963" t="n"/>
      <c r="M176" s="3963" t="n"/>
      <c r="N176" s="3963" t="n"/>
      <c r="O176" s="3963" t="n"/>
      <c r="P176" s="3963" t="n"/>
      <c r="Q176" s="3963" t="n"/>
      <c r="R176" s="3963" t="n"/>
      <c r="S176" s="3963" t="n"/>
      <c r="T176" s="3963" t="n"/>
      <c r="U176" s="3963" t="n"/>
      <c r="V176" s="3963" t="n"/>
      <c r="W176" s="3963" t="n"/>
      <c r="X176" s="3963" t="n"/>
      <c r="Y176" s="3963" t="n"/>
      <c r="Z176" s="3963" t="n"/>
      <c r="AA176" s="3963" t="n"/>
      <c r="AB176" s="3963" t="n"/>
      <c r="AC176" s="3963" t="n"/>
      <c r="AD176" s="3963" t="n"/>
      <c r="AE176" s="3963" t="n"/>
      <c r="AF176" s="3963" t="n"/>
      <c r="AG176" s="3963" t="n"/>
      <c r="AH176" s="3963" t="n"/>
      <c r="AI176" s="3963" t="n"/>
      <c r="AJ176" s="3964" t="n"/>
    </row>
    <row r="177" s="3154" customFormat="1" ht="13.5" customHeight="1">
      <c r="A177" s="2077" t="inlineStr">
        <is>
          <t xml:space="preserve">TOTAL COSTS</t>
        </is>
      </c>
      <c r="B177" s="3993" t="n"/>
      <c r="C177" s="3994" t="n">
        <f t="array" ref="C177">C16+C26+C57+C67+C81+C108+C175+C142</f>
        <v>7218515.749406721</v>
      </c>
      <c r="D177" s="3995" t="n">
        <f t="array" ref="D177">D16+D26+D57+D67+D81+D95+D108+D175+D142</f>
        <v>411.4717009961408</v>
      </c>
      <c r="E177" s="3994" t="n">
        <f t="array" ref="E177">E16+E26+E57+E67+E81+E95+E108+E175+E142</f>
        <v>74685.15749406723</v>
      </c>
      <c r="F177" s="2081" t="n"/>
      <c r="G177" s="3996" t="n"/>
      <c r="H177" s="2034" t="n"/>
      <c r="I177" s="2034" t="n"/>
      <c r="J177" s="3963" t="n"/>
      <c r="K177" s="3963" t="n"/>
      <c r="L177" s="3963" t="n"/>
      <c r="M177" s="3963" t="n"/>
      <c r="N177" s="3963" t="n"/>
      <c r="O177" s="3963" t="n"/>
      <c r="P177" s="3963" t="n"/>
      <c r="Q177" s="3963" t="n"/>
      <c r="R177" s="3963" t="n"/>
      <c r="S177" s="3963" t="n"/>
      <c r="T177" s="3963" t="n"/>
      <c r="U177" s="3963" t="n"/>
      <c r="V177" s="3963" t="n"/>
      <c r="W177" s="3963" t="n"/>
      <c r="X177" s="3963" t="n"/>
      <c r="Y177" s="3963" t="n"/>
      <c r="Z177" s="3963" t="n"/>
      <c r="AA177" s="3963" t="n"/>
      <c r="AB177" s="3963" t="n"/>
      <c r="AC177" s="3963" t="n"/>
      <c r="AD177" s="3963" t="n"/>
      <c r="AE177" s="3963" t="n"/>
      <c r="AF177" s="3963" t="n"/>
      <c r="AG177" s="3963" t="n"/>
      <c r="AH177" s="3963" t="n"/>
      <c r="AI177" s="3963" t="n"/>
      <c r="AJ177" s="3964" t="n"/>
    </row>
    <row r="178" s="3154" customFormat="1" ht="13.5" customHeight="1">
      <c r="A178" s="2021" t="n"/>
      <c r="B178" s="3947" t="n"/>
      <c r="C178" s="3364" t="n"/>
      <c r="D178" s="26" t="n"/>
      <c r="E178" s="3948" t="n"/>
      <c r="F178" s="2033" t="n"/>
      <c r="G178" s="2034" t="n"/>
      <c r="H178" s="2034" t="n"/>
      <c r="I178" s="2034" t="n"/>
      <c r="J178" s="3963" t="n"/>
      <c r="K178" s="3963" t="n"/>
      <c r="L178" s="3963" t="n"/>
      <c r="M178" s="3963" t="n"/>
      <c r="N178" s="3963" t="n"/>
      <c r="O178" s="3963" t="n"/>
      <c r="P178" s="3963" t="n"/>
      <c r="Q178" s="3963" t="n"/>
      <c r="R178" s="3963" t="n"/>
      <c r="S178" s="3963" t="n"/>
      <c r="T178" s="3963" t="n"/>
      <c r="U178" s="3963" t="n"/>
      <c r="V178" s="3963" t="n"/>
      <c r="W178" s="3963" t="n"/>
      <c r="X178" s="3963" t="n"/>
      <c r="Y178" s="3963" t="n"/>
      <c r="Z178" s="3963" t="n"/>
      <c r="AA178" s="3963" t="n"/>
      <c r="AB178" s="3963" t="n"/>
      <c r="AC178" s="3963" t="n"/>
      <c r="AD178" s="3963" t="n"/>
      <c r="AE178" s="3963" t="n"/>
      <c r="AF178" s="3963" t="n"/>
      <c r="AG178" s="3963" t="n"/>
      <c r="AH178" s="3963" t="n"/>
      <c r="AI178" s="3963" t="n"/>
      <c r="AJ178" s="3964" t="n"/>
    </row>
    <row r="179" s="3154" customFormat="1" ht="13.5" customHeight="1">
      <c r="A179" s="2083" t="inlineStr">
        <is>
          <t xml:space="preserve">Soft Cost Contingency</t>
        </is>
      </c>
      <c r="B179" s="26" t="n"/>
      <c r="C179" s="3364" t="n">
        <f t="array" ref="C179">C140+C173+C158+C56</f>
        <v>27344.582893844177</v>
      </c>
      <c r="D179" s="26" t="n"/>
      <c r="E179" s="26" t="n"/>
      <c r="F179" s="3364" t="n"/>
      <c r="G179" s="26" t="n"/>
      <c r="H179" s="26" t="n"/>
      <c r="I179" s="26" t="n"/>
      <c r="J179" s="26" t="n"/>
      <c r="K179" s="26" t="n"/>
      <c r="L179" s="26" t="n"/>
      <c r="M179" s="26" t="n"/>
      <c r="N179" s="26" t="n"/>
      <c r="O179" s="26" t="n"/>
      <c r="P179" s="26" t="n"/>
      <c r="Q179" s="26" t="n"/>
      <c r="R179" s="26" t="n"/>
      <c r="S179" s="26" t="n"/>
      <c r="T179" s="26" t="n"/>
      <c r="U179" s="26" t="n"/>
      <c r="V179" s="26" t="n"/>
      <c r="W179" s="26" t="n"/>
      <c r="X179" s="26" t="n"/>
      <c r="Y179" s="26" t="n"/>
      <c r="Z179" s="26" t="n"/>
      <c r="AA179" s="26" t="n"/>
      <c r="AB179" s="26" t="n"/>
      <c r="AC179" s="26" t="n"/>
      <c r="AD179" s="26" t="n"/>
      <c r="AE179" s="26" t="n"/>
      <c r="AF179" s="26" t="n"/>
      <c r="AG179" s="26" t="n"/>
      <c r="AH179" s="26" t="n"/>
      <c r="AI179" s="26" t="n"/>
      <c r="AJ179" s="27" t="n"/>
    </row>
    <row r="180" s="3154" customFormat="1" ht="13.5" customHeight="1">
      <c r="A180" s="2083" t="inlineStr">
        <is>
          <t xml:space="preserve">Hard Cost Contingency (not duplicated)</t>
        </is>
      </c>
      <c r="B180" s="26" t="n"/>
      <c r="C180" s="4526" t="n">
        <f>C94+C106</f>
        <v>0</v>
      </c>
      <c r="D180" s="26" t="n"/>
      <c r="E180" s="26" t="n"/>
      <c r="F180" s="26" t="n"/>
      <c r="G180" s="26" t="n"/>
      <c r="H180" s="26" t="n"/>
      <c r="I180" s="26" t="n"/>
      <c r="J180" s="26" t="n"/>
      <c r="K180" s="26" t="n"/>
      <c r="L180" s="26" t="n"/>
      <c r="M180" s="26" t="n"/>
      <c r="N180" s="26" t="n"/>
      <c r="O180" s="26" t="n"/>
      <c r="P180" s="26" t="n"/>
      <c r="Q180" s="26" t="n"/>
      <c r="R180" s="26" t="n"/>
      <c r="S180" s="26" t="n"/>
      <c r="T180" s="26" t="n"/>
      <c r="U180" s="26" t="n"/>
      <c r="V180" s="26" t="n"/>
      <c r="W180" s="26" t="n"/>
      <c r="X180" s="26" t="n"/>
      <c r="Y180" s="26" t="n"/>
      <c r="Z180" s="26" t="n"/>
      <c r="AA180" s="26" t="n"/>
      <c r="AB180" s="26" t="n"/>
      <c r="AC180" s="26" t="n"/>
      <c r="AD180" s="26" t="n"/>
      <c r="AE180" s="26" t="n"/>
      <c r="AF180" s="26" t="n"/>
      <c r="AG180" s="26" t="n"/>
      <c r="AH180" s="26" t="n"/>
      <c r="AI180" s="26" t="n"/>
      <c r="AJ180" s="27" t="n"/>
    </row>
    <row r="181" s="3154" customFormat="1" ht="13.5" customHeight="1">
      <c r="A181" s="2083" t="inlineStr">
        <is>
          <t xml:space="preserve">Total Contingency</t>
        </is>
      </c>
      <c r="B181" s="3947" t="n"/>
      <c r="C181" s="4526" t="n">
        <f>C179+C180</f>
        <v>27344.582893844177</v>
      </c>
      <c r="D181" s="26" t="n"/>
      <c r="E181" s="26" t="n"/>
      <c r="F181" s="26" t="n"/>
      <c r="G181" s="26" t="n"/>
      <c r="H181" s="26" t="n"/>
      <c r="I181" s="26" t="n"/>
      <c r="J181" s="26" t="n"/>
      <c r="K181" s="26" t="n"/>
      <c r="L181" s="26" t="n"/>
      <c r="M181" s="26" t="n"/>
      <c r="N181" s="26" t="n"/>
      <c r="O181" s="26" t="n"/>
      <c r="P181" s="26" t="n"/>
      <c r="Q181" s="26" t="n"/>
      <c r="R181" s="26" t="n"/>
      <c r="S181" s="26" t="n"/>
      <c r="T181" s="26" t="n"/>
      <c r="U181" s="26" t="n"/>
      <c r="V181" s="26" t="n"/>
      <c r="W181" s="26" t="n"/>
      <c r="X181" s="26" t="n"/>
      <c r="Y181" s="26" t="n"/>
      <c r="Z181" s="26" t="n"/>
      <c r="AA181" s="26" t="n"/>
      <c r="AB181" s="26" t="n"/>
      <c r="AC181" s="26" t="n"/>
      <c r="AD181" s="26" t="n"/>
      <c r="AE181" s="26" t="n"/>
      <c r="AF181" s="26" t="n"/>
      <c r="AG181" s="26" t="n"/>
      <c r="AH181" s="26" t="n"/>
      <c r="AI181" s="26" t="n"/>
      <c r="AJ181" s="27" t="n"/>
    </row>
    <row r="182" s="3154" customFormat="1" ht="13.5" customHeight="1">
      <c r="A182" s="2083" t="inlineStr">
        <is>
          <t xml:space="preserve">% of Project</t>
        </is>
      </c>
      <c r="B182" s="26" t="n"/>
      <c r="C182" s="3947" t="n">
        <f t="array" ref="C182">C181/C177</f>
        <v>0.0037881170926435375</v>
      </c>
      <c r="D182" s="26" t="n"/>
      <c r="E182" s="26" t="n"/>
      <c r="F182" s="26" t="n"/>
      <c r="G182" s="26" t="n"/>
      <c r="H182" s="26" t="n"/>
      <c r="I182" s="26" t="n"/>
      <c r="J182" s="26" t="n"/>
      <c r="K182" s="26" t="n"/>
      <c r="L182" s="26" t="n"/>
      <c r="M182" s="26" t="n"/>
      <c r="N182" s="26" t="n"/>
      <c r="O182" s="26" t="n"/>
      <c r="P182" s="26" t="n"/>
      <c r="Q182" s="26" t="n"/>
      <c r="R182" s="26" t="n"/>
      <c r="S182" s="26" t="n"/>
      <c r="T182" s="26" t="n"/>
      <c r="U182" s="26" t="n"/>
      <c r="V182" s="26" t="n"/>
      <c r="W182" s="26" t="n"/>
      <c r="X182" s="26" t="n"/>
      <c r="Y182" s="26" t="n"/>
      <c r="Z182" s="26" t="n"/>
      <c r="AA182" s="26" t="n"/>
      <c r="AB182" s="26" t="n"/>
      <c r="AC182" s="26" t="n"/>
      <c r="AD182" s="26" t="n"/>
      <c r="AE182" s="26" t="n"/>
      <c r="AF182" s="26" t="n"/>
      <c r="AG182" s="26" t="n"/>
      <c r="AH182" s="26" t="n"/>
      <c r="AI182" s="26" t="n"/>
      <c r="AJ182" s="27" t="n"/>
    </row>
    <row r="183" s="3154" customFormat="1" ht="13.5" customHeight="1">
      <c r="A183" s="627" t="n"/>
      <c r="B183" s="26" t="n"/>
      <c r="C183" s="26" t="n"/>
      <c r="D183" s="26" t="n"/>
      <c r="E183" s="26" t="n"/>
      <c r="F183" s="26" t="n"/>
      <c r="G183" s="26" t="n"/>
      <c r="H183" s="26" t="n"/>
      <c r="I183" s="26" t="n"/>
      <c r="J183" s="26" t="n"/>
      <c r="K183" s="26" t="n"/>
      <c r="L183" s="26" t="n"/>
      <c r="M183" s="26" t="n"/>
      <c r="N183" s="26" t="n"/>
      <c r="O183" s="26" t="n"/>
      <c r="P183" s="26" t="n"/>
      <c r="Q183" s="26" t="n"/>
      <c r="R183" s="26" t="n"/>
      <c r="S183" s="26" t="n"/>
      <c r="T183" s="26" t="n"/>
      <c r="U183" s="26" t="n"/>
      <c r="V183" s="26" t="n"/>
      <c r="W183" s="26" t="n"/>
      <c r="X183" s="26" t="n"/>
      <c r="Y183" s="26" t="n"/>
      <c r="Z183" s="26" t="n"/>
      <c r="AA183" s="26" t="n"/>
      <c r="AB183" s="26" t="n"/>
      <c r="AC183" s="26" t="n"/>
      <c r="AD183" s="26" t="n"/>
      <c r="AE183" s="26" t="n"/>
      <c r="AF183" s="26" t="n"/>
      <c r="AG183" s="26" t="n"/>
      <c r="AH183" s="26" t="n"/>
      <c r="AI183" s="26" t="n"/>
      <c r="AJ183" s="27" t="n"/>
    </row>
    <row r="184" s="3154" customFormat="1" ht="13.5" customHeight="1">
      <c r="A184" s="627" t="n"/>
      <c r="B184" s="26" t="n"/>
      <c r="C184" s="26" t="n"/>
      <c r="D184" s="26" t="n"/>
      <c r="E184" s="26" t="n"/>
      <c r="F184" s="26" t="n"/>
      <c r="G184" s="26" t="n"/>
      <c r="H184" s="26" t="n"/>
      <c r="I184" s="26" t="n"/>
      <c r="J184" s="26" t="n"/>
      <c r="K184" s="26" t="n"/>
      <c r="L184" s="26" t="n"/>
      <c r="M184" s="26" t="n"/>
      <c r="N184" s="26" t="n"/>
      <c r="O184" s="26" t="n"/>
      <c r="P184" s="26" t="n"/>
      <c r="Q184" s="26" t="n"/>
      <c r="R184" s="26" t="n"/>
      <c r="S184" s="26" t="n"/>
      <c r="T184" s="26" t="n"/>
      <c r="U184" s="26" t="n"/>
      <c r="V184" s="26" t="n"/>
      <c r="W184" s="26" t="n"/>
      <c r="X184" s="26" t="n"/>
      <c r="Y184" s="26" t="n"/>
      <c r="Z184" s="26" t="n"/>
      <c r="AA184" s="26" t="n"/>
      <c r="AB184" s="26" t="n"/>
      <c r="AC184" s="26" t="n"/>
      <c r="AD184" s="26" t="n"/>
      <c r="AE184" s="26" t="n"/>
      <c r="AF184" s="26" t="n"/>
      <c r="AG184" s="26" t="n"/>
      <c r="AH184" s="26" t="n"/>
      <c r="AI184" s="26" t="n"/>
      <c r="AJ184" s="27" t="n"/>
    </row>
    <row r="185" s="3154" customFormat="1" ht="13.5" customHeight="1">
      <c r="A185" s="627" t="n"/>
      <c r="B185" s="26" t="n"/>
      <c r="C185" s="26" t="n"/>
      <c r="D185" s="26" t="n"/>
      <c r="E185" s="26" t="n"/>
      <c r="F185" s="26" t="n"/>
      <c r="G185" s="26" t="n"/>
      <c r="H185" s="26" t="n"/>
      <c r="I185" s="26" t="n"/>
      <c r="J185" s="26" t="n"/>
      <c r="K185" s="26" t="n"/>
      <c r="L185" s="26" t="n"/>
      <c r="M185" s="26" t="n"/>
      <c r="N185" s="26" t="n"/>
      <c r="O185" s="26" t="n"/>
      <c r="P185" s="26" t="n"/>
      <c r="Q185" s="26" t="n"/>
      <c r="R185" s="26" t="n"/>
      <c r="S185" s="26" t="n"/>
      <c r="T185" s="26" t="n"/>
      <c r="U185" s="26" t="n"/>
      <c r="V185" s="26" t="n"/>
      <c r="W185" s="26" t="n"/>
      <c r="X185" s="26" t="n"/>
      <c r="Y185" s="26" t="n"/>
      <c r="Z185" s="26" t="n"/>
      <c r="AA185" s="26" t="n"/>
      <c r="AB185" s="26" t="n"/>
      <c r="AC185" s="26" t="n"/>
      <c r="AD185" s="26" t="n"/>
      <c r="AE185" s="26" t="n"/>
      <c r="AF185" s="26" t="n"/>
      <c r="AG185" s="26" t="n"/>
      <c r="AH185" s="26" t="n"/>
      <c r="AI185" s="26" t="n"/>
      <c r="AJ185" s="27" t="n"/>
    </row>
    <row r="186" s="3154" customFormat="1" ht="13.5" customHeight="1">
      <c r="A186" s="2084" t="inlineStr">
        <is>
          <t xml:space="preserve">FF&amp;E</t>
        </is>
      </c>
      <c r="B186" s="26" t="n"/>
      <c r="C186" s="3364" t="n">
        <f t="array" ref="C186">C159</f>
        <v>287635.76544937503</v>
      </c>
      <c r="D186" s="26" t="n"/>
      <c r="E186" s="26" t="n"/>
      <c r="F186" s="26" t="n"/>
      <c r="G186" s="26" t="n"/>
      <c r="H186" s="26" t="n"/>
      <c r="I186" s="26" t="n"/>
      <c r="J186" s="26" t="n"/>
      <c r="K186" s="26" t="n"/>
      <c r="L186" s="26" t="n"/>
      <c r="M186" s="26" t="n"/>
      <c r="N186" s="26" t="n"/>
      <c r="O186" s="26" t="n"/>
      <c r="P186" s="26" t="n"/>
      <c r="Q186" s="26" t="n"/>
      <c r="R186" s="26" t="n"/>
      <c r="S186" s="26" t="n"/>
      <c r="T186" s="26" t="n"/>
      <c r="U186" s="26" t="n"/>
      <c r="V186" s="26" t="n"/>
      <c r="W186" s="26" t="n"/>
      <c r="X186" s="26" t="n"/>
      <c r="Y186" s="26" t="n"/>
      <c r="Z186" s="26" t="n"/>
      <c r="AA186" s="26" t="n"/>
      <c r="AB186" s="26" t="n"/>
      <c r="AC186" s="26" t="n"/>
      <c r="AD186" s="26" t="n"/>
      <c r="AE186" s="26" t="n"/>
      <c r="AF186" s="26" t="n"/>
      <c r="AG186" s="26" t="n"/>
      <c r="AH186" s="26" t="n"/>
      <c r="AI186" s="26" t="n"/>
      <c r="AJ186" s="27" t="n"/>
    </row>
    <row r="187" s="3154" customFormat="1" ht="13.5" customHeight="1">
      <c r="A187" s="2084" t="inlineStr">
        <is>
          <t xml:space="preserve">Operating Sys &amp; Equip</t>
        </is>
      </c>
      <c r="B187" s="26" t="n"/>
      <c r="C187" s="3364" t="n">
        <f t="array" ref="C187">C174</f>
        <v>0</v>
      </c>
      <c r="D187" s="26" t="n"/>
      <c r="E187" s="26" t="n"/>
      <c r="F187" s="26" t="n"/>
      <c r="G187" s="26" t="n"/>
      <c r="H187" s="26" t="n"/>
      <c r="I187" s="26" t="n"/>
      <c r="J187" s="26" t="n"/>
      <c r="K187" s="26" t="n"/>
      <c r="L187" s="26" t="n"/>
      <c r="M187" s="26" t="n"/>
      <c r="N187" s="26" t="n"/>
      <c r="O187" s="26" t="n"/>
      <c r="P187" s="26" t="n"/>
      <c r="Q187" s="26" t="n"/>
      <c r="R187" s="26" t="n"/>
      <c r="S187" s="26" t="n"/>
      <c r="T187" s="26" t="n"/>
      <c r="U187" s="26" t="n"/>
      <c r="V187" s="26" t="n"/>
      <c r="W187" s="26" t="n"/>
      <c r="X187" s="26" t="n"/>
      <c r="Y187" s="26" t="n"/>
      <c r="Z187" s="26" t="n"/>
      <c r="AA187" s="26" t="n"/>
      <c r="AB187" s="26" t="n"/>
      <c r="AC187" s="26" t="n"/>
      <c r="AD187" s="26" t="n"/>
      <c r="AE187" s="26" t="n"/>
      <c r="AF187" s="26" t="n"/>
      <c r="AG187" s="26" t="n"/>
      <c r="AH187" s="26" t="n"/>
      <c r="AI187" s="26" t="n"/>
      <c r="AJ187" s="27" t="n"/>
    </row>
    <row r="188" s="3154" customFormat="1" ht="13.5" customHeight="1">
      <c r="A188" s="2084" t="inlineStr">
        <is>
          <t xml:space="preserve">Franchise Fees</t>
        </is>
      </c>
      <c r="B188" s="26" t="n"/>
      <c r="C188" s="3364" t="n">
        <f t="array" ref="C188">C22</f>
        <v>0</v>
      </c>
      <c r="D188" s="26" t="n"/>
      <c r="E188" s="26" t="n"/>
      <c r="F188" s="26" t="n"/>
      <c r="G188" s="26" t="n"/>
      <c r="H188" s="26" t="n"/>
      <c r="I188" s="26" t="n"/>
      <c r="J188" s="26" t="n"/>
      <c r="K188" s="26" t="n"/>
      <c r="L188" s="26" t="n"/>
      <c r="M188" s="26" t="n"/>
      <c r="N188" s="26" t="n"/>
      <c r="O188" s="26" t="n"/>
      <c r="P188" s="26" t="n"/>
      <c r="Q188" s="26" t="n"/>
      <c r="R188" s="26" t="n"/>
      <c r="S188" s="26" t="n"/>
      <c r="T188" s="26" t="n"/>
      <c r="U188" s="26" t="n"/>
      <c r="V188" s="26" t="n"/>
      <c r="W188" s="26" t="n"/>
      <c r="X188" s="26" t="n"/>
      <c r="Y188" s="26" t="n"/>
      <c r="Z188" s="26" t="n"/>
      <c r="AA188" s="26" t="n"/>
      <c r="AB188" s="26" t="n"/>
      <c r="AC188" s="26" t="n"/>
      <c r="AD188" s="26" t="n"/>
      <c r="AE188" s="26" t="n"/>
      <c r="AF188" s="26" t="n"/>
      <c r="AG188" s="26" t="n"/>
      <c r="AH188" s="26" t="n"/>
      <c r="AI188" s="26" t="n"/>
      <c r="AJ188" s="27" t="n"/>
    </row>
    <row r="189" s="3154" customFormat="1" ht="13.5" customHeight="1">
      <c r="A189" s="2084" t="inlineStr">
        <is>
          <t xml:space="preserve">Financing Fees (ex Interest)</t>
        </is>
      </c>
      <c r="B189" s="26" t="n"/>
      <c r="C189" s="3364" t="n">
        <f t="array" ref="C189">C81-C70</f>
        <v>313000</v>
      </c>
      <c r="D189" s="26" t="n"/>
      <c r="E189" s="26" t="n"/>
      <c r="F189" s="26" t="n"/>
      <c r="G189" s="26" t="n"/>
      <c r="H189" s="26" t="n"/>
      <c r="I189" s="26" t="n"/>
      <c r="J189" s="26" t="n"/>
      <c r="K189" s="26" t="n"/>
      <c r="L189" s="26" t="n"/>
      <c r="M189" s="26" t="n"/>
      <c r="N189" s="26" t="n"/>
      <c r="O189" s="26" t="n"/>
      <c r="P189" s="26" t="n"/>
      <c r="Q189" s="26" t="n"/>
      <c r="R189" s="26" t="n"/>
      <c r="S189" s="26" t="n"/>
      <c r="T189" s="26" t="n"/>
      <c r="U189" s="26" t="n"/>
      <c r="V189" s="26" t="n"/>
      <c r="W189" s="26" t="n"/>
      <c r="X189" s="26" t="n"/>
      <c r="Y189" s="26" t="n"/>
      <c r="Z189" s="26" t="n"/>
      <c r="AA189" s="26" t="n"/>
      <c r="AB189" s="26" t="n"/>
      <c r="AC189" s="26" t="n"/>
      <c r="AD189" s="26" t="n"/>
      <c r="AE189" s="26" t="n"/>
      <c r="AF189" s="26" t="n"/>
      <c r="AG189" s="26" t="n"/>
      <c r="AH189" s="26" t="n"/>
      <c r="AI189" s="26" t="n"/>
      <c r="AJ189" s="27" t="n"/>
    </row>
    <row r="190" s="3154" customFormat="1" ht="13.5" customHeight="1">
      <c r="A190" s="2084" t="inlineStr">
        <is>
          <t xml:space="preserve">Other</t>
        </is>
      </c>
      <c r="B190" s="26" t="n"/>
      <c r="C190" s="3364" t="n">
        <f t="array" ref="C190">C16</f>
        <v>1240400</v>
      </c>
      <c r="D190" s="3997" t="n"/>
      <c r="E190" s="26" t="n"/>
      <c r="F190" s="26" t="n"/>
      <c r="G190" s="26" t="n"/>
      <c r="H190" s="26" t="n"/>
      <c r="I190" s="26" t="n"/>
      <c r="J190" s="26" t="n"/>
      <c r="K190" s="26" t="n"/>
      <c r="L190" s="26" t="n"/>
      <c r="M190" s="26" t="n"/>
      <c r="N190" s="26" t="n"/>
      <c r="O190" s="26" t="n"/>
      <c r="P190" s="26" t="n"/>
      <c r="Q190" s="26" t="n"/>
      <c r="R190" s="26" t="n"/>
      <c r="S190" s="26" t="n"/>
      <c r="T190" s="26" t="n"/>
      <c r="U190" s="26" t="n"/>
      <c r="V190" s="26" t="n"/>
      <c r="W190" s="26" t="n"/>
      <c r="X190" s="26" t="n"/>
      <c r="Y190" s="26" t="n"/>
      <c r="Z190" s="26" t="n"/>
      <c r="AA190" s="26" t="n"/>
      <c r="AB190" s="26" t="n"/>
      <c r="AC190" s="26" t="n"/>
      <c r="AD190" s="26" t="n"/>
      <c r="AE190" s="26" t="n"/>
      <c r="AF190" s="26" t="n"/>
      <c r="AG190" s="26" t="n"/>
      <c r="AH190" s="26" t="n"/>
      <c r="AI190" s="26" t="n"/>
      <c r="AJ190" s="27" t="n"/>
    </row>
    <row r="191" s="3154" customFormat="1" ht="13.5" customHeight="1">
      <c r="A191" s="2084" t="inlineStr">
        <is>
          <t xml:space="preserve">Land Improvements</t>
        </is>
      </c>
      <c r="B191" s="26" t="n"/>
      <c r="C191" s="3364" t="n">
        <f t="array" ref="C191">C95</f>
        <v>250000</v>
      </c>
      <c r="D191" s="3997" t="n"/>
      <c r="E191" s="26" t="n"/>
      <c r="F191" s="26" t="n"/>
      <c r="G191" s="26" t="n"/>
      <c r="H191" s="26" t="n"/>
      <c r="I191" s="26" t="n"/>
      <c r="J191" s="26" t="n"/>
      <c r="K191" s="26" t="n"/>
      <c r="L191" s="26" t="n"/>
      <c r="M191" s="26" t="n"/>
      <c r="N191" s="26" t="n"/>
      <c r="O191" s="26" t="n"/>
      <c r="P191" s="26" t="n"/>
      <c r="Q191" s="26" t="n"/>
      <c r="R191" s="26" t="n"/>
      <c r="S191" s="26" t="n"/>
      <c r="T191" s="26" t="n"/>
      <c r="U191" s="26" t="n"/>
      <c r="V191" s="26" t="n"/>
      <c r="W191" s="26" t="n"/>
      <c r="X191" s="26" t="n"/>
      <c r="Y191" s="26" t="n"/>
      <c r="Z191" s="26" t="n"/>
      <c r="AA191" s="26" t="n"/>
      <c r="AB191" s="26" t="n"/>
      <c r="AC191" s="26" t="n"/>
      <c r="AD191" s="26" t="n"/>
      <c r="AE191" s="26" t="n"/>
      <c r="AF191" s="26" t="n"/>
      <c r="AG191" s="26" t="n"/>
      <c r="AH191" s="26" t="n"/>
      <c r="AI191" s="26" t="n"/>
      <c r="AJ191" s="27" t="n"/>
    </row>
    <row r="192" s="3154" customFormat="1" ht="13.5" customHeight="1">
      <c r="A192" s="2086" t="inlineStr">
        <is>
          <t xml:space="preserve">Construction Contract Amount</t>
        </is>
      </c>
      <c r="B192" s="163" t="n"/>
      <c r="C192" s="3998" t="n">
        <f t="array" ref="C192">C177-C186-C191-C187-C190-C188-C189</f>
        <v>5127479.9839573465</v>
      </c>
      <c r="D192" s="26" t="n"/>
      <c r="E192" s="26" t="n"/>
      <c r="F192" s="26" t="n"/>
      <c r="G192" s="26" t="n"/>
      <c r="H192" s="26" t="n"/>
      <c r="I192" s="26" t="n"/>
      <c r="J192" s="26" t="n"/>
      <c r="K192" s="26" t="n"/>
      <c r="L192" s="26" t="n"/>
      <c r="M192" s="26" t="n"/>
      <c r="N192" s="26" t="n"/>
      <c r="O192" s="26" t="n"/>
      <c r="P192" s="26" t="n"/>
      <c r="Q192" s="26" t="n"/>
      <c r="R192" s="26" t="n"/>
      <c r="S192" s="26" t="n"/>
      <c r="T192" s="26" t="n"/>
      <c r="U192" s="26" t="n"/>
      <c r="V192" s="26" t="n"/>
      <c r="W192" s="26" t="n"/>
      <c r="X192" s="26" t="n"/>
      <c r="Y192" s="26" t="n"/>
      <c r="Z192" s="26" t="n"/>
      <c r="AA192" s="26" t="n"/>
      <c r="AB192" s="26" t="n"/>
      <c r="AC192" s="26" t="n"/>
      <c r="AD192" s="26" t="n"/>
      <c r="AE192" s="26" t="n"/>
      <c r="AF192" s="26" t="n"/>
      <c r="AG192" s="26" t="n"/>
      <c r="AH192" s="26" t="n"/>
      <c r="AI192" s="26" t="n"/>
      <c r="AJ192" s="27" t="n"/>
    </row>
    <row r="193" s="3154" customFormat="1" ht="14.25" customHeight="1">
      <c r="A193" s="2088" t="inlineStr">
        <is>
          <t xml:space="preserve">Total Project</t>
        </is>
      </c>
      <c r="B193" s="3999" t="n"/>
      <c r="C193" s="4000" t="n">
        <f t="array" ref="C193">SUM(C186:C192)</f>
        <v>7218515.749406721</v>
      </c>
      <c r="D193" s="26" t="n"/>
      <c r="E193" s="26" t="n"/>
      <c r="F193" s="26" t="n"/>
      <c r="G193" s="26" t="n"/>
      <c r="H193" s="26" t="n"/>
      <c r="I193" s="26" t="n"/>
      <c r="J193" s="26" t="n"/>
      <c r="K193" s="26" t="n"/>
      <c r="L193" s="26" t="n"/>
      <c r="M193" s="26" t="n"/>
      <c r="N193" s="26" t="n"/>
      <c r="O193" s="26" t="n"/>
      <c r="P193" s="26" t="n"/>
      <c r="Q193" s="26" t="n"/>
      <c r="R193" s="26" t="n"/>
      <c r="S193" s="26" t="n"/>
      <c r="T193" s="26" t="n"/>
      <c r="U193" s="26" t="n"/>
      <c r="V193" s="26" t="n"/>
      <c r="W193" s="26" t="n"/>
      <c r="X193" s="26" t="n"/>
      <c r="Y193" s="26" t="n"/>
      <c r="Z193" s="26" t="n"/>
      <c r="AA193" s="26" t="n"/>
      <c r="AB193" s="26" t="n"/>
      <c r="AC193" s="26" t="n"/>
      <c r="AD193" s="26" t="n"/>
      <c r="AE193" s="26" t="n"/>
      <c r="AF193" s="26" t="n"/>
      <c r="AG193" s="26" t="n"/>
      <c r="AH193" s="26" t="n"/>
      <c r="AI193" s="26" t="n"/>
      <c r="AJ193" s="27" t="n"/>
    </row>
    <row r="194" s="3154" customFormat="1" ht="13.5" customHeight="1">
      <c r="A194" s="1969" t="n"/>
      <c r="B194" s="2091" t="inlineStr">
        <is>
          <t xml:space="preserve">Check Figure</t>
        </is>
      </c>
      <c r="C194" s="4001" t="n">
        <f t="array" ref="C194">C193-C177</f>
        <v>0</v>
      </c>
      <c r="D194" s="26" t="n"/>
      <c r="E194" s="26" t="n"/>
      <c r="F194" s="26" t="n"/>
      <c r="G194" s="26" t="n"/>
      <c r="H194" s="26" t="n"/>
      <c r="I194" s="26" t="n"/>
      <c r="J194" s="26" t="n"/>
      <c r="K194" s="26" t="n"/>
      <c r="L194" s="26" t="n"/>
      <c r="M194" s="26" t="n"/>
      <c r="N194" s="26" t="n"/>
      <c r="O194" s="26" t="n"/>
      <c r="P194" s="26" t="n"/>
      <c r="Q194" s="26" t="n"/>
      <c r="R194" s="26" t="n"/>
      <c r="S194" s="26" t="n"/>
      <c r="T194" s="26" t="n"/>
      <c r="U194" s="26" t="n"/>
      <c r="V194" s="26" t="n"/>
      <c r="W194" s="26" t="n"/>
      <c r="X194" s="26" t="n"/>
      <c r="Y194" s="26" t="n"/>
      <c r="Z194" s="26" t="n"/>
      <c r="AA194" s="26" t="n"/>
      <c r="AB194" s="26" t="n"/>
      <c r="AC194" s="26" t="n"/>
      <c r="AD194" s="26" t="n"/>
      <c r="AE194" s="26" t="n"/>
      <c r="AF194" s="26" t="n"/>
      <c r="AG194" s="26" t="n"/>
      <c r="AH194" s="26" t="n"/>
      <c r="AI194" s="26" t="n"/>
      <c r="AJ194" s="27" t="n"/>
    </row>
    <row r="195" s="3154" customFormat="1" ht="13.5" customHeight="1">
      <c r="A195" s="627" t="n"/>
      <c r="B195" s="26" t="n"/>
      <c r="C195" s="26" t="n"/>
      <c r="D195" s="26" t="n"/>
      <c r="E195" s="26" t="n"/>
      <c r="F195" s="26" t="n"/>
      <c r="G195" s="26" t="n"/>
      <c r="H195" s="26" t="n"/>
      <c r="I195" s="26" t="n"/>
      <c r="J195" s="26" t="n"/>
      <c r="K195" s="26" t="n"/>
      <c r="L195" s="26" t="n"/>
      <c r="M195" s="26" t="n"/>
      <c r="N195" s="26" t="n"/>
      <c r="O195" s="26" t="n"/>
      <c r="P195" s="26" t="n"/>
      <c r="Q195" s="26" t="n"/>
      <c r="R195" s="26" t="n"/>
      <c r="S195" s="26" t="n"/>
      <c r="T195" s="26" t="n"/>
      <c r="U195" s="26" t="n"/>
      <c r="V195" s="26" t="n"/>
      <c r="W195" s="26" t="n"/>
      <c r="X195" s="26" t="n"/>
      <c r="Y195" s="26" t="n"/>
      <c r="Z195" s="26" t="n"/>
      <c r="AA195" s="26" t="n"/>
      <c r="AB195" s="26" t="n"/>
      <c r="AC195" s="26" t="n"/>
      <c r="AD195" s="26" t="n"/>
      <c r="AE195" s="26" t="n"/>
      <c r="AF195" s="26" t="n"/>
      <c r="AG195" s="26" t="n"/>
      <c r="AH195" s="26" t="n"/>
      <c r="AI195" s="26" t="n"/>
      <c r="AJ195" s="27" t="n"/>
    </row>
    <row r="196" s="3154" customFormat="1" ht="13.5" customHeight="1">
      <c r="A196" s="2093" t="inlineStr">
        <is>
          <t xml:space="preserve">Personal Property</t>
        </is>
      </c>
      <c r="B196" s="26" t="n"/>
      <c r="C196" s="3997" t="n">
        <f t="array" ref="C196">'FFE-FF&amp;E'!J147</f>
        <v>280620.258975</v>
      </c>
      <c r="D196" s="3997" t="n"/>
      <c r="E196" s="26" t="n"/>
      <c r="F196" s="26" t="n"/>
      <c r="G196" s="26" t="n"/>
      <c r="H196" s="26" t="n"/>
      <c r="I196" s="26" t="n"/>
      <c r="J196" s="26" t="n"/>
      <c r="K196" s="26" t="n"/>
      <c r="L196" s="26" t="n"/>
      <c r="M196" s="26" t="n"/>
      <c r="N196" s="26" t="n"/>
      <c r="O196" s="26" t="n"/>
      <c r="P196" s="26" t="n"/>
      <c r="Q196" s="26" t="n"/>
      <c r="R196" s="26" t="n"/>
      <c r="S196" s="26" t="n"/>
      <c r="T196" s="26" t="n"/>
      <c r="U196" s="26" t="n"/>
      <c r="V196" s="26" t="n"/>
      <c r="W196" s="26" t="n"/>
      <c r="X196" s="26" t="n"/>
      <c r="Y196" s="26" t="n"/>
      <c r="Z196" s="26" t="n"/>
      <c r="AA196" s="26" t="n"/>
      <c r="AB196" s="26" t="n"/>
      <c r="AC196" s="26" t="n"/>
      <c r="AD196" s="26" t="n"/>
      <c r="AE196" s="26" t="n"/>
      <c r="AF196" s="26" t="n"/>
      <c r="AG196" s="26" t="n"/>
      <c r="AH196" s="26" t="n"/>
      <c r="AI196" s="26" t="n"/>
      <c r="AJ196" s="27" t="n"/>
    </row>
    <row r="197" s="3154" customFormat="1" ht="13.5" customHeight="1">
      <c r="A197" s="2093" t="inlineStr">
        <is>
          <t xml:space="preserve">Land Improvements</t>
        </is>
      </c>
      <c r="B197" s="26" t="n"/>
      <c r="C197" s="3364" t="n">
        <f t="array" ref="C197">C191</f>
        <v>250000</v>
      </c>
      <c r="D197" s="26" t="n"/>
      <c r="E197" s="26" t="n"/>
      <c r="F197" s="26" t="n"/>
      <c r="G197" s="26" t="n"/>
      <c r="H197" s="26" t="n"/>
      <c r="I197" s="26" t="n"/>
      <c r="J197" s="26" t="n"/>
      <c r="K197" s="26" t="n"/>
      <c r="L197" s="26" t="n"/>
      <c r="M197" s="26" t="n"/>
      <c r="N197" s="26" t="n"/>
      <c r="O197" s="26" t="n"/>
      <c r="P197" s="26" t="n"/>
      <c r="Q197" s="26" t="n"/>
      <c r="R197" s="26" t="n"/>
      <c r="S197" s="26" t="n"/>
      <c r="T197" s="26" t="n"/>
      <c r="U197" s="26" t="n"/>
      <c r="V197" s="26" t="n"/>
      <c r="W197" s="26" t="n"/>
      <c r="X197" s="26" t="n"/>
      <c r="Y197" s="26" t="n"/>
      <c r="Z197" s="26" t="n"/>
      <c r="AA197" s="26" t="n"/>
      <c r="AB197" s="26" t="n"/>
      <c r="AC197" s="26" t="n"/>
      <c r="AD197" s="26" t="n"/>
      <c r="AE197" s="26" t="n"/>
      <c r="AF197" s="26" t="n"/>
      <c r="AG197" s="26" t="n"/>
      <c r="AH197" s="26" t="n"/>
      <c r="AI197" s="26" t="n"/>
      <c r="AJ197" s="27" t="n"/>
    </row>
    <row r="198" s="3154" customFormat="1" ht="13.5" customHeight="1">
      <c r="A198" s="2094" t="inlineStr">
        <is>
          <t xml:space="preserve">New / Rehab Building</t>
        </is>
      </c>
      <c r="B198" s="163" t="n"/>
      <c r="C198" s="3998" t="n">
        <f t="array" ref="C198">C192-C196</f>
        <v>4846859.724982346</v>
      </c>
      <c r="D198" s="26" t="n"/>
      <c r="E198" s="26" t="n"/>
      <c r="F198" s="26" t="n"/>
      <c r="G198" s="26" t="n"/>
      <c r="H198" s="26" t="n"/>
      <c r="I198" s="26" t="n"/>
      <c r="J198" s="26" t="n"/>
      <c r="K198" s="26" t="n"/>
      <c r="L198" s="26" t="n"/>
      <c r="M198" s="26" t="n"/>
      <c r="N198" s="26" t="n"/>
      <c r="O198" s="26" t="n"/>
      <c r="P198" s="26" t="n"/>
      <c r="Q198" s="26" t="n"/>
      <c r="R198" s="26" t="n"/>
      <c r="S198" s="26" t="n"/>
      <c r="T198" s="26" t="n"/>
      <c r="U198" s="26" t="n"/>
      <c r="V198" s="26" t="n"/>
      <c r="W198" s="26" t="n"/>
      <c r="X198" s="26" t="n"/>
      <c r="Y198" s="26" t="n"/>
      <c r="Z198" s="26" t="n"/>
      <c r="AA198" s="26" t="n"/>
      <c r="AB198" s="26" t="n"/>
      <c r="AC198" s="26" t="n"/>
      <c r="AD198" s="26" t="n"/>
      <c r="AE198" s="26" t="n"/>
      <c r="AF198" s="26" t="n"/>
      <c r="AG198" s="26" t="n"/>
      <c r="AH198" s="26" t="n"/>
      <c r="AI198" s="26" t="n"/>
      <c r="AJ198" s="27" t="n"/>
    </row>
    <row r="199" s="3154" customFormat="1" ht="14.25" customHeight="1">
      <c r="A199" s="2095" t="inlineStr">
        <is>
          <t xml:space="preserve">Total Construction Contract</t>
        </is>
      </c>
      <c r="B199" s="3999" t="n"/>
      <c r="C199" s="4000" t="n">
        <f t="array" ref="C199">SUM(C196:C198)</f>
        <v>5377479.9839573465</v>
      </c>
      <c r="D199" s="26" t="n"/>
      <c r="E199" s="26" t="n"/>
      <c r="F199" s="26" t="n"/>
      <c r="G199" s="26" t="n"/>
      <c r="H199" s="26" t="n"/>
      <c r="I199" s="26" t="n"/>
      <c r="J199" s="26" t="n"/>
      <c r="K199" s="26" t="n"/>
      <c r="L199" s="26" t="n"/>
      <c r="M199" s="26" t="n"/>
      <c r="N199" s="26" t="n"/>
      <c r="O199" s="26" t="n"/>
      <c r="P199" s="26" t="n"/>
      <c r="Q199" s="26" t="n"/>
      <c r="R199" s="26" t="n"/>
      <c r="S199" s="26" t="n"/>
      <c r="T199" s="26" t="n"/>
      <c r="U199" s="26" t="n"/>
      <c r="V199" s="26" t="n"/>
      <c r="W199" s="26" t="n"/>
      <c r="X199" s="26" t="n"/>
      <c r="Y199" s="26" t="n"/>
      <c r="Z199" s="26" t="n"/>
      <c r="AA199" s="26" t="n"/>
      <c r="AB199" s="26" t="n"/>
      <c r="AC199" s="26" t="n"/>
      <c r="AD199" s="26" t="n"/>
      <c r="AE199" s="26" t="n"/>
      <c r="AF199" s="26" t="n"/>
      <c r="AG199" s="26" t="n"/>
      <c r="AH199" s="26" t="n"/>
      <c r="AI199" s="26" t="n"/>
      <c r="AJ199" s="27" t="n"/>
    </row>
    <row r="200" s="3154" customFormat="1" ht="13.5" customHeight="1">
      <c r="A200" s="1969" t="n"/>
      <c r="B200" s="1970" t="n"/>
      <c r="C200" s="1970" t="n"/>
      <c r="D200" s="26" t="n"/>
      <c r="E200" s="26" t="n"/>
      <c r="F200" s="26" t="n"/>
      <c r="G200" s="26" t="n"/>
      <c r="H200" s="26" t="n"/>
      <c r="I200" s="26" t="n"/>
      <c r="J200" s="26" t="n"/>
      <c r="K200" s="26" t="n"/>
      <c r="L200" s="26" t="n"/>
      <c r="M200" s="26" t="n"/>
      <c r="N200" s="26" t="n"/>
      <c r="O200" s="26" t="n"/>
      <c r="P200" s="26" t="n"/>
      <c r="Q200" s="26" t="n"/>
      <c r="R200" s="26" t="n"/>
      <c r="S200" s="26" t="n"/>
      <c r="T200" s="26" t="n"/>
      <c r="U200" s="26" t="n"/>
      <c r="V200" s="26" t="n"/>
      <c r="W200" s="26" t="n"/>
      <c r="X200" s="26" t="n"/>
      <c r="Y200" s="26" t="n"/>
      <c r="Z200" s="26" t="n"/>
      <c r="AA200" s="26" t="n"/>
      <c r="AB200" s="26" t="n"/>
      <c r="AC200" s="26" t="n"/>
      <c r="AD200" s="26" t="n"/>
      <c r="AE200" s="26" t="n"/>
      <c r="AF200" s="26" t="n"/>
      <c r="AG200" s="26" t="n"/>
      <c r="AH200" s="26" t="n"/>
      <c r="AI200" s="26" t="n"/>
      <c r="AJ200" s="27" t="n"/>
    </row>
    <row r="201" s="3154" customFormat="1" ht="13.5" customHeight="1">
      <c r="A201" s="2096" t="inlineStr">
        <is>
          <t xml:space="preserve">RECONCILIATION NOTE:</t>
        </is>
      </c>
      <c r="B201" s="26" t="n"/>
      <c r="C201" s="26" t="n"/>
      <c r="D201" s="26" t="n"/>
      <c r="E201" s="26" t="n"/>
      <c r="F201" s="26" t="n"/>
      <c r="G201" s="26" t="n"/>
      <c r="H201" s="26" t="n"/>
      <c r="I201" s="26" t="n"/>
      <c r="J201" s="26" t="n"/>
      <c r="K201" s="26" t="n"/>
      <c r="L201" s="26" t="n"/>
      <c r="M201" s="26" t="n"/>
      <c r="N201" s="26" t="n"/>
      <c r="O201" s="26" t="n"/>
      <c r="P201" s="26" t="n"/>
      <c r="Q201" s="26" t="n"/>
      <c r="R201" s="26" t="n"/>
      <c r="S201" s="26" t="n"/>
      <c r="T201" s="26" t="n"/>
      <c r="U201" s="26" t="n"/>
      <c r="V201" s="26" t="n"/>
      <c r="W201" s="26" t="n"/>
      <c r="X201" s="26" t="n"/>
      <c r="Y201" s="26" t="n"/>
      <c r="Z201" s="26" t="n"/>
      <c r="AA201" s="26" t="n"/>
      <c r="AB201" s="26" t="n"/>
      <c r="AC201" s="26" t="n"/>
      <c r="AD201" s="26" t="n"/>
      <c r="AE201" s="26" t="n"/>
      <c r="AF201" s="26" t="n"/>
      <c r="AG201" s="26" t="n"/>
      <c r="AH201" s="26" t="n"/>
      <c r="AI201" s="26" t="n"/>
      <c r="AJ201" s="27" t="n"/>
    </row>
    <row r="202" s="3154" customFormat="1" ht="13.5" customHeight="1">
      <c r="A202" s="2083" t="inlineStr">
        <is>
          <t xml:space="preserve">This Cost Detail uses the HUN-LVS template structure as supporting detail; Project Summary and JYI-Project Summary are the canonical 100-key cost views.</t>
        </is>
      </c>
      <c r="B202" s="26" t="n"/>
      <c r="C202" s="26" t="n"/>
      <c r="D202" s="26" t="n"/>
      <c r="E202" s="26" t="n"/>
      <c r="F202" s="26" t="n"/>
      <c r="G202" s="26" t="n"/>
      <c r="H202" s="26" t="n"/>
      <c r="I202" s="26" t="n"/>
      <c r="J202" s="26" t="n"/>
      <c r="K202" s="26" t="n"/>
      <c r="L202" s="26" t="n"/>
      <c r="M202" s="26" t="n"/>
      <c r="N202" s="26" t="n"/>
      <c r="O202" s="26" t="n"/>
      <c r="P202" s="26" t="n"/>
      <c r="Q202" s="26" t="n"/>
      <c r="R202" s="26" t="n"/>
      <c r="S202" s="26" t="n"/>
      <c r="T202" s="26" t="n"/>
      <c r="U202" s="26" t="n"/>
      <c r="V202" s="26" t="n"/>
      <c r="W202" s="26" t="n"/>
      <c r="X202" s="26" t="n"/>
      <c r="Y202" s="26" t="n"/>
      <c r="Z202" s="26" t="n"/>
      <c r="AA202" s="26" t="n"/>
      <c r="AB202" s="26" t="n"/>
      <c r="AC202" s="26" t="n"/>
      <c r="AD202" s="26" t="n"/>
      <c r="AE202" s="26" t="n"/>
      <c r="AF202" s="26" t="n"/>
      <c r="AG202" s="26" t="n"/>
      <c r="AH202" s="26" t="n"/>
      <c r="AI202" s="26" t="n"/>
      <c r="AJ202" s="27" t="n"/>
    </row>
    <row r="203" s="3154" customFormat="1" ht="13.5" customHeight="1">
      <c r="A203" s="2083" t="inlineStr">
        <is>
          <t xml:space="preserve">Current canonical project total is linked through Project Summary, Reconciliation, and Model Checks.</t>
        </is>
      </c>
      <c r="B203" s="26" t="n"/>
      <c r="C203" s="26" t="n"/>
      <c r="D203" s="26" t="n"/>
      <c r="E203" s="26" t="n"/>
      <c r="F203" s="26" t="n"/>
      <c r="G203" s="26" t="n"/>
      <c r="H203" s="26" t="n"/>
      <c r="I203" s="26" t="n"/>
      <c r="J203" s="26" t="n"/>
      <c r="K203" s="26" t="n"/>
      <c r="L203" s="26" t="n"/>
      <c r="M203" s="26" t="n"/>
      <c r="N203" s="26" t="n"/>
      <c r="O203" s="26" t="n"/>
      <c r="P203" s="26" t="n"/>
      <c r="Q203" s="26" t="n"/>
      <c r="R203" s="26" t="n"/>
      <c r="S203" s="26" t="n"/>
      <c r="T203" s="26" t="n"/>
      <c r="U203" s="26" t="n"/>
      <c r="V203" s="26" t="n"/>
      <c r="W203" s="26" t="n"/>
      <c r="X203" s="26" t="n"/>
      <c r="Y203" s="26" t="n"/>
      <c r="Z203" s="26" t="n"/>
      <c r="AA203" s="26" t="n"/>
      <c r="AB203" s="26" t="n"/>
      <c r="AC203" s="26" t="n"/>
      <c r="AD203" s="26" t="n"/>
      <c r="AE203" s="26" t="n"/>
      <c r="AF203" s="26" t="n"/>
      <c r="AG203" s="26" t="n"/>
      <c r="AH203" s="26" t="n"/>
      <c r="AI203" s="26" t="n"/>
      <c r="AJ203" s="27" t="n"/>
    </row>
    <row r="204" s="3154" customFormat="1" ht="13.5" customHeight="1">
      <c r="A204" s="2083" t="inlineStr">
        <is>
          <t xml:space="preserve">Differences should be treated as supporting-detail timing/categories unless they are explicitly linked into Project Summary.</t>
        </is>
      </c>
      <c r="B204" s="26" t="n"/>
      <c r="C204" s="26" t="n"/>
      <c r="D204" s="26" t="n"/>
      <c r="E204" s="26" t="n"/>
      <c r="F204" s="26" t="n"/>
      <c r="G204" s="26" t="n"/>
      <c r="H204" s="26" t="n"/>
      <c r="I204" s="26" t="n"/>
      <c r="J204" s="26" t="n"/>
      <c r="K204" s="26" t="n"/>
      <c r="L204" s="26" t="n"/>
      <c r="M204" s="26" t="n"/>
      <c r="N204" s="26" t="n"/>
      <c r="O204" s="26" t="n"/>
      <c r="P204" s="26" t="n"/>
      <c r="Q204" s="26" t="n"/>
      <c r="R204" s="26" t="n"/>
      <c r="S204" s="26" t="n"/>
      <c r="T204" s="26" t="n"/>
      <c r="U204" s="26" t="n"/>
      <c r="V204" s="26" t="n"/>
      <c r="W204" s="26" t="n"/>
      <c r="X204" s="26" t="n"/>
      <c r="Y204" s="26" t="n"/>
      <c r="Z204" s="26" t="n"/>
      <c r="AA204" s="26" t="n"/>
      <c r="AB204" s="26" t="n"/>
      <c r="AC204" s="26" t="n"/>
      <c r="AD204" s="26" t="n"/>
      <c r="AE204" s="26" t="n"/>
      <c r="AF204" s="26" t="n"/>
      <c r="AG204" s="26" t="n"/>
      <c r="AH204" s="26" t="n"/>
      <c r="AI204" s="26" t="n"/>
      <c r="AJ204" s="27" t="n"/>
    </row>
    <row r="205" s="3154" customFormat="1" ht="13.5" customHeight="1">
      <c r="A205" s="2097" t="inlineStr">
        <is>
          <t xml:space="preserve">USE PROJECT SUMMARY / JYI-PROJECT SUMMARY AS CANONICAL COST. Cost Detail remains supporting detail only.</t>
        </is>
      </c>
      <c r="B205" s="634" t="n"/>
      <c r="C205" s="634" t="n"/>
      <c r="D205" s="634" t="n"/>
      <c r="E205" s="634" t="n"/>
      <c r="F205" s="634" t="n"/>
      <c r="G205" s="634" t="n"/>
      <c r="H205" s="634" t="n"/>
      <c r="I205" s="634" t="n"/>
      <c r="J205" s="634" t="n"/>
      <c r="K205" s="634" t="n"/>
      <c r="L205" s="634" t="n"/>
      <c r="M205" s="634" t="n"/>
      <c r="N205" s="634" t="n"/>
      <c r="O205" s="634" t="n"/>
      <c r="P205" s="634" t="n"/>
      <c r="Q205" s="634" t="n"/>
      <c r="R205" s="634" t="n"/>
      <c r="S205" s="634" t="n"/>
      <c r="T205" s="634" t="n"/>
      <c r="U205" s="634" t="n"/>
      <c r="V205" s="634" t="n"/>
      <c r="W205" s="634" t="n"/>
      <c r="X205" s="634" t="n"/>
      <c r="Y205" s="634" t="n"/>
      <c r="Z205" s="634" t="n"/>
      <c r="AA205" s="634" t="n"/>
      <c r="AB205" s="634" t="n"/>
      <c r="AC205" s="634" t="n"/>
      <c r="AD205" s="634" t="n"/>
      <c r="AE205" s="634" t="n"/>
      <c r="AF205" s="634" t="n"/>
      <c r="AG205" s="634" t="n"/>
      <c r="AH205" s="634" t="n"/>
      <c r="AI205" s="634" t="n"/>
      <c r="AJ205" s="635" t="n"/>
    </row>
  </sheetData>
  <conditionalFormatting sqref="M70:M70">
    <cfRule type="cellIs" dxfId="0" priority="1" stopIfTrue="1" operator="lessThan">
      <formula>0</formula>
    </cfRule>
  </conditionalFormatting>
  <pageMargins left="0.7" right="0.7" top="0.75" bottom="0.75" header="0.3" footer="0.3"/>
  <legacyDrawing r:id="R110c8c4a8fb7422f"/>
</worksheet>
</file>

<file path=xl/worksheets/sheet15.xml><?xml version="1.0" encoding="utf-8"?>
<worksheet xmlns="http://schemas.openxmlformats.org/spreadsheetml/2006/main">
  <sheetViews>
    <sheetView showGridLines="0" workbookViewId="0"/>
  </sheetViews>
  <sheetFormatPr baseColWidth="8" defaultColWidth="8.333330154418945" defaultRowHeight="13.5"/>
  <cols>
    <col min="1" max="1" width="14.35159969329834" style="3136" customWidth="1"/>
    <col min="2" max="2" width="5.351560115814209" style="3136" customWidth="1"/>
    <col min="3" max="8" width="11.35159969329834" style="3136" customWidth="1"/>
    <col min="9" max="9" width="12.35159969329834" style="3136" customWidth="1"/>
    <col min="10" max="10" width="11.35159969329834" style="3136" customWidth="1"/>
    <col min="11" max="11" width="8.35155963897705" style="3136" customWidth="1"/>
    <col min="12" max="12" width="2.351560115814209" style="3136" customWidth="1"/>
    <col min="13" max="13" width="8.85155963897705" style="3136" customWidth="1"/>
    <col min="14" max="14" width="11.85159969329834" style="3136" customWidth="1"/>
    <col min="15" max="15" width="12.35159969329834" style="3136" customWidth="1"/>
    <col min="16" max="16" width="8.85155963897705" style="3136" customWidth="1"/>
    <col min="17" max="17" width="12.35159969329834" style="3136" customWidth="1"/>
    <col min="18" max="21" width="8.35155963897705" style="3136" customWidth="1"/>
    <col min="22" max="16384" width="8.35155963897705" style="3136" customWidth="1"/>
  </cols>
  <sheetData>
    <row r="1" s="3154" customFormat="1" ht="19.5" customHeight="1">
      <c r="A1" s="1890" t="inlineStr">
        <is>
          <t xml:space="preserve">CONSTRUCTION LOAN INTEREST CALCULATIONS</t>
        </is>
      </c>
      <c r="B1" s="153" t="n"/>
      <c r="C1" s="3222" t="n"/>
      <c r="D1" s="3222" t="n"/>
      <c r="E1" s="3222" t="n"/>
      <c r="F1" s="3222" t="n"/>
      <c r="G1" s="3222" t="n"/>
      <c r="H1" s="153" t="n"/>
      <c r="I1" s="538" t="n"/>
      <c r="J1" s="1891" t="inlineStr">
        <is>
          <t xml:space="preserve">MODEL REVISED: Mar 25, 2025</t>
        </is>
      </c>
      <c r="K1" s="2099" t="inlineStr">
        <is>
          <t xml:space="preserve">HIDE</t>
        </is>
      </c>
      <c r="L1" s="11" t="n"/>
      <c r="M1" s="11" t="n"/>
      <c r="N1" s="11" t="n"/>
      <c r="O1" s="11" t="n"/>
      <c r="P1" s="11" t="n"/>
      <c r="Q1" s="11" t="n"/>
      <c r="R1" s="11" t="n"/>
      <c r="S1" s="11" t="n"/>
      <c r="T1" s="11" t="n"/>
      <c r="U1" s="13" t="n"/>
    </row>
    <row r="2" s="3154" customFormat="1" ht="17.25" customHeight="1">
      <c r="A2" s="157" t="str">
        <f t="array" ref="A2">'Assumptions'!$D$6&amp;" / "&amp;'Assumptions'!$D$7&amp;" / "&amp;'Assumptions'!$D$9</f>
        <v>INDEPENDENT (No Flag) / SLEEP SPACE — 100-KEY PREFAB (50 EP + 50 E) / Austin, TX</v>
      </c>
      <c r="B2" s="158" t="n"/>
      <c r="C2" s="158" t="n"/>
      <c r="D2" s="158" t="n"/>
      <c r="E2" s="158" t="n"/>
      <c r="F2" s="158" t="n"/>
      <c r="G2" s="158" t="n"/>
      <c r="H2" s="158" t="n"/>
      <c r="I2" s="1894" t="n"/>
      <c r="J2" s="4002" t="n"/>
      <c r="K2" s="158" t="n"/>
      <c r="L2" s="2100" t="n"/>
      <c r="M2" s="429" t="inlineStr">
        <is>
          <t xml:space="preserve">&gt;&gt;OUT OF PRINT AREA</t>
        </is>
      </c>
      <c r="N2" s="26" t="n"/>
      <c r="O2" s="26" t="n"/>
      <c r="P2" s="26" t="n"/>
      <c r="Q2" s="26" t="n"/>
      <c r="R2" s="26" t="n"/>
      <c r="S2" s="26" t="n"/>
      <c r="T2" s="26" t="n"/>
      <c r="U2" s="27" t="n"/>
    </row>
    <row r="3" s="3154" customFormat="1" ht="13.5" customHeight="1">
      <c r="A3" s="580" t="str">
        <f t="array" ref="A3">'Assumptions'!$A$3</f>
        <v>Version Notes: Added 1st round of GPM Costs from Pinkerton and Laws. We anticipate further cost savings. </v>
      </c>
      <c r="B3" s="26" t="n"/>
      <c r="C3" s="26" t="n"/>
      <c r="D3" s="26" t="n"/>
      <c r="E3" s="26" t="n"/>
      <c r="F3" s="26" t="n"/>
      <c r="G3" s="26" t="n"/>
      <c r="H3" s="26" t="n"/>
      <c r="I3" s="2101" t="n"/>
      <c r="J3" s="2101" t="n"/>
      <c r="K3" s="26" t="n"/>
      <c r="L3" s="2100" t="n"/>
      <c r="M3" s="26" t="n"/>
      <c r="N3" s="26" t="n"/>
      <c r="O3" s="26" t="n"/>
      <c r="P3" s="26" t="n"/>
      <c r="Q3" s="26" t="n"/>
      <c r="R3" s="26" t="n"/>
      <c r="S3" s="26" t="n"/>
      <c r="T3" s="26" t="n"/>
      <c r="U3" s="27" t="n"/>
    </row>
    <row r="4" s="3154" customFormat="1" ht="13.5" customHeight="1">
      <c r="A4" s="627" t="str">
        <v>Bridge/construction interest modeled here and mirrored to JYI-Bank Loans.</v>
      </c>
      <c r="B4" s="26" t="n"/>
      <c r="C4" s="26" t="n"/>
      <c r="D4" s="26" t="n"/>
      <c r="E4" s="26" t="n"/>
      <c r="F4" s="26" t="n"/>
      <c r="G4" s="26" t="n"/>
      <c r="H4" s="26" t="n"/>
      <c r="I4" s="26" t="n"/>
      <c r="J4" s="26" t="n"/>
      <c r="K4" s="26" t="n"/>
      <c r="L4" s="2100" t="n"/>
      <c r="M4" s="26" t="n"/>
      <c r="N4" s="26" t="n"/>
      <c r="O4" s="26" t="n"/>
      <c r="P4" s="26" t="n"/>
      <c r="Q4" s="26" t="n"/>
      <c r="R4" s="26" t="n"/>
      <c r="S4" s="26" t="n"/>
      <c r="T4" s="26" t="n"/>
      <c r="U4" s="27" t="n"/>
    </row>
    <row r="5" s="3154" customFormat="1" ht="13.5" customHeight="1">
      <c r="A5" s="161" t="inlineStr">
        <is>
          <t xml:space="preserve">Construction Loan Amt</t>
        </is>
      </c>
      <c r="B5" s="26" t="n"/>
      <c r="C5" s="4003" t="n">
        <f t="array" ref="C5">'Assumptions'!D101</f>
        <v>5003304.429259213</v>
      </c>
      <c r="D5" s="26" t="n"/>
      <c r="E5" s="429" t="inlineStr">
        <is>
          <t xml:space="preserve">Construction Interest</t>
        </is>
      </c>
      <c r="F5" s="26" t="n"/>
      <c r="G5" s="26" t="n"/>
      <c r="H5" s="4003" t="n">
        <f t="array" ref="H5">SUMIF($A$10:$A$69,"Construction",$J$10:$J$69)</f>
        <v>0</v>
      </c>
      <c r="I5" s="26" t="n"/>
      <c r="J5" s="26" t="n"/>
      <c r="K5" s="26" t="n"/>
      <c r="L5" s="4550" t="str">
        <v>Bridge Loan Inputs</v>
      </c>
      <c r="M5" s="4550" t="n"/>
      <c r="N5" s="26" t="n"/>
      <c r="O5" s="26" t="n"/>
      <c r="P5" s="26" t="n"/>
      <c r="Q5" s="26" t="n"/>
      <c r="R5" s="26" t="n"/>
      <c r="S5" s="26" t="n"/>
      <c r="T5" s="26" t="n"/>
      <c r="U5" s="27" t="n"/>
    </row>
    <row r="6" s="3154" customFormat="1" ht="13.5" customHeight="1">
      <c r="A6" s="161" t="inlineStr">
        <is>
          <t xml:space="preserve">Interest Rate</t>
        </is>
      </c>
      <c r="B6" s="26" t="n"/>
      <c r="C6" s="2103" t="n">
        <f t="array" ref="C6">'Assumptions'!D93</f>
        <v>0.085</v>
      </c>
      <c r="D6" s="26" t="n"/>
      <c r="E6" s="2104" t="inlineStr">
        <is>
          <t xml:space="preserve">Construction Interest (Operations)</t>
        </is>
      </c>
      <c r="F6" s="26" t="n"/>
      <c r="G6" s="26" t="n"/>
      <c r="H6" s="4003" t="n">
        <f t="array" ref="H6">SUMIF($A$10:$A$69,"Operating",$J$10:$J$69)</f>
        <v>0</v>
      </c>
      <c r="I6" s="26" t="n"/>
      <c r="J6" s="26" t="n"/>
      <c r="K6" s="26" t="n"/>
      <c r="L6" s="2100" t="str">
        <v>Bridge Rate</v>
      </c>
      <c r="M6" s="4552" t="n">
        <v>0.055</v>
      </c>
      <c r="N6" s="429" t="inlineStr">
        <is>
          <t xml:space="preserve">MIN YEAR</t>
        </is>
      </c>
      <c r="O6" s="26" t="n"/>
      <c r="P6" s="26" t="e">
        <f t="array" ref="P6">MIN($M$10:$M$86)</f>
      </c>
      <c r="Q6" s="26" t="n"/>
      <c r="R6" s="26" t="n"/>
      <c r="S6" s="26" t="n"/>
      <c r="T6" s="26" t="n"/>
      <c r="U6" s="27" t="n"/>
    </row>
    <row r="7" s="3154" customFormat="1" ht="13.5" customHeight="1">
      <c r="A7" s="161" t="inlineStr">
        <is>
          <t xml:space="preserve">Term (mths)</t>
        </is>
      </c>
      <c r="B7" s="26" t="n"/>
      <c r="C7" s="4003" t="n">
        <f t="array" ref="C7">'Assumptions'!T92</f>
        <v>24</v>
      </c>
      <c r="D7" s="26" t="n"/>
      <c r="E7" s="429" t="inlineStr">
        <is>
          <t xml:space="preserve">Average Outstanding Balance</t>
        </is>
      </c>
      <c r="F7" s="26" t="n"/>
      <c r="G7" s="26" t="n"/>
      <c r="H7" s="2105" t="e">
        <f t="array" ref="H7">AVERAGE(G10:G46)/C5</f>
      </c>
      <c r="I7" s="26" t="n"/>
      <c r="J7" s="26" t="n"/>
      <c r="K7" s="26" t="n"/>
      <c r="L7" s="2100" t="str">
        <v>Draw Months</v>
      </c>
      <c r="M7" s="4552" t="n">
        <v>9</v>
      </c>
      <c r="N7" s="429" t="inlineStr">
        <is>
          <t xml:space="preserve">MAX YEAR</t>
        </is>
      </c>
      <c r="O7" s="26" t="n"/>
      <c r="P7" s="26" t="e">
        <f t="array" ref="P7">MAX($M$10:$M$86)</f>
      </c>
      <c r="Q7" s="26" t="n"/>
      <c r="R7" s="26" t="n"/>
      <c r="S7" s="26" t="n"/>
      <c r="T7" s="26" t="n"/>
      <c r="U7" s="27" t="n"/>
    </row>
    <row r="8" s="3154" customFormat="1" ht="13.5" customHeight="1">
      <c r="A8" s="627" t="n"/>
      <c r="B8" s="26" t="n"/>
      <c r="C8" s="26" t="n"/>
      <c r="D8" s="26" t="n"/>
      <c r="E8" s="26" t="n"/>
      <c r="F8" s="26" t="n"/>
      <c r="G8" s="26" t="n"/>
      <c r="H8" s="26" t="n"/>
      <c r="I8" s="26" t="n"/>
      <c r="J8" s="26" t="n"/>
      <c r="K8" s="26" t="n"/>
      <c r="L8" s="2100" t="str">
        <v>Avg Draw Factor</v>
      </c>
      <c r="M8" s="4552" t="n">
        <v>0.53</v>
      </c>
      <c r="N8" s="26" t="n"/>
      <c r="O8" s="26" t="n"/>
      <c r="P8" s="26" t="n"/>
      <c r="Q8" s="26" t="n"/>
      <c r="R8" s="26" t="n"/>
      <c r="S8" s="26" t="n"/>
      <c r="T8" s="26" t="n"/>
      <c r="U8" s="27" t="n"/>
    </row>
    <row r="9" s="3154" customFormat="1" ht="27" customHeight="1">
      <c r="A9" s="2106" t="inlineStr">
        <is>
          <t xml:space="preserve">ACTIVITY</t>
        </is>
      </c>
      <c r="B9" s="2107" t="inlineStr">
        <is>
          <t xml:space="preserve">MTH</t>
        </is>
      </c>
      <c r="C9" s="2107" t="inlineStr">
        <is>
          <t xml:space="preserve">TOTAL COSTS</t>
        </is>
      </c>
      <c r="D9" s="2107" t="inlineStr">
        <is>
          <t xml:space="preserve">EQUITY DRAWN</t>
        </is>
      </c>
      <c r="E9" s="2107" t="inlineStr">
        <is>
          <t xml:space="preserve">CUM EQUITY DRAWN</t>
        </is>
      </c>
      <c r="F9" s="2107" t="inlineStr">
        <is>
          <t xml:space="preserve">LOAN DRAWN</t>
        </is>
      </c>
      <c r="G9" s="2107" t="inlineStr">
        <is>
          <t xml:space="preserve">CUM LOAN DRAWN</t>
        </is>
      </c>
      <c r="H9" s="2107" t="inlineStr">
        <is>
          <t xml:space="preserve">TOTAL CAPITAL</t>
        </is>
      </c>
      <c r="I9" s="2107" t="inlineStr">
        <is>
          <t xml:space="preserve">CUM CAPITAL DRAWN</t>
        </is>
      </c>
      <c r="J9" s="2107" t="inlineStr">
        <is>
          <t xml:space="preserve">INTEREST @ 8.5%</t>
        </is>
      </c>
      <c r="K9" s="26" t="n"/>
      <c r="L9" s="2100" t="str">
        <v>Est. Bridge Interest</v>
      </c>
      <c r="M9" s="2108" t="n">
        <f>'JYI-Bank Loans'!E27</f>
        <v>109385</v>
      </c>
      <c r="N9" s="2109" t="inlineStr">
        <is>
          <t xml:space="preserve">CUM/YR</t>
        </is>
      </c>
      <c r="O9" s="2110" t="n"/>
      <c r="P9" s="226" t="n"/>
      <c r="Q9" s="226" t="n"/>
      <c r="R9" s="226" t="n"/>
      <c r="S9" s="226" t="n"/>
      <c r="T9" s="226" t="n"/>
      <c r="U9" s="227" t="n"/>
    </row>
    <row r="10" s="3154" customFormat="1" ht="13.5" customHeight="1">
      <c r="A10" s="2111" t="str">
        <f t="array" ref="A10">IF('Cost Outflows'!$B71&lt;=$C$7,'Cost Outflows'!$A71,"")</f>
        <v>Pre-Development</v>
      </c>
      <c r="B10" s="26" t="n">
        <f t="array" ref="B10">IF('Cost Outflows'!$B71&lt;=$C$7,'Cost Outflows'!$B71,"")</f>
        <v>0</v>
      </c>
      <c r="C10" s="4004" t="n">
        <f t="array" ref="C10">IF('Cost Outflows'!$B71&lt;=$C$7,'Cost Outflows'!$L71,"")</f>
        <v>1214661</v>
      </c>
      <c r="D10" s="4005" t="n">
        <f t="array" ref="D10">IF(C10="","",IF($C10&lt;='Assumptions'!$D$104,$C10,'Assumptions'!$D$104))</f>
        <v>1214661</v>
      </c>
      <c r="E10" s="4004" t="n">
        <f t="array" ref="E10">D10</f>
        <v>1214661</v>
      </c>
      <c r="F10" s="4005" t="n">
        <f t="array" ref="F10">C10-D10</f>
        <v>0</v>
      </c>
      <c r="G10" s="4004" t="n">
        <f t="array" ref="G10">F10</f>
        <v>0</v>
      </c>
      <c r="H10" s="4005" t="n">
        <f t="array" ref="H10">D10+F10</f>
        <v>1214661</v>
      </c>
      <c r="I10" s="3322" t="n">
        <f t="array" ref="I10">H10</f>
        <v>1214661</v>
      </c>
      <c r="J10" s="3322" t="n">
        <f t="array" ref="J10">IF($B10&lt;'Assumptions'!$T$93,$G10*'Assumptions'!$D$93/12,0)</f>
        <v>0</v>
      </c>
      <c r="K10" s="38" t="str">
        <f t="array" ref="K10">IF(J10="","HIDE","")</f>
        <v>HIDE</v>
      </c>
      <c r="L10" s="2100" t="n"/>
      <c r="M10" s="211" t="str">
        <f t="array" ref="M10">IF(B10="","",VLOOKUP(B10,'S&amp;U-Timeline'!$P$9:$Q$81,2,0))</f>
      </c>
      <c r="N10" s="2114" t="e">
        <f t="array" ref="N10">P6</f>
      </c>
      <c r="O10" s="4006" t="e">
        <f t="array" ref="O10">IF($N10="","",SUMIF($M$10:$M$86,$N10,$J$10:$J$86))</f>
      </c>
      <c r="P10" s="26" t="n"/>
      <c r="Q10" s="26" t="n"/>
      <c r="R10" s="26" t="n"/>
      <c r="S10" s="26" t="n"/>
      <c r="T10" s="26" t="n"/>
      <c r="U10" s="27" t="n"/>
    </row>
    <row r="11" s="3154" customFormat="1" ht="13.5" customHeight="1">
      <c r="A11" s="2111" t="e">
        <f t="array" ref="A11">IF('Cost Outflows'!$B72&lt;=$C$7,'Cost Outflows'!$A72,"")</f>
      </c>
      <c r="B11" s="26" t="e">
        <f t="array" ref="B11">IF('Cost Outflows'!B72&lt;=$C$7,'Cost Outflows'!B72,"")</f>
      </c>
      <c r="C11" s="4004" t="e">
        <f t="array" ref="C11">IF('Cost Outflows'!$B72&lt;=$C$7,'Cost Outflows'!$L72,"")</f>
      </c>
      <c r="D11" s="4005" t="e">
        <f t="array" ref="D11">IF(C11="","",IF($E10&gt;='Assumptions'!$D$104,0,IF((E10+C11)&gt;='Assumptions'!$D$104,'Assumptions'!$D$104-$E10,$C11)))</f>
      </c>
      <c r="E11" s="4004" t="e">
        <f t="array" ref="E11">IF(C11="","",E10+D11)</f>
      </c>
      <c r="F11" s="4005" t="e">
        <f t="array" ref="F11">IF(C11="","",C11-D11)</f>
      </c>
      <c r="G11" s="4004" t="e">
        <f t="array" ref="G11">IF(C11="","",F11+G10)</f>
      </c>
      <c r="H11" s="4005" t="e">
        <f t="array" ref="H11">IF(C11="","",D11+F11)</f>
      </c>
      <c r="I11" s="3322" t="e">
        <f t="array" ref="I11">IF(C11="","",H11+I10)</f>
      </c>
      <c r="J11" s="3322" t="e">
        <f t="array" ref="J11">IF(B11="","",IF($B11&lt;'Assumptions'!$T$93,$G11*'Assumptions'!$D$93/12,0))</f>
      </c>
      <c r="K11" s="38" t="e">
        <f t="array" ref="K11">IF(J11="","HIDE","")</f>
      </c>
      <c r="L11" s="2100" t="n"/>
      <c r="M11" s="211" t="e">
        <f t="array" ref="M11">IF(B11="","",VLOOKUP(B11,'S&amp;U-Timeline'!$P$9:$Q$81,2,0))</f>
      </c>
      <c r="N11" s="2114" t="e">
        <f t="array" ref="N11">IF(N10="","",IF(N10+1&lt;=$P$7,N10+1,""))</f>
      </c>
      <c r="O11" s="4006" t="e">
        <f t="array" ref="O11">IF($N11="","",SUMIF($M$10:$M$86,$N11,$J$10:$J$86))</f>
      </c>
      <c r="P11" s="26" t="n"/>
      <c r="Q11" s="26" t="n"/>
      <c r="R11" s="26" t="n"/>
      <c r="S11" s="26" t="n"/>
      <c r="T11" s="26" t="n"/>
      <c r="U11" s="27" t="n"/>
    </row>
    <row r="12" s="3154" customFormat="1" ht="13.5" customHeight="1">
      <c r="A12" s="2111" t="e">
        <f t="array" ref="A12">IF('Cost Outflows'!$B73&lt;=$C$7,'Cost Outflows'!$A73,"")</f>
      </c>
      <c r="B12" s="26" t="e">
        <f t="array" ref="B12">IF('Cost Outflows'!B73&lt;=$C$7,'Cost Outflows'!B73,"")</f>
      </c>
      <c r="C12" s="4004" t="e">
        <f t="array" ref="C12">IF('Cost Outflows'!$B73&lt;=$C$7,'Cost Outflows'!$L73,"")</f>
      </c>
      <c r="D12" s="4005" t="e">
        <f t="array" ref="D12">IF(C12="","",IF($E11&gt;='Assumptions'!$D$104,0,IF((E11+C12)&gt;='Assumptions'!$D$104,'Assumptions'!$D$104-$E11,$C12)))</f>
      </c>
      <c r="E12" s="4004" t="e">
        <f t="array" ref="E12">IF(C12="","",E11+D12)</f>
      </c>
      <c r="F12" s="4005" t="e">
        <f t="array" ref="F12">IF(C12="","",C12-D12)</f>
      </c>
      <c r="G12" s="4004" t="e">
        <f t="array" ref="G12">IF(C12="","",F12+G11)</f>
      </c>
      <c r="H12" s="4005" t="e">
        <f t="array" ref="H12">IF(C12="","",D12+F12)</f>
      </c>
      <c r="I12" s="3322" t="e">
        <f t="array" ref="I12">IF(C12="","",H12+I11)</f>
      </c>
      <c r="J12" s="3322" t="e">
        <f t="array" ref="J12">IF(B12="","",IF($B12&lt;'Assumptions'!$T$93,$G12*'Assumptions'!$D$93/12,0))</f>
      </c>
      <c r="K12" s="38" t="e">
        <f t="array" ref="K12">IF(J12="","HIDE","")</f>
      </c>
      <c r="L12" s="2100" t="n"/>
      <c r="M12" s="211" t="e">
        <f t="array" ref="M12">IF(B12="","",VLOOKUP(B12,'S&amp;U-Timeline'!$P$9:$Q$81,2,0))</f>
      </c>
      <c r="N12" s="2114" t="e">
        <f t="array" ref="N12">IF(N11="","",IF(N11+1&lt;=$P$7,N11+1,""))</f>
      </c>
      <c r="O12" s="4006" t="e">
        <f t="array" ref="O12">IF($N12="","",SUMIF($M$10:$M$86,$N12,$J$10:$J$86))</f>
      </c>
      <c r="P12" s="26" t="n"/>
      <c r="Q12" s="26" t="n"/>
      <c r="R12" s="26" t="n"/>
      <c r="S12" s="26" t="n"/>
      <c r="T12" s="26" t="n"/>
      <c r="U12" s="27" t="n"/>
    </row>
    <row r="13" s="3154" customFormat="1" ht="13.5" customHeight="1">
      <c r="A13" s="2111" t="e">
        <f t="array" ref="A13">IF('Cost Outflows'!$B74&lt;=$C$7,'Cost Outflows'!$A74,"")</f>
      </c>
      <c r="B13" s="26" t="e">
        <f t="array" ref="B13">IF('Cost Outflows'!B74&lt;=$C$7,'Cost Outflows'!B74,"")</f>
      </c>
      <c r="C13" s="4004" t="e">
        <f t="array" ref="C13">IF('Cost Outflows'!$B74&lt;=$C$7,'Cost Outflows'!$L74,"")</f>
      </c>
      <c r="D13" s="4005" t="e">
        <f t="array" ref="D13">IF(C13="","",IF($E12&gt;='Assumptions'!$D$104,0,IF((E12+C13)&gt;='Assumptions'!$D$104,'Assumptions'!$D$104-$E12,$C13)))</f>
      </c>
      <c r="E13" s="4004" t="e">
        <f t="array" ref="E13">IF(C13="","",E12+D13)</f>
      </c>
      <c r="F13" s="4005" t="e">
        <f t="array" ref="F13">IF(C13="","",C13-D13)</f>
      </c>
      <c r="G13" s="4004" t="e">
        <f t="array" ref="G13">IF(C13="","",F13+G12)</f>
      </c>
      <c r="H13" s="4005" t="e">
        <f t="array" ref="H13">IF(C13="","",D13+F13)</f>
      </c>
      <c r="I13" s="3322" t="e">
        <f t="array" ref="I13">IF(C13="","",H13+I12)</f>
      </c>
      <c r="J13" s="3322" t="e">
        <f t="array" ref="J13">IF(B13="","",IF($B13&lt;'Assumptions'!$T$93,$G13*'Assumptions'!$D$93/12,0))</f>
      </c>
      <c r="K13" s="38" t="e">
        <f t="array" ref="K13">IF(J13="","HIDE","")</f>
      </c>
      <c r="L13" s="2100" t="n"/>
      <c r="M13" s="211" t="e">
        <f t="array" ref="M13">IF(B13="","",VLOOKUP(B13,'S&amp;U-Timeline'!$P$9:$Q$81,2,0))</f>
      </c>
      <c r="N13" s="2116" t="e">
        <f t="array" ref="N13">IF(N12="","",IF(N12+1&lt;=$P$7,N12+1,""))</f>
      </c>
      <c r="O13" s="2117" t="e">
        <f t="array" ref="O13">IF($N13="","",SUMIF($M$10:$M$86,$N13,$J$10:$J$86))</f>
      </c>
      <c r="P13" s="26" t="n"/>
      <c r="Q13" s="26" t="n"/>
      <c r="R13" s="26" t="n"/>
      <c r="S13" s="26" t="n"/>
      <c r="T13" s="26" t="n"/>
      <c r="U13" s="27" t="n"/>
    </row>
    <row r="14" s="3154" customFormat="1" ht="13.5" customHeight="1">
      <c r="A14" s="2111" t="e">
        <f t="array" ref="A14">IF('Cost Outflows'!$B75&lt;=$C$7,'Cost Outflows'!$A75,"")</f>
      </c>
      <c r="B14" s="26" t="e">
        <f t="array" ref="B14">IF('Cost Outflows'!B75&lt;=$C$7,'Cost Outflows'!B75,"")</f>
      </c>
      <c r="C14" s="4004" t="e">
        <f t="array" ref="C14">IF('Cost Outflows'!$B75&lt;=$C$7,'Cost Outflows'!$L75,"")</f>
      </c>
      <c r="D14" s="4005" t="e">
        <f t="array" ref="D14">IF(C14="","",IF($E13&gt;='Assumptions'!$D$104,0,IF((E13+C14)&gt;='Assumptions'!$D$104,'Assumptions'!$D$104-$E13,$C14)))</f>
      </c>
      <c r="E14" s="4004" t="e">
        <f t="array" ref="E14">IF(C14="","",E13+D14)</f>
      </c>
      <c r="F14" s="4005" t="e">
        <f t="array" ref="F14">IF(C14="","",C14-D14)</f>
      </c>
      <c r="G14" s="4004" t="e">
        <f t="array" ref="G14">IF(C14="","",F14+G13)</f>
      </c>
      <c r="H14" s="4005" t="e">
        <f t="array" ref="H14">IF(C14="","",D14+F14)</f>
      </c>
      <c r="I14" s="3322" t="e">
        <f t="array" ref="I14">IF(C14="","",H14+I13)</f>
      </c>
      <c r="J14" s="3322" t="e">
        <f t="array" ref="J14">IF(B14="","",IF($B14&lt;'Assumptions'!$T$93,$G14*'Assumptions'!$D$93/12,0))</f>
      </c>
      <c r="K14" s="38" t="e">
        <f t="array" ref="K14">IF(J14="","HIDE","")</f>
      </c>
      <c r="L14" s="2100" t="n"/>
      <c r="M14" s="211" t="e">
        <f t="array" ref="M14">IF(B14="","",VLOOKUP(B14,'S&amp;U-Timeline'!$P$9:$Q$81,2,0))</f>
      </c>
      <c r="N14" s="2116" t="e">
        <f t="array" ref="N14">IF(N13="","",IF(N13+1&lt;=$P$7,N13+1,""))</f>
      </c>
      <c r="O14" s="2117" t="e">
        <f t="array" ref="O14">IF($N14="","",SUMIF($M$10:$M$86,$N14,$J$10:$J$86))</f>
      </c>
      <c r="P14" s="26" t="n"/>
      <c r="Q14" s="26" t="n"/>
      <c r="R14" s="26" t="n"/>
      <c r="S14" s="26" t="n"/>
      <c r="T14" s="26" t="n"/>
      <c r="U14" s="27" t="n"/>
    </row>
    <row r="15" s="3154" customFormat="1" ht="13.5" customHeight="1">
      <c r="A15" s="2111" t="e">
        <f t="array" ref="A15">IF('Cost Outflows'!$B76&lt;=$C$7,'Cost Outflows'!$A76,"")</f>
      </c>
      <c r="B15" s="26" t="e">
        <f t="array" ref="B15">IF('Cost Outflows'!B76&lt;=$C$7,'Cost Outflows'!B76,"")</f>
      </c>
      <c r="C15" s="4004" t="e">
        <f t="array" ref="C15">IF('Cost Outflows'!$B76&lt;=$C$7,'Cost Outflows'!$L76,"")</f>
      </c>
      <c r="D15" s="4005" t="e">
        <f t="array" ref="D15">IF(C15="","",IF($E14&gt;='Assumptions'!$D$104,0,IF((E14+C15)&gt;='Assumptions'!$D$104,'Assumptions'!$D$104-$E14,$C15)))</f>
      </c>
      <c r="E15" s="4004" t="e">
        <f t="array" ref="E15">IF(C15="","",E14+D15)</f>
      </c>
      <c r="F15" s="4005" t="e">
        <f t="array" ref="F15">IF(C15="","",C15-D15)</f>
      </c>
      <c r="G15" s="4004" t="e">
        <f t="array" ref="G15">IF(C15="","",F15+G14)</f>
      </c>
      <c r="H15" s="4005" t="e">
        <f t="array" ref="H15">IF(C15="","",D15+F15)</f>
      </c>
      <c r="I15" s="3322" t="e">
        <f t="array" ref="I15">IF(C15="","",H15+I14)</f>
      </c>
      <c r="J15" s="3322" t="e">
        <f t="array" ref="J15">IF(B15="","",IF($B15&lt;'Assumptions'!$T$93,$G15*'Assumptions'!$D$93/12,0))</f>
      </c>
      <c r="K15" s="38" t="e">
        <f t="array" ref="K15">IF(J15="","HIDE","")</f>
      </c>
      <c r="L15" s="2100" t="n"/>
      <c r="M15" s="211" t="e">
        <f t="array" ref="M15">IF(B15="","",VLOOKUP(B15,'S&amp;U-Timeline'!$P$9:$Q$81,2,0))</f>
      </c>
      <c r="N15" s="2116" t="e">
        <f t="array" ref="N15">IF(N14="","",IF(N14+1&lt;=$P$7,N14+1,""))</f>
      </c>
      <c r="O15" s="2117" t="e">
        <f t="array" ref="O15">IF($N15="","",SUMIF($M$10:$M$86,$N15,$J$10:$J$86))</f>
      </c>
      <c r="P15" s="26" t="n"/>
      <c r="Q15" s="26" t="n"/>
      <c r="R15" s="26" t="n"/>
      <c r="S15" s="26" t="n"/>
      <c r="T15" s="26" t="n"/>
      <c r="U15" s="27" t="n"/>
    </row>
    <row r="16" s="3154" customFormat="1" ht="13.5" customHeight="1">
      <c r="A16" s="2111" t="e">
        <f t="array" ref="A16">IF('Cost Outflows'!$B77&lt;=$C$7,'Cost Outflows'!$A77,"")</f>
      </c>
      <c r="B16" s="26" t="e">
        <f t="array" ref="B16">IF('Cost Outflows'!B77&lt;=$C$7,'Cost Outflows'!B77,"")</f>
      </c>
      <c r="C16" s="4004" t="e">
        <f t="array" ref="C16">IF('Cost Outflows'!$B77&lt;=$C$7,'Cost Outflows'!$L77,"")</f>
      </c>
      <c r="D16" s="4005" t="e">
        <f t="array" ref="D16">IF(C16="","",IF($E15&gt;='Assumptions'!$D$104,0,IF((E15+C16)&gt;='Assumptions'!$D$104,'Assumptions'!$D$104-$E15,$C16)))</f>
      </c>
      <c r="E16" s="4004" t="e">
        <f t="array" ref="E16">IF(C16="","",E15+D16)</f>
      </c>
      <c r="F16" s="4005" t="e">
        <f t="array" ref="F16">IF(C16="","",C16-D16)</f>
      </c>
      <c r="G16" s="4004" t="e">
        <f t="array" ref="G16">IF(C16="","",F16+G15)</f>
      </c>
      <c r="H16" s="4005" t="e">
        <f t="array" ref="H16">IF(C16="","",D16+F16)</f>
      </c>
      <c r="I16" s="3322" t="e">
        <f t="array" ref="I16">IF(C16="","",H16+I15)</f>
      </c>
      <c r="J16" s="3322" t="e">
        <f t="array" ref="J16">IF(B16="","",IF($B16&lt;'Assumptions'!$T$93,$G16*'Assumptions'!$D$93/12,0))</f>
      </c>
      <c r="K16" s="38" t="e">
        <f t="array" ref="K16">IF(J16="","HIDE","")</f>
      </c>
      <c r="L16" s="2100" t="n"/>
      <c r="M16" s="211" t="e">
        <f t="array" ref="M16">IF(B16="","",VLOOKUP(B16,'S&amp;U-Timeline'!$P$9:$Q$81,2,0))</f>
      </c>
      <c r="N16" s="2116" t="e">
        <f t="array" ref="N16">IF(N15="","",IF(N15+1&lt;=$P$7,N15+1,""))</f>
      </c>
      <c r="O16" s="2117" t="e">
        <f t="array" ref="O16">IF($N16="","",SUMIF($M$10:$M$86,$N16,$J$10:$J$86))</f>
      </c>
      <c r="P16" s="26" t="n"/>
      <c r="Q16" s="26" t="n"/>
      <c r="R16" s="26" t="n"/>
      <c r="S16" s="26" t="n"/>
      <c r="T16" s="26" t="n"/>
      <c r="U16" s="27" t="n"/>
    </row>
    <row r="17" s="3154" customFormat="1" ht="13.5" customHeight="1">
      <c r="A17" s="2111" t="e">
        <f t="array" ref="A17">IF('Cost Outflows'!$B78&lt;=$C$7,'Cost Outflows'!$A78,"")</f>
      </c>
      <c r="B17" s="26" t="e">
        <f t="array" ref="B17">IF('Cost Outflows'!B78&lt;=$C$7,'Cost Outflows'!B78,"")</f>
      </c>
      <c r="C17" s="4004" t="e">
        <f t="array" ref="C17">IF('Cost Outflows'!$B78&lt;=$C$7,'Cost Outflows'!$L78,"")</f>
      </c>
      <c r="D17" s="4005" t="e">
        <f t="array" ref="D17">IF(C17="","",IF($E16&gt;='Assumptions'!$D$104,0,IF((E16+C17)&gt;='Assumptions'!$D$104,'Assumptions'!$D$104-$E16,$C17)))</f>
      </c>
      <c r="E17" s="4004" t="e">
        <f t="array" ref="E17">IF(C17="","",E16+D17)</f>
      </c>
      <c r="F17" s="4005" t="e">
        <f t="array" ref="F17">IF(C17="","",C17-D17)</f>
      </c>
      <c r="G17" s="4004" t="e">
        <f t="array" ref="G17">IF(C17="","",F17+G16)</f>
      </c>
      <c r="H17" s="4005" t="e">
        <f t="array" ref="H17">IF(C17="","",D17+F17)</f>
      </c>
      <c r="I17" s="3322" t="e">
        <f t="array" ref="I17">IF(C17="","",H17+I16)</f>
      </c>
      <c r="J17" s="3322" t="e">
        <f t="array" ref="J17">IF(B17="","",IF($B17&lt;'Assumptions'!$T$93,$G17*'Assumptions'!$D$93/12,0))</f>
      </c>
      <c r="K17" s="38" t="e">
        <f t="array" ref="K17">IF(J17="","HIDE","")</f>
      </c>
      <c r="L17" s="2100" t="n"/>
      <c r="M17" s="211" t="e">
        <f t="array" ref="M17">IF(B17="","",VLOOKUP(B17,'S&amp;U-Timeline'!$P$9:$Q$81,2,0))</f>
      </c>
      <c r="N17" s="2116" t="e">
        <f t="array" ref="N17">IF(N16="","",IF(N16+1&lt;=$P$7,N16+1,""))</f>
      </c>
      <c r="O17" s="2117" t="e">
        <f t="array" ref="O17">IF($N17="","",SUMIF($M$10:$M$86,$N17,$J$10:$J$86))</f>
      </c>
      <c r="P17" s="26" t="n"/>
      <c r="Q17" s="26" t="n"/>
      <c r="R17" s="26" t="n"/>
      <c r="S17" s="26" t="n"/>
      <c r="T17" s="26" t="n"/>
      <c r="U17" s="27" t="n"/>
    </row>
    <row r="18" s="3154" customFormat="1" ht="13.5" customHeight="1">
      <c r="A18" s="2111" t="e">
        <f t="array" ref="A18">IF('Cost Outflows'!$B79&lt;=$C$7,'Cost Outflows'!$A79,"")</f>
      </c>
      <c r="B18" s="26" t="e">
        <f t="array" ref="B18">IF('Cost Outflows'!B79&lt;=$C$7,'Cost Outflows'!B79,"")</f>
      </c>
      <c r="C18" s="4004" t="e">
        <f t="array" ref="C18">IF('Cost Outflows'!$B79&lt;=$C$7,'Cost Outflows'!$L79,"")</f>
      </c>
      <c r="D18" s="4005" t="e">
        <f t="array" ref="D18">IF(C18="","",IF($E17&gt;='Assumptions'!$D$104,0,IF((E17+C18)&gt;='Assumptions'!$D$104,'Assumptions'!$D$104-$E17,$C18)))</f>
      </c>
      <c r="E18" s="4004" t="e">
        <f t="array" ref="E18">IF(C18="","",E17+D18)</f>
      </c>
      <c r="F18" s="4005" t="e">
        <f t="array" ref="F18">IF(C18="","",C18-D18)</f>
      </c>
      <c r="G18" s="4004" t="e">
        <f t="array" ref="G18">IF(C18="","",F18+G17)</f>
      </c>
      <c r="H18" s="4005" t="e">
        <f t="array" ref="H18">IF(C18="","",D18+F18)</f>
      </c>
      <c r="I18" s="3322" t="e">
        <f t="array" ref="I18">IF(C18="","",H18+I17)</f>
      </c>
      <c r="J18" s="3322" t="e">
        <f t="array" ref="J18">IF(B18="","",IF($B18&lt;'Assumptions'!$T$93,$G18*'Assumptions'!$D$93/12,0))</f>
      </c>
      <c r="K18" s="38" t="e">
        <f t="array" ref="K18">IF(J18="","HIDE","")</f>
      </c>
      <c r="L18" s="2100" t="n"/>
      <c r="M18" s="211" t="e">
        <f t="array" ref="M18">IF(B18="","",VLOOKUP(B18,'S&amp;U-Timeline'!$P$9:$Q$81,2,0))</f>
      </c>
      <c r="N18" s="2116" t="e">
        <f t="array" ref="N18">IF(N17="","",IF(N17+1&lt;=$P$7,N17+1,""))</f>
      </c>
      <c r="O18" s="2117" t="e">
        <f t="array" ref="O18">IF($N18="","",SUMIF($M$10:$M$86,$N18,$J$10:$J$86))</f>
      </c>
      <c r="P18" s="26" t="n"/>
      <c r="Q18" s="26" t="n"/>
      <c r="R18" s="26" t="n"/>
      <c r="S18" s="26" t="n"/>
      <c r="T18" s="26" t="n"/>
      <c r="U18" s="27" t="n"/>
    </row>
    <row r="19" s="3154" customFormat="1" ht="13.5" customHeight="1">
      <c r="A19" s="2111" t="e">
        <f t="array" ref="A19">IF('Cost Outflows'!$B80&lt;=$C$7,'Cost Outflows'!$A80,"")</f>
      </c>
      <c r="B19" s="26" t="e">
        <f t="array" ref="B19">IF('Cost Outflows'!B80&lt;=$C$7,'Cost Outflows'!B80,"")</f>
      </c>
      <c r="C19" s="4004" t="e">
        <f t="array" ref="C19">IF('Cost Outflows'!$B80&lt;=$C$7,'Cost Outflows'!$L80,"")</f>
      </c>
      <c r="D19" s="4005" t="e">
        <f t="array" ref="D19">IF(C19="","",IF($E18&gt;='Assumptions'!$D$104,0,IF((E18+C19)&gt;='Assumptions'!$D$104,'Assumptions'!$D$104-$E18,$C19)))</f>
      </c>
      <c r="E19" s="4004" t="e">
        <f t="array" ref="E19">IF(C19="","",E18+D19)</f>
      </c>
      <c r="F19" s="4005" t="e">
        <f t="array" ref="F19">IF(C19="","",C19-D19)</f>
      </c>
      <c r="G19" s="4004" t="e">
        <f t="array" ref="G19">IF(C19="","",F19+G18)</f>
      </c>
      <c r="H19" s="4005" t="e">
        <f t="array" ref="H19">IF(C19="","",D19+F19)</f>
      </c>
      <c r="I19" s="3322" t="e">
        <f t="array" ref="I19">IF(C19="","",H19+I18)</f>
      </c>
      <c r="J19" s="3322" t="e">
        <f t="array" ref="J19">IF(B19="","",IF($B19&lt;'Assumptions'!$T$93,$G19*'Assumptions'!$D$93/12,0))</f>
      </c>
      <c r="K19" s="38" t="e">
        <f t="array" ref="K19">IF(J19="","HIDE","")</f>
      </c>
      <c r="L19" s="2100" t="n"/>
      <c r="M19" s="211" t="e">
        <f t="array" ref="M19">IF(B19="","",VLOOKUP(B19,'S&amp;U-Timeline'!$P$9:$Q$81,2,0))</f>
      </c>
      <c r="N19" s="2116" t="e">
        <f t="array" ref="N19">IF(N18="","",IF(N18+1&lt;=$P$7,N18+1,""))</f>
      </c>
      <c r="O19" s="2117" t="e">
        <f t="array" ref="O19">IF($N19="","",SUMIF($M$10:$M$86,$N19,$J$10:$J$86))</f>
      </c>
      <c r="P19" s="26" t="n"/>
      <c r="Q19" s="26" t="n"/>
      <c r="R19" s="26" t="n"/>
      <c r="S19" s="26" t="n"/>
      <c r="T19" s="26" t="n"/>
      <c r="U19" s="27" t="n"/>
    </row>
    <row r="20" s="3154" customFormat="1" ht="13.5" customHeight="1">
      <c r="A20" s="2111" t="e">
        <f t="array" ref="A20">IF('Cost Outflows'!$B81&lt;=$C$7,'Cost Outflows'!$A81,"")</f>
      </c>
      <c r="B20" s="26" t="e">
        <f t="array" ref="B20">IF('Cost Outflows'!B81&lt;=$C$7,'Cost Outflows'!B81,"")</f>
      </c>
      <c r="C20" s="4004" t="e">
        <f t="array" ref="C20">IF('Cost Outflows'!$B81&lt;=$C$7,'Cost Outflows'!$L81,"")</f>
      </c>
      <c r="D20" s="4005" t="e">
        <f t="array" ref="D20">IF(C20="","",IF($E19&gt;='Assumptions'!$D$104,0,IF((E19+C20)&gt;='Assumptions'!$D$104,'Assumptions'!$D$104-$E19,$C20)))</f>
      </c>
      <c r="E20" s="4004" t="e">
        <f t="array" ref="E20">IF(C20="","",E19+D20)</f>
      </c>
      <c r="F20" s="4005" t="e">
        <f t="array" ref="F20">IF(C20="","",C20-D20)</f>
      </c>
      <c r="G20" s="4004" t="e">
        <f t="array" ref="G20">IF(C20="","",F20+G19)</f>
      </c>
      <c r="H20" s="4005" t="e">
        <f t="array" ref="H20">IF(C20="","",D20+F20)</f>
      </c>
      <c r="I20" s="3322" t="e">
        <f t="array" ref="I20">IF(C20="","",H20+I19)</f>
      </c>
      <c r="J20" s="3322" t="e">
        <f t="array" ref="J20">IF(B20="","",IF($B20&lt;'Assumptions'!$T$93,$G20*'Assumptions'!$D$93/12,0))</f>
      </c>
      <c r="K20" s="38" t="e">
        <f t="array" ref="K20">IF(J20="","HIDE","")</f>
      </c>
      <c r="L20" s="2100" t="n"/>
      <c r="M20" s="211" t="e">
        <f t="array" ref="M20">IF(B20="","",VLOOKUP(B20,'S&amp;U-Timeline'!$P$9:$Q$81,2,0))</f>
      </c>
      <c r="N20" s="2116" t="e">
        <f t="array" ref="N20">IF(N19="","",IF(N19+1&lt;=$P$7,N19+1,""))</f>
      </c>
      <c r="O20" s="2117" t="e">
        <f t="array" ref="O20">IF($N20="","",SUMIF($M$10:$M$86,$N20,$J$10:$J$86))</f>
      </c>
      <c r="P20" s="26" t="n"/>
      <c r="Q20" s="26" t="n"/>
      <c r="R20" s="26" t="n"/>
      <c r="S20" s="26" t="n"/>
      <c r="T20" s="26" t="n"/>
      <c r="U20" s="27" t="n"/>
    </row>
    <row r="21" s="3154" customFormat="1" ht="13.5" customHeight="1">
      <c r="A21" s="2111" t="e">
        <f t="array" ref="A21">IF('Cost Outflows'!$B82&lt;=$C$7,'Cost Outflows'!$A82,"")</f>
      </c>
      <c r="B21" s="26" t="e">
        <f t="array" ref="B21">IF('Cost Outflows'!B82&lt;=$C$7,'Cost Outflows'!B82,"")</f>
      </c>
      <c r="C21" s="4004" t="e">
        <f t="array" ref="C21">IF('Cost Outflows'!$B82&lt;=$C$7,'Cost Outflows'!$L82,"")</f>
      </c>
      <c r="D21" s="4005" t="e">
        <f t="array" ref="D21">IF(C21="","",IF($E20&gt;='Assumptions'!$D$104,0,IF((E20+C21)&gt;='Assumptions'!$D$104,'Assumptions'!$D$104-$E20,$C21)))</f>
      </c>
      <c r="E21" s="4004" t="e">
        <f t="array" ref="E21">IF(C21="","",E20+D21)</f>
      </c>
      <c r="F21" s="4005" t="e">
        <f t="array" ref="F21">IF(C21="","",C21-D21)</f>
      </c>
      <c r="G21" s="4004" t="e">
        <f t="array" ref="G21">IF(C21="","",F21+G20)</f>
      </c>
      <c r="H21" s="4005" t="e">
        <f t="array" ref="H21">IF(C21="","",D21+F21)</f>
      </c>
      <c r="I21" s="3322" t="e">
        <f t="array" ref="I21">IF(C21="","",H21+I20)</f>
      </c>
      <c r="J21" s="3322" t="e">
        <f t="array" ref="J21">IF(B21="","",IF($B21&lt;'Assumptions'!$T$93,$G21*'Assumptions'!$D$93/12,0))</f>
      </c>
      <c r="K21" s="38" t="e">
        <f t="array" ref="K21">IF(J21="","HIDE","")</f>
      </c>
      <c r="L21" s="2100" t="n"/>
      <c r="M21" s="211" t="e">
        <f t="array" ref="M21">IF(B21="","",VLOOKUP(B21,'S&amp;U-Timeline'!$P$9:$Q$81,2,0))</f>
      </c>
      <c r="N21" s="2118" t="n"/>
      <c r="O21" s="26" t="n"/>
      <c r="P21" s="26" t="n"/>
      <c r="Q21" s="26" t="n"/>
      <c r="R21" s="26" t="n"/>
      <c r="S21" s="26" t="n"/>
      <c r="T21" s="26" t="n"/>
      <c r="U21" s="27" t="n"/>
    </row>
    <row r="22" s="3154" customFormat="1" ht="13.5" customHeight="1">
      <c r="A22" s="2111" t="e">
        <f t="array" ref="A22">IF('Cost Outflows'!$B83&lt;=$C$7,'Cost Outflows'!$A83,"")</f>
      </c>
      <c r="B22" s="26" t="e">
        <f t="array" ref="B22">IF('Cost Outflows'!B83&lt;=$C$7,'Cost Outflows'!B83,"")</f>
      </c>
      <c r="C22" s="4004" t="e">
        <f t="array" ref="C22">IF('Cost Outflows'!$B83&lt;=$C$7,'Cost Outflows'!$L83,"")</f>
      </c>
      <c r="D22" s="4005" t="e">
        <f t="array" ref="D22">IF(C22="","",IF($E21&gt;='Assumptions'!$D$104,0,IF((E21+C22)&gt;='Assumptions'!$D$104,'Assumptions'!$D$104-$E21,$C22)))</f>
      </c>
      <c r="E22" s="4004" t="e">
        <f t="array" ref="E22">IF(C22="","",E21+D22)</f>
      </c>
      <c r="F22" s="4005" t="e">
        <f t="array" ref="F22">IF(C22="","",C22-D22)</f>
      </c>
      <c r="G22" s="4004" t="e">
        <f t="array" ref="G22">IF(C22="","",F22+G21)</f>
      </c>
      <c r="H22" s="4005" t="e">
        <f t="array" ref="H22">IF(C22="","",D22+F22)</f>
      </c>
      <c r="I22" s="3322" t="e">
        <f t="array" ref="I22">IF(C22="","",H22+I21)</f>
      </c>
      <c r="J22" s="3322" t="e">
        <f t="array" ref="J22">IF(B22="","",IF($B22&lt;'Assumptions'!$T$93,$G22*'Assumptions'!$D$93/12,0))</f>
      </c>
      <c r="K22" s="38" t="e">
        <f t="array" ref="K22">IF(J22="","HIDE","")</f>
      </c>
      <c r="L22" s="2100" t="n"/>
      <c r="M22" s="211" t="e">
        <f t="array" ref="M22">IF(B22="","",VLOOKUP(B22,'S&amp;U-Timeline'!$P$9:$Q$81,2,0))</f>
      </c>
      <c r="N22" s="2118" t="n"/>
      <c r="O22" s="26" t="n"/>
      <c r="P22" s="26" t="n"/>
      <c r="Q22" s="26" t="n"/>
      <c r="R22" s="26" t="n"/>
      <c r="S22" s="26" t="n"/>
      <c r="T22" s="26" t="n"/>
      <c r="U22" s="27" t="n"/>
    </row>
    <row r="23" s="3154" customFormat="1" ht="13.5" customHeight="1">
      <c r="A23" s="2111" t="e">
        <f t="array" ref="A23">IF('Cost Outflows'!$B84&lt;=$C$7,'Cost Outflows'!$A84,"")</f>
      </c>
      <c r="B23" s="26" t="e">
        <f t="array" ref="B23">IF('Cost Outflows'!B84&lt;=$C$7,'Cost Outflows'!B84,"")</f>
      </c>
      <c r="C23" s="4004" t="e">
        <f t="array" ref="C23">IF('Cost Outflows'!$B84&lt;=$C$7,'Cost Outflows'!$L84,"")</f>
      </c>
      <c r="D23" s="4005" t="e">
        <f t="array" ref="D23">IF(C23="","",IF($E22&gt;='Assumptions'!$D$104,0,IF((E22+C23)&gt;='Assumptions'!$D$104,'Assumptions'!$D$104-$E22,$C23)))</f>
      </c>
      <c r="E23" s="4004" t="e">
        <f t="array" ref="E23">IF(C23="","",E22+D23)</f>
      </c>
      <c r="F23" s="4005" t="e">
        <f t="array" ref="F23">IF(C23="","",C23-D23)</f>
      </c>
      <c r="G23" s="4004" t="e">
        <f t="array" ref="G23">IF(C23="","",F23+G22)</f>
      </c>
      <c r="H23" s="4005" t="e">
        <f t="array" ref="H23">IF(C23="","",D23+F23)</f>
      </c>
      <c r="I23" s="3322" t="e">
        <f t="array" ref="I23">IF(C23="","",H23+I22)</f>
      </c>
      <c r="J23" s="3322" t="e">
        <f t="array" ref="J23">IF(B23="","",IF($B23&lt;'Assumptions'!$T$93,$G23*'Assumptions'!$D$93/12,0))</f>
      </c>
      <c r="K23" s="38" t="e">
        <f t="array" ref="K23">IF(J23="","HIDE","")</f>
      </c>
      <c r="L23" s="2100" t="n"/>
      <c r="M23" s="211" t="e">
        <f t="array" ref="M23">IF(B23="","",VLOOKUP(B23,'S&amp;U-Timeline'!$P$9:$Q$81,2,0))</f>
      </c>
      <c r="N23" s="2118" t="n"/>
      <c r="O23" s="26" t="n"/>
      <c r="P23" s="26" t="n"/>
      <c r="Q23" s="26" t="n"/>
      <c r="R23" s="26" t="n"/>
      <c r="S23" s="26" t="n"/>
      <c r="T23" s="26" t="n"/>
      <c r="U23" s="27" t="n"/>
    </row>
    <row r="24" s="3154" customFormat="1" ht="13.5" customHeight="1">
      <c r="A24" s="2111" t="e">
        <f t="array" ref="A24">IF('Cost Outflows'!$B85&lt;=$C$7,'Cost Outflows'!$A85,"")</f>
      </c>
      <c r="B24" s="26" t="e">
        <f t="array" ref="B24">IF('Cost Outflows'!B85&lt;=$C$7,'Cost Outflows'!B85,"")</f>
      </c>
      <c r="C24" s="4004" t="e">
        <f t="array" ref="C24">IF('Cost Outflows'!$B85&lt;=$C$7,'Cost Outflows'!$L85,"")</f>
      </c>
      <c r="D24" s="4005" t="e">
        <f t="array" ref="D24">IF(C24="","",IF($E23&gt;='Assumptions'!$D$104,0,IF((E23+C24)&gt;='Assumptions'!$D$104,'Assumptions'!$D$104-$E23,$C24)))</f>
      </c>
      <c r="E24" s="4004" t="e">
        <f t="array" ref="E24">IF(C24="","",E23+D24)</f>
      </c>
      <c r="F24" s="4005" t="e">
        <f t="array" ref="F24">IF(C24="","",C24-D24)</f>
      </c>
      <c r="G24" s="4004" t="e">
        <f t="array" ref="G24">IF(C24="","",F24+G23)</f>
      </c>
      <c r="H24" s="4005" t="e">
        <f t="array" ref="H24">IF(C24="","",D24+F24)</f>
      </c>
      <c r="I24" s="3322" t="e">
        <f t="array" ref="I24">IF(C24="","",H24+I23)</f>
      </c>
      <c r="J24" s="3322" t="e">
        <f t="array" ref="J24">IF(B24="","",IF($B24&lt;'Assumptions'!$T$93,$G24*'Assumptions'!$D$93/12,0))</f>
      </c>
      <c r="K24" s="38" t="e">
        <f t="array" ref="K24">IF(J24="","HIDE","")</f>
      </c>
      <c r="L24" s="2100" t="n"/>
      <c r="M24" s="211" t="e">
        <f t="array" ref="M24">IF(B24="","",VLOOKUP(B24,'S&amp;U-Timeline'!$P$9:$Q$81,2,0))</f>
      </c>
      <c r="N24" s="2118" t="n"/>
      <c r="O24" s="26" t="n"/>
      <c r="P24" s="26" t="n"/>
      <c r="Q24" s="26" t="n"/>
      <c r="R24" s="26" t="n"/>
      <c r="S24" s="26" t="n"/>
      <c r="T24" s="26" t="n"/>
      <c r="U24" s="27" t="n"/>
    </row>
    <row r="25" s="3154" customFormat="1" ht="13.5" customHeight="1">
      <c r="A25" s="2111" t="e">
        <f t="array" ref="A25">IF('Cost Outflows'!$B86&lt;=$C$7,'Cost Outflows'!$A86,"")</f>
      </c>
      <c r="B25" s="26" t="e">
        <f t="array" ref="B25">IF('Cost Outflows'!B86&lt;=$C$7,'Cost Outflows'!B86,"")</f>
      </c>
      <c r="C25" s="4004" t="e">
        <f t="array" ref="C25">IF('Cost Outflows'!$B86&lt;=$C$7,'Cost Outflows'!$L86,"")</f>
      </c>
      <c r="D25" s="4005" t="e">
        <f t="array" ref="D25">IF(C25="","",IF($E24&gt;='Assumptions'!$D$104,0,IF((E24+C25)&gt;='Assumptions'!$D$104,'Assumptions'!$D$104-$E24,$C25)))</f>
      </c>
      <c r="E25" s="4004" t="e">
        <f t="array" ref="E25">IF(C25="","",E24+D25)</f>
      </c>
      <c r="F25" s="4005" t="e">
        <f t="array" ref="F25">IF(C25="","",C25-D25)</f>
      </c>
      <c r="G25" s="4004" t="e">
        <f t="array" ref="G25">IF(C25="","",F25+G24)</f>
      </c>
      <c r="H25" s="4005" t="e">
        <f t="array" ref="H25">IF(C25="","",D25+F25)</f>
      </c>
      <c r="I25" s="3322" t="e">
        <f t="array" ref="I25">IF(C25="","",H25+I24)</f>
      </c>
      <c r="J25" s="3322" t="e">
        <f t="array" ref="J25">IF(B25="","",IF($B25&lt;'Assumptions'!$T$93,$G25*'Assumptions'!$D$93/12,0))</f>
      </c>
      <c r="K25" s="38" t="e">
        <f t="array" ref="K25">IF(J25="","HIDE","")</f>
      </c>
      <c r="L25" s="2100" t="n"/>
      <c r="M25" s="211" t="e">
        <f t="array" ref="M25">IF(B25="","",VLOOKUP(B25,'S&amp;U-Timeline'!$P$9:$Q$81,2,0))</f>
      </c>
      <c r="N25" s="2118" t="n"/>
      <c r="O25" s="26" t="n"/>
      <c r="P25" s="26" t="n"/>
      <c r="Q25" s="26" t="n"/>
      <c r="R25" s="26" t="n"/>
      <c r="S25" s="26" t="n"/>
      <c r="T25" s="26" t="n"/>
      <c r="U25" s="27" t="n"/>
    </row>
    <row r="26" s="3154" customFormat="1" ht="13.5" customHeight="1">
      <c r="A26" s="2111" t="e">
        <f t="array" ref="A26">IF('Cost Outflows'!$B87&lt;=$C$7,'Cost Outflows'!$A87,"")</f>
      </c>
      <c r="B26" s="26" t="e">
        <f t="array" ref="B26">IF('Cost Outflows'!B87&lt;=$C$7,'Cost Outflows'!B87,"")</f>
      </c>
      <c r="C26" s="4004" t="e">
        <f t="array" ref="C26">IF('Cost Outflows'!$B87&lt;=$C$7,'Cost Outflows'!$L87,"")</f>
      </c>
      <c r="D26" s="4005" t="e">
        <f t="array" ref="D26">IF(C26="","",IF($E25&gt;='Assumptions'!$D$104,0,IF((E25+C26)&gt;='Assumptions'!$D$104,'Assumptions'!$D$104-$E25,$C26)))</f>
      </c>
      <c r="E26" s="4004" t="e">
        <f t="array" ref="E26">IF(C26="","",E25+D26)</f>
      </c>
      <c r="F26" s="4005" t="e">
        <f t="array" ref="F26">IF(C26="","",C26-D26)</f>
      </c>
      <c r="G26" s="4004" t="e">
        <f t="array" ref="G26">IF(C26="","",F26+G25)</f>
      </c>
      <c r="H26" s="4005" t="e">
        <f t="array" ref="H26">IF(C26="","",D26+F26)</f>
      </c>
      <c r="I26" s="3322" t="e">
        <f t="array" ref="I26">IF(C26="","",H26+I25)</f>
      </c>
      <c r="J26" s="3322" t="e">
        <f t="array" ref="J26">IF(B26="","",IF($B26&lt;'Assumptions'!$T$93,$G26*'Assumptions'!$D$93/12,0))</f>
      </c>
      <c r="K26" s="38" t="e">
        <f t="array" ref="K26">IF(J26="","HIDE","")</f>
      </c>
      <c r="L26" s="2100" t="n"/>
      <c r="M26" s="211" t="e">
        <f t="array" ref="M26">IF(B26="","",VLOOKUP(B26,'S&amp;U-Timeline'!$P$9:$Q$81,2,0))</f>
      </c>
      <c r="N26" s="2118" t="n"/>
      <c r="O26" s="26" t="n"/>
      <c r="P26" s="26" t="n"/>
      <c r="Q26" s="26" t="n"/>
      <c r="R26" s="26" t="n"/>
      <c r="S26" s="26" t="n"/>
      <c r="T26" s="26" t="n"/>
      <c r="U26" s="27" t="n"/>
    </row>
    <row r="27" s="3154" customFormat="1" ht="13.5" customHeight="1">
      <c r="A27" s="2111" t="e">
        <f t="array" ref="A27">IF('Cost Outflows'!$B88&lt;=$C$7,'Cost Outflows'!$A88,"")</f>
      </c>
      <c r="B27" s="26" t="e">
        <f t="array" ref="B27">IF('Cost Outflows'!B88&lt;=$C$7,'Cost Outflows'!B88,"")</f>
      </c>
      <c r="C27" s="4004" t="e">
        <f t="array" ref="C27">IF('Cost Outflows'!$B88&lt;=$C$7,'Cost Outflows'!$L88,"")</f>
      </c>
      <c r="D27" s="4005" t="e">
        <f t="array" ref="D27">IF(C27="","",IF($E26&gt;='Assumptions'!$D$104,0,IF((E26+C27)&gt;='Assumptions'!$D$104,'Assumptions'!$D$104-$E26,$C27)))</f>
      </c>
      <c r="E27" s="4004" t="e">
        <f t="array" ref="E27">IF(C27="","",E26+D27)</f>
      </c>
      <c r="F27" s="4005" t="e">
        <f t="array" ref="F27">IF(C27="","",C27-D27)</f>
      </c>
      <c r="G27" s="4004" t="e">
        <f t="array" ref="G27">IF(C27="","",F27+G26)</f>
      </c>
      <c r="H27" s="4005" t="e">
        <f t="array" ref="H27">IF(C27="","",D27+F27)</f>
      </c>
      <c r="I27" s="3322" t="e">
        <f t="array" ref="I27">IF(C27="","",H27+I26)</f>
      </c>
      <c r="J27" s="3322" t="e">
        <f t="array" ref="J27">IF(B27="","",IF($B27&lt;'Assumptions'!$T$93,$G27*'Assumptions'!$D$93/12,0))</f>
      </c>
      <c r="K27" s="38" t="e">
        <f t="array" ref="K27">IF(J27="","HIDE","")</f>
      </c>
      <c r="L27" s="2100" t="n"/>
      <c r="M27" s="211" t="e">
        <f t="array" ref="M27">IF(B27="","",VLOOKUP(B27,'S&amp;U-Timeline'!$P$9:$Q$81,2,0))</f>
      </c>
      <c r="N27" s="2118" t="n"/>
      <c r="O27" s="4007" t="n"/>
      <c r="P27" s="26" t="n"/>
      <c r="Q27" s="26" t="n"/>
      <c r="R27" s="26" t="n"/>
      <c r="S27" s="26" t="n"/>
      <c r="T27" s="26" t="n"/>
      <c r="U27" s="27" t="n"/>
    </row>
    <row r="28" s="3154" customFormat="1" ht="13.5" customHeight="1">
      <c r="A28" s="2111" t="e">
        <f t="array" ref="A28">IF('Cost Outflows'!$B89&lt;=$C$7,'Cost Outflows'!$A89,"")</f>
      </c>
      <c r="B28" s="26" t="e">
        <f t="array" ref="B28">IF('Cost Outflows'!B89&lt;=$C$7,'Cost Outflows'!B89,"")</f>
      </c>
      <c r="C28" s="4004" t="e">
        <f t="array" ref="C28">IF('Cost Outflows'!$B89&lt;=$C$7,'Cost Outflows'!$L89,"")</f>
      </c>
      <c r="D28" s="4005" t="e">
        <f t="array" ref="D28">IF(C28="","",IF($E27&gt;='Assumptions'!$D$104,0,IF((E27+C28)&gt;='Assumptions'!$D$104,'Assumptions'!$D$104-$E27,$C28)))</f>
      </c>
      <c r="E28" s="4004" t="e">
        <f t="array" ref="E28">IF(C28="","",E27+D28)</f>
      </c>
      <c r="F28" s="4005" t="e">
        <f t="array" ref="F28">IF(C28="","",C28-D28)</f>
      </c>
      <c r="G28" s="4004" t="e">
        <f t="array" ref="G28">IF(C28="","",F28+G27)</f>
      </c>
      <c r="H28" s="4005" t="e">
        <f t="array" ref="H28">IF(C28="","",D28+F28)</f>
      </c>
      <c r="I28" s="3322" t="e">
        <f t="array" ref="I28">IF(C28="","",H28+I27)</f>
      </c>
      <c r="J28" s="3322" t="e">
        <f t="array" ref="J28">IF(B28="","",IF($B28&lt;'Assumptions'!$T$93,$G28*'Assumptions'!$D$93/12,0))</f>
      </c>
      <c r="K28" s="38" t="e">
        <f t="array" ref="K28">IF(J28="","HIDE","")</f>
      </c>
      <c r="L28" s="2100" t="n"/>
      <c r="M28" s="211" t="e">
        <f t="array" ref="M28">IF(B28="","",VLOOKUP(B28,'S&amp;U-Timeline'!$P$9:$Q$81,2,0))</f>
      </c>
      <c r="N28" s="4008" t="n"/>
      <c r="O28" s="26" t="n"/>
      <c r="P28" s="26" t="n"/>
      <c r="Q28" s="26" t="n"/>
      <c r="R28" s="26" t="n"/>
      <c r="S28" s="26" t="n"/>
      <c r="T28" s="26" t="n"/>
      <c r="U28" s="27" t="n"/>
    </row>
    <row r="29" s="3154" customFormat="1" ht="13.5" customHeight="1">
      <c r="A29" s="2111" t="e">
        <f t="array" ref="A29">IF('Cost Outflows'!$B90&lt;=$C$7,'Cost Outflows'!$A90,"")</f>
      </c>
      <c r="B29" s="26" t="e">
        <f t="array" ref="B29">IF('Cost Outflows'!B90&lt;=$C$7,'Cost Outflows'!B90,"")</f>
      </c>
      <c r="C29" s="4004" t="e">
        <f t="array" ref="C29">IF('Cost Outflows'!$B90&lt;=$C$7,'Cost Outflows'!$L90,"")</f>
      </c>
      <c r="D29" s="4005" t="e">
        <f t="array" ref="D29">IF(C29="","",IF($E28&gt;='Assumptions'!$D$104,0,IF((E28+C29)&gt;='Assumptions'!$D$104,'Assumptions'!$D$104-$E28,$C29)))</f>
      </c>
      <c r="E29" s="4004" t="e">
        <f t="array" ref="E29">IF(C29="","",E28+D29)</f>
      </c>
      <c r="F29" s="4005" t="e">
        <f t="array" ref="F29">IF(C29="","",C29-D29)</f>
      </c>
      <c r="G29" s="4004" t="e">
        <f t="array" ref="G29">IF(C29="","",F29+G28)</f>
      </c>
      <c r="H29" s="4005" t="e">
        <f t="array" ref="H29">IF(C29="","",D29+F29)</f>
      </c>
      <c r="I29" s="3322" t="e">
        <f t="array" ref="I29">IF(C29="","",H29+I28)</f>
      </c>
      <c r="J29" s="3322" t="e">
        <f t="array" ref="J29">IF(B29="","",IF($B29&lt;'Assumptions'!$T$93,$G29*'Assumptions'!$D$93/12,0))</f>
      </c>
      <c r="K29" s="38" t="e">
        <f t="array" ref="K29">IF(J29="","HIDE","")</f>
      </c>
      <c r="L29" s="2100" t="n"/>
      <c r="M29" s="211" t="e">
        <f t="array" ref="M29">IF(B29="","",VLOOKUP(B29,'S&amp;U-Timeline'!$P$9:$Q$81,2,0))</f>
      </c>
      <c r="N29" s="2118" t="n"/>
      <c r="O29" s="26" t="n"/>
      <c r="P29" s="26" t="n"/>
      <c r="Q29" s="26" t="n"/>
      <c r="R29" s="26" t="n"/>
      <c r="S29" s="26" t="n"/>
      <c r="T29" s="26" t="n"/>
      <c r="U29" s="27" t="n"/>
    </row>
    <row r="30" s="3154" customFormat="1" ht="13.5" customHeight="1">
      <c r="A30" s="2111" t="e">
        <f t="array" ref="A30">IF('Cost Outflows'!$B91&lt;=$C$7,'Cost Outflows'!$A91,"")</f>
      </c>
      <c r="B30" s="26" t="e">
        <f t="array" ref="B30">IF('Cost Outflows'!B91&lt;=$C$7,'Cost Outflows'!B91,"")</f>
      </c>
      <c r="C30" s="4004" t="e">
        <f t="array" ref="C30">IF('Cost Outflows'!$B91&lt;=$C$7,'Cost Outflows'!$L91,"")</f>
      </c>
      <c r="D30" s="4005" t="e">
        <f t="array" ref="D30">IF(C30="","",IF($E29&gt;='Assumptions'!$D$104,0,IF((E29+C30)&gt;='Assumptions'!$D$104,'Assumptions'!$D$104-$E29,$C30)))</f>
      </c>
      <c r="E30" s="4004" t="e">
        <f t="array" ref="E30">IF(C30="","",E29+D30)</f>
      </c>
      <c r="F30" s="4005" t="e">
        <f t="array" ref="F30">IF(C30="","",C30-D30)</f>
      </c>
      <c r="G30" s="4004" t="e">
        <f t="array" ref="G30">IF(C30="","",F30+G29)</f>
      </c>
      <c r="H30" s="4005" t="e">
        <f t="array" ref="H30">IF(C30="","",D30+F30)</f>
      </c>
      <c r="I30" s="3322" t="e">
        <f t="array" ref="I30">IF(C30="","",H30+I29)</f>
      </c>
      <c r="J30" s="3322" t="e">
        <f t="array" ref="J30">IF(B30="","",IF($B30&lt;'Assumptions'!$T$93,$G30*'Assumptions'!$D$93/12,0))</f>
      </c>
      <c r="K30" s="38" t="e">
        <f t="array" ref="K30">IF(J30="","HIDE","")</f>
      </c>
      <c r="L30" s="2100" t="n"/>
      <c r="M30" s="211" t="e">
        <f t="array" ref="M30">IF(B30="","",VLOOKUP(B30,'S&amp;U-Timeline'!$P$9:$Q$81,2,0))</f>
      </c>
      <c r="N30" s="2118" t="n"/>
      <c r="O30" s="26" t="n"/>
      <c r="P30" s="26" t="n"/>
      <c r="Q30" s="26" t="n">
        <v>25000000</v>
      </c>
      <c r="R30" s="26" t="n"/>
      <c r="S30" s="26" t="n"/>
      <c r="T30" s="26" t="n"/>
      <c r="U30" s="27" t="n"/>
    </row>
    <row r="31" s="3154" customFormat="1" ht="13.5" customHeight="1">
      <c r="A31" s="2111" t="e">
        <f t="array" ref="A31">IF('Cost Outflows'!$B92&lt;=$C$7,'Cost Outflows'!$A92,"")</f>
      </c>
      <c r="B31" s="26" t="e">
        <f t="array" ref="B31">IF('Cost Outflows'!B92&lt;=$C$7,'Cost Outflows'!B92,"")</f>
      </c>
      <c r="C31" s="4004" t="e">
        <f t="array" ref="C31">IF('Cost Outflows'!$B92&lt;=$C$7,'Cost Outflows'!$L92,"")</f>
      </c>
      <c r="D31" s="4005" t="e">
        <f t="array" ref="D31">IF(C31="","",IF($E30&gt;='Assumptions'!$D$104,0,IF((E30+C31)&gt;='Assumptions'!$D$104,'Assumptions'!$D$104-$E30,$C31)))</f>
      </c>
      <c r="E31" s="4004" t="e">
        <f t="array" ref="E31">IF(C31="","",E30+D31)</f>
      </c>
      <c r="F31" s="4005" t="e">
        <f t="array" ref="F31">IF(C31="","",C31-D31)</f>
      </c>
      <c r="G31" s="4004" t="e">
        <f t="array" ref="G31">IF(C31="","",F31+G30)</f>
      </c>
      <c r="H31" s="4005" t="e">
        <f t="array" ref="H31">IF(C31="","",D31+F31)</f>
      </c>
      <c r="I31" s="3322" t="e">
        <f t="array" ref="I31">IF(C31="","",H31+I30)</f>
      </c>
      <c r="J31" s="3322" t="e">
        <f t="array" ref="J31">IF(B31="","",IF($B31&lt;'Assumptions'!$T$93,$G31*'Assumptions'!$D$93/12,0))</f>
      </c>
      <c r="K31" s="38" t="e">
        <f t="array" ref="K31">IF(J31="","HIDE","")</f>
      </c>
      <c r="L31" s="2100" t="n"/>
      <c r="M31" s="211" t="e">
        <f t="array" ref="M31">IF(B31="","",VLOOKUP(B31,'S&amp;U-Timeline'!$P$9:$Q$81,2,0))</f>
      </c>
      <c r="N31" s="2118" t="n"/>
      <c r="O31" s="26" t="n"/>
      <c r="P31" s="26" t="n"/>
      <c r="Q31" s="1922" t="n">
        <v>0.65</v>
      </c>
      <c r="R31" s="26" t="n"/>
      <c r="S31" s="26" t="n"/>
      <c r="T31" s="26" t="n"/>
      <c r="U31" s="27" t="n"/>
    </row>
    <row r="32" s="3154" customFormat="1" ht="13.5" customHeight="1">
      <c r="A32" s="2111" t="e">
        <f t="array" ref="A32">IF('Cost Outflows'!$B93&lt;=$C$7,'Cost Outflows'!$A93,"")</f>
      </c>
      <c r="B32" s="26" t="e">
        <f t="array" ref="B32">IF('Cost Outflows'!B93&lt;=$C$7,'Cost Outflows'!B93,"")</f>
      </c>
      <c r="C32" s="4004" t="e">
        <f t="array" ref="C32">IF('Cost Outflows'!$B93&lt;=$C$7,'Cost Outflows'!$L93,"")</f>
      </c>
      <c r="D32" s="4005" t="e">
        <f t="array" ref="D32">IF(C32="","",IF($E31&gt;='Assumptions'!$D$104,0,IF((E31+C32)&gt;='Assumptions'!$D$104,'Assumptions'!$D$104-$E31,$C32)))</f>
      </c>
      <c r="E32" s="4004" t="e">
        <f t="array" ref="E32">IF(C32="","",E31+D32)</f>
      </c>
      <c r="F32" s="4005" t="e">
        <f t="array" ref="F32">IF(C32="","",C32-D32)</f>
      </c>
      <c r="G32" s="4004" t="e">
        <f t="array" ref="G32">IF(C32="","",F32+G31)</f>
      </c>
      <c r="H32" s="4005" t="e">
        <f t="array" ref="H32">IF(C32="","",D32+F32)</f>
      </c>
      <c r="I32" s="3322" t="e">
        <f t="array" ref="I32">IF(C32="","",H32+I31)</f>
      </c>
      <c r="J32" s="3322" t="e">
        <f t="array" ref="J32">IF(B32="","",IF($B32&lt;'Assumptions'!$T$93,$G32*'Assumptions'!$D$93/12,0))</f>
      </c>
      <c r="K32" s="38" t="e">
        <f t="array" ref="K32">IF(J32="","HIDE","")</f>
      </c>
      <c r="L32" s="2100" t="n"/>
      <c r="M32" s="211" t="e">
        <f t="array" ref="M32">IF(B32="","",VLOOKUP(B32,'S&amp;U-Timeline'!$P$9:$Q$81,2,0))</f>
      </c>
      <c r="N32" s="2118" t="n"/>
      <c r="O32" s="26" t="n"/>
      <c r="P32" s="26" t="n"/>
      <c r="Q32" s="2121" t="n">
        <v>0.0825</v>
      </c>
      <c r="R32" s="26" t="n"/>
      <c r="S32" s="26" t="n"/>
      <c r="T32" s="26" t="n"/>
      <c r="U32" s="27" t="n"/>
    </row>
    <row r="33" s="3154" customFormat="1" ht="13.5" customHeight="1">
      <c r="A33" s="2122" t="e">
        <f t="array" ref="A33">IF('Cost Outflows'!$B94&lt;=$C$7,'Cost Outflows'!$A94,"")</f>
      </c>
      <c r="B33" s="163" t="e">
        <f t="array" ref="B33">IF('Cost Outflows'!B94&lt;=$C$7,'Cost Outflows'!B94,"")</f>
      </c>
      <c r="C33" s="4009" t="e">
        <f t="array" ref="C33">IF('Cost Outflows'!$B94&lt;=$C$7,'Cost Outflows'!$L94,"")</f>
      </c>
      <c r="D33" s="4010" t="e">
        <f t="array" ref="D33">IF(C33="","",IF($E32&gt;='Assumptions'!$D$104,0,IF((E32+C33)&gt;='Assumptions'!$D$104,'Assumptions'!$D$104-$E32,$C33)))</f>
      </c>
      <c r="E33" s="4009" t="e">
        <f t="array" ref="E33">IF(C33="","",E32+D33)</f>
      </c>
      <c r="F33" s="4010" t="e">
        <f t="array" ref="F33">IF(C33="","",C33-D33)</f>
      </c>
      <c r="G33" s="4009" t="e">
        <f t="array" ref="G33">IF(C33="","",F33+G32)</f>
      </c>
      <c r="H33" s="4010" t="e">
        <f t="array" ref="H33">IF(C33="","",D33+F33)</f>
      </c>
      <c r="I33" s="3915" t="e">
        <f t="array" ref="I33">IF(C33="","",H33+I32)</f>
      </c>
      <c r="J33" s="3915" t="e">
        <f t="array" ref="J33">IF(B33="","",IF($B33&lt;'Assumptions'!$T$93,$G33*'Assumptions'!$D$93/12,0))</f>
      </c>
      <c r="K33" s="2125" t="e">
        <f t="array" ref="K33">IF(J33="","HIDE","")</f>
      </c>
      <c r="L33" s="2126" t="n"/>
      <c r="M33" s="2127" t="e">
        <f t="array" ref="M33">IF(B33="","",VLOOKUP(B33,'S&amp;U-Timeline'!$P$9:$Q$81,2,0))</f>
      </c>
      <c r="N33" s="2118" t="n"/>
      <c r="O33" s="26" t="n"/>
      <c r="P33" s="26" t="n"/>
      <c r="Q33" s="26" t="n">
        <v>36</v>
      </c>
      <c r="R33" s="26" t="n"/>
      <c r="S33" s="26" t="n"/>
      <c r="T33" s="26" t="n"/>
      <c r="U33" s="27" t="n"/>
    </row>
    <row r="34" s="3154" customFormat="1" ht="13.5" customHeight="1">
      <c r="A34" s="2128" t="e">
        <f t="array" ref="A34">IF('Cost Outflows'!$B95&lt;=$C$7,'Cost Outflows'!$A95,"")</f>
      </c>
      <c r="B34" s="158" t="e">
        <f t="array" ref="B34">IF('Cost Outflows'!B95&lt;=$C$7,'Cost Outflows'!B95,"")</f>
      </c>
      <c r="C34" s="4011" t="e">
        <f t="array" ref="C34">IF('Cost Outflows'!$B95&lt;=$C$7,'Cost Outflows'!$L95,"")</f>
      </c>
      <c r="D34" s="4012" t="e">
        <f t="array" ref="D34">IF(C34="","",IF($E33&gt;='Assumptions'!$D$104,0,IF((E33+C34)&gt;='Assumptions'!$D$104,'Assumptions'!$D$104-$E33,$C34)))</f>
      </c>
      <c r="E34" s="4011" t="e">
        <f t="array" ref="E34">IF(C34="","",E33+D34)</f>
      </c>
      <c r="F34" s="4012" t="e">
        <f t="array" ref="F34">IF(C34="","",C34-D34)</f>
      </c>
      <c r="G34" s="4011" t="e">
        <f t="array" ref="G34">IF(C34="","",F34+G33)</f>
      </c>
      <c r="H34" s="4012" t="e">
        <f t="array" ref="H34">IF(C34="","",D34+F34)</f>
      </c>
      <c r="I34" s="3226" t="e">
        <f t="array" ref="I34">IF(C34="","",H34+I33)</f>
      </c>
      <c r="J34" s="3226" t="e">
        <f t="array" ref="J34">IF(B34="","",IF($B34&lt;'Assumptions'!$T$93,$G34*'Assumptions'!$D$93/12,0))</f>
      </c>
      <c r="K34" s="534" t="e">
        <f t="array" ref="K34">IF(J34="","HIDE","")</f>
      </c>
      <c r="L34" s="2131" t="n"/>
      <c r="M34" s="2132" t="e">
        <f t="array" ref="M34">IF(B34="","",VLOOKUP(B34,'S&amp;U-Timeline'!$P$9:$Q$81,2,0))</f>
      </c>
      <c r="N34" s="2133" t="n"/>
      <c r="O34" s="26" t="n"/>
      <c r="P34" s="26" t="n"/>
      <c r="Q34" s="4013" t="n">
        <f t="array" ref="Q34">-PMT(Q32/12,Q33,Q30*Q31,Q30,0)</f>
        <v>1125512.7171274812</v>
      </c>
      <c r="R34" s="26" t="n"/>
      <c r="S34" s="26" t="n"/>
      <c r="T34" s="26" t="n"/>
      <c r="U34" s="27" t="n"/>
    </row>
    <row r="35" s="3154" customFormat="1" ht="13.5" customHeight="1">
      <c r="A35" s="2135" t="e">
        <f t="array" ref="A35">IF('Cost Outflows'!$B96&lt;=$C$7,'Cost Outflows'!$A96,"")</f>
      </c>
      <c r="B35" s="38" t="e">
        <f t="array" ref="B35">IF('Cost Outflows'!B96&lt;=$C$7,'Cost Outflows'!B96,"")</f>
      </c>
      <c r="C35" s="2136" t="e">
        <f t="array" ref="C35">IF('Cost Outflows'!$B96&lt;=$C$7,'Cost Outflows'!$L96,"")</f>
      </c>
      <c r="D35" s="2137" t="e">
        <f t="array" ref="D35">IF(C35="","",IF($E34&gt;='Assumptions'!$D$104,0,IF((E34+C35)&gt;='Assumptions'!$D$104,'Assumptions'!$D$104-$E34,$C35)))</f>
      </c>
      <c r="E35" s="2136" t="e">
        <f t="array" ref="E35">IF(C35="","",E34+D35)</f>
      </c>
      <c r="F35" s="2137" t="e">
        <f t="array" ref="F35">IF(C35="","",C35-D35)</f>
      </c>
      <c r="G35" s="2136" t="e">
        <f t="array" ref="G35">IF(C35="","",F35+G34)</f>
      </c>
      <c r="H35" s="2137" t="e">
        <f t="array" ref="H35">IF(C35="","",D35+F35)</f>
      </c>
      <c r="I35" s="38" t="e">
        <f t="array" ref="I35">IF(C35="","",H35+I34)</f>
      </c>
      <c r="J35" s="38" t="e">
        <f t="array" ref="J35">IF(B35="","",IF($B35&lt;'Assumptions'!$T$93,$G35*'Assumptions'!$D$93/12,0))</f>
      </c>
      <c r="K35" s="38" t="e">
        <f t="array" ref="K35">IF(J35="","HIDE","")</f>
      </c>
      <c r="L35" s="2100" t="n"/>
      <c r="M35" s="2138" t="e">
        <f t="array" ref="M35">IF(B35="","",VLOOKUP(B35,'S&amp;U-Timeline'!$P$9:$Q$81,2,0))</f>
      </c>
      <c r="N35" s="2133" t="n"/>
      <c r="O35" s="26" t="n"/>
      <c r="P35" s="26" t="n"/>
      <c r="Q35" s="26" t="n"/>
      <c r="R35" s="26" t="n"/>
      <c r="S35" s="26" t="n"/>
      <c r="T35" s="26" t="n"/>
      <c r="U35" s="27" t="n"/>
    </row>
    <row r="36" s="3154" customFormat="1" ht="13.5" customHeight="1">
      <c r="A36" s="2135" t="e">
        <f t="array" ref="A36">IF('Cost Outflows'!$B97&lt;=$C$7,'Cost Outflows'!$A97,"")</f>
      </c>
      <c r="B36" s="38" t="e">
        <f t="array" ref="B36">IF('Cost Outflows'!B97&lt;=$C$7,'Cost Outflows'!B97,"")</f>
      </c>
      <c r="C36" s="2136" t="e">
        <f t="array" ref="C36">IF('Cost Outflows'!$B97&lt;=$C$7,'Cost Outflows'!$L97,"")</f>
      </c>
      <c r="D36" s="2137" t="e">
        <f t="array" ref="D36">IF(C36="","",IF($E35&gt;='Assumptions'!$D$104,0,IF((E35+C36)&gt;='Assumptions'!$D$104,'Assumptions'!$D$104-$E35,$C36)))</f>
      </c>
      <c r="E36" s="2136" t="e">
        <f t="array" ref="E36">IF(C36="","",E35+D36)</f>
      </c>
      <c r="F36" s="2137" t="e">
        <f t="array" ref="F36">IF(C36="","",C36-D36)</f>
      </c>
      <c r="G36" s="2136" t="e">
        <f t="array" ref="G36">IF(C36="","",F36+G35)</f>
      </c>
      <c r="H36" s="2137" t="e">
        <f t="array" ref="H36">IF(C36="","",D36+F36)</f>
      </c>
      <c r="I36" s="38" t="e">
        <f t="array" ref="I36">IF(C36="","",H36+I35)</f>
      </c>
      <c r="J36" s="38" t="e">
        <f t="array" ref="J36">IF(B36="","",IF($B36&lt;'Assumptions'!$T$93,$G36*'Assumptions'!$D$93/12,0))</f>
      </c>
      <c r="K36" s="38" t="e">
        <f t="array" ref="K36">IF(J36="","HIDE","")</f>
      </c>
      <c r="L36" s="2100" t="n"/>
      <c r="M36" s="2138" t="e">
        <f t="array" ref="M36">IF(B36="","",VLOOKUP(B36,'S&amp;U-Timeline'!$P$9:$Q$81,2,0))</f>
      </c>
      <c r="N36" s="2133" t="n"/>
      <c r="O36" s="26" t="n"/>
      <c r="P36" s="26" t="n"/>
      <c r="Q36" s="26" t="n"/>
      <c r="R36" s="26" t="n"/>
      <c r="S36" s="26" t="n"/>
      <c r="T36" s="26" t="n"/>
      <c r="U36" s="27" t="n"/>
    </row>
    <row r="37" s="3154" customFormat="1" ht="13.5" customHeight="1">
      <c r="A37" s="2135" t="e">
        <f t="array" ref="A37">IF('Cost Outflows'!$B98&lt;=$C$7,'Cost Outflows'!$A98,"")</f>
      </c>
      <c r="B37" s="38" t="e">
        <f t="array" ref="B37">IF('Cost Outflows'!B98&lt;=$C$7,'Cost Outflows'!B98,"")</f>
      </c>
      <c r="C37" s="2136" t="e">
        <f t="array" ref="C37">IF('Cost Outflows'!$B98&lt;=$C$7,'Cost Outflows'!$L98,"")</f>
      </c>
      <c r="D37" s="2137" t="e">
        <f t="array" ref="D37">IF(C37="","",IF($E36&gt;='Assumptions'!$D$104,0,IF((E36+C37)&gt;='Assumptions'!$D$104,'Assumptions'!$D$104-$E36,$C37)))</f>
      </c>
      <c r="E37" s="2136" t="e">
        <f t="array" ref="E37">IF(C37="","",E36+D37)</f>
      </c>
      <c r="F37" s="2137" t="e">
        <f t="array" ref="F37">IF(C37="","",C37-D37)</f>
      </c>
      <c r="G37" s="2136" t="e">
        <f t="array" ref="G37">IF(C37="","",F37+G36)</f>
      </c>
      <c r="H37" s="2137" t="e">
        <f t="array" ref="H37">IF(C37="","",D37+F37)</f>
      </c>
      <c r="I37" s="38" t="e">
        <f t="array" ref="I37">IF(C37="","",H37+I36)</f>
      </c>
      <c r="J37" s="38" t="e">
        <f t="array" ref="J37">IF(B37="","",IF($B37&lt;'Assumptions'!$T$93,$G37*'Assumptions'!$D$93/12,0))</f>
      </c>
      <c r="K37" s="38" t="e">
        <f t="array" ref="K37">IF(J37="","HIDE","")</f>
      </c>
      <c r="L37" s="2100" t="n"/>
      <c r="M37" s="2138" t="e">
        <f t="array" ref="M37">IF(B37="","",VLOOKUP(B37,'S&amp;U-Timeline'!$P$9:$Q$81,2,0))</f>
      </c>
      <c r="N37" s="2133" t="n"/>
      <c r="O37" s="26" t="n"/>
      <c r="P37" s="26" t="n"/>
      <c r="Q37" s="26" t="n"/>
      <c r="R37" s="26" t="n"/>
      <c r="S37" s="26" t="n"/>
      <c r="T37" s="26" t="n"/>
      <c r="U37" s="27" t="n"/>
    </row>
    <row r="38" s="3154" customFormat="1" ht="13.5" customHeight="1">
      <c r="A38" s="2135" t="e">
        <f t="array" ref="A38">IF('Cost Outflows'!$B99&lt;=$C$7,'Cost Outflows'!$A99,"")</f>
      </c>
      <c r="B38" s="38" t="e">
        <f t="array" ref="B38">IF('Cost Outflows'!B99&lt;=$C$7,'Cost Outflows'!B99,"")</f>
      </c>
      <c r="C38" s="2136" t="e">
        <f t="array" ref="C38">IF('Cost Outflows'!$B99&lt;=$C$7,'Cost Outflows'!$L99,"")</f>
      </c>
      <c r="D38" s="2137" t="e">
        <f t="array" ref="D38">IF(C38="","",IF($E37&gt;='Assumptions'!$D$104,0,IF((E37+C38)&gt;='Assumptions'!$D$104,'Assumptions'!$D$104-$E37,$C38)))</f>
      </c>
      <c r="E38" s="2136" t="e">
        <f t="array" ref="E38">IF(C38="","",E37+D38)</f>
      </c>
      <c r="F38" s="2137" t="e">
        <f t="array" ref="F38">IF(C38="","",C38-D38)</f>
      </c>
      <c r="G38" s="2136" t="e">
        <f t="array" ref="G38">IF(C38="","",F38+G37)</f>
      </c>
      <c r="H38" s="2137" t="e">
        <f t="array" ref="H38">IF(C38="","",D38+F38)</f>
      </c>
      <c r="I38" s="38" t="e">
        <f t="array" ref="I38">IF(C38="","",H38+I37)</f>
      </c>
      <c r="J38" s="38" t="e">
        <f t="array" ref="J38">IF(B38="","",IF($B38&lt;'Assumptions'!$T$93,$G38*'Assumptions'!$D$93/12,0))</f>
      </c>
      <c r="K38" s="38" t="e">
        <f t="array" ref="K38">IF(J38="","HIDE","")</f>
      </c>
      <c r="L38" s="2100" t="n"/>
      <c r="M38" s="2138" t="e">
        <f t="array" ref="M38">IF(B38="","",VLOOKUP(B38,'S&amp;U-Timeline'!$P$9:$Q$81,2,0))</f>
      </c>
      <c r="N38" s="2133" t="n"/>
      <c r="O38" s="26" t="n"/>
      <c r="P38" s="26" t="n"/>
      <c r="Q38" s="26" t="n"/>
      <c r="R38" s="26" t="n"/>
      <c r="S38" s="26" t="n"/>
      <c r="T38" s="26" t="n"/>
      <c r="U38" s="27" t="n"/>
    </row>
    <row r="39" s="3154" customFormat="1" ht="13.5" customHeight="1">
      <c r="A39" s="2135" t="e">
        <f t="array" ref="A39">IF('Cost Outflows'!$B100&lt;=$C$7,'Cost Outflows'!$A100,"")</f>
      </c>
      <c r="B39" s="38" t="e">
        <f t="array" ref="B39">IF('Cost Outflows'!B100&lt;=$C$7,'Cost Outflows'!B100,"")</f>
      </c>
      <c r="C39" s="2136" t="e">
        <f t="array" ref="C39">IF('Cost Outflows'!$B100&lt;=$C$7,'Cost Outflows'!$L100,"")</f>
      </c>
      <c r="D39" s="2137" t="e">
        <f t="array" ref="D39">IF(C39="","",IF($E38&gt;='Assumptions'!$D$104,0,IF((E38+C39)&gt;='Assumptions'!$D$104,'Assumptions'!$D$104-$E38,$C39)))</f>
      </c>
      <c r="E39" s="2136" t="e">
        <f t="array" ref="E39">IF(C39="","",E38+D39)</f>
      </c>
      <c r="F39" s="2137" t="e">
        <f t="array" ref="F39">IF(C39="","",C39-D39)</f>
      </c>
      <c r="G39" s="2136" t="e">
        <f t="array" ref="G39">IF(C39="","",F39+G38)</f>
      </c>
      <c r="H39" s="2137" t="e">
        <f t="array" ref="H39">IF(C39="","",D39+F39)</f>
      </c>
      <c r="I39" s="38" t="e">
        <f t="array" ref="I39">IF(C39="","",H39+I38)</f>
      </c>
      <c r="J39" s="38" t="e">
        <f t="array" ref="J39">IF(B39="","",IF($B39&lt;'Assumptions'!$T$93,$G39*'Assumptions'!$D$93/12,0))</f>
      </c>
      <c r="K39" s="38" t="e">
        <f t="array" ref="K39">IF(J39="","HIDE","")</f>
      </c>
      <c r="L39" s="2100" t="n"/>
      <c r="M39" s="2138" t="e">
        <f t="array" ref="M39">IF(B39="","",VLOOKUP(B39,'S&amp;U-Timeline'!$P$9:$Q$81,2,0))</f>
      </c>
      <c r="N39" s="2133" t="n"/>
      <c r="O39" s="26" t="n"/>
      <c r="P39" s="26" t="n"/>
      <c r="Q39" s="26" t="n"/>
      <c r="R39" s="26" t="n"/>
      <c r="S39" s="26" t="n"/>
      <c r="T39" s="26" t="n"/>
      <c r="U39" s="27" t="n"/>
    </row>
    <row r="40" s="3154" customFormat="1" ht="13.5" customHeight="1">
      <c r="A40" s="2135" t="e">
        <f t="array" ref="A40">IF('Cost Outflows'!$B101&lt;=$C$7,'Cost Outflows'!$A101,"")</f>
      </c>
      <c r="B40" s="38" t="e">
        <f t="array" ref="B40">IF('Cost Outflows'!B101&lt;=$C$7,'Cost Outflows'!B101,"")</f>
      </c>
      <c r="C40" s="2136" t="e">
        <f t="array" ref="C40">IF('Cost Outflows'!$B101&lt;=$C$7,'Cost Outflows'!$L101,"")</f>
      </c>
      <c r="D40" s="2137" t="e">
        <f t="array" ref="D40">IF(C40="","",IF($E39&gt;='Assumptions'!$D$104,0,IF((E39+C40)&gt;='Assumptions'!$D$104,'Assumptions'!$D$104-$E39,$C40)))</f>
      </c>
      <c r="E40" s="2136" t="e">
        <f t="array" ref="E40">IF(C40="","",E39+D40)</f>
      </c>
      <c r="F40" s="2137" t="e">
        <f t="array" ref="F40">IF(C40="","",C40-D40)</f>
      </c>
      <c r="G40" s="2136" t="e">
        <f t="array" ref="G40">IF(C40="","",F40+G39)</f>
      </c>
      <c r="H40" s="2137" t="e">
        <f t="array" ref="H40">IF(C40="","",D40+F40)</f>
      </c>
      <c r="I40" s="38" t="e">
        <f t="array" ref="I40">IF(C40="","",H40+I39)</f>
      </c>
      <c r="J40" s="38" t="e">
        <f t="array" ref="J40">IF(B40="","",IF($B40&lt;'Assumptions'!$T$93,$G40*'Assumptions'!$D$93/12,0))</f>
      </c>
      <c r="K40" s="38" t="e">
        <f t="array" ref="K40">IF(J40="","HIDE","")</f>
      </c>
      <c r="L40" s="2100" t="n"/>
      <c r="M40" s="2138" t="e">
        <f t="array" ref="M40">IF(B40="","",VLOOKUP(B40,'S&amp;U-Timeline'!$P$9:$Q$81,2,0))</f>
      </c>
      <c r="N40" s="2133" t="n"/>
      <c r="O40" s="26" t="n"/>
      <c r="P40" s="26" t="n"/>
      <c r="Q40" s="26" t="n"/>
      <c r="R40" s="26" t="n"/>
      <c r="S40" s="26" t="n"/>
      <c r="T40" s="26" t="n"/>
      <c r="U40" s="27" t="n"/>
    </row>
    <row r="41" s="3154" customFormat="1" ht="13.5" customHeight="1">
      <c r="A41" s="2135" t="e">
        <f t="array" ref="A41">IF('Cost Outflows'!$B102&lt;=$C$7,'Cost Outflows'!$A102,"")</f>
      </c>
      <c r="B41" s="38" t="e">
        <f t="array" ref="B41">IF('Cost Outflows'!B102&lt;=$C$7,'Cost Outflows'!B102,"")</f>
      </c>
      <c r="C41" s="2136" t="e">
        <f t="array" ref="C41">IF('Cost Outflows'!$B102&lt;=$C$7,'Cost Outflows'!$L102,"")</f>
      </c>
      <c r="D41" s="2137" t="e">
        <f t="array" ref="D41">IF(C41="","",IF($E40&gt;='Assumptions'!$D$104,0,IF((E40+C41)&gt;='Assumptions'!$D$104,'Assumptions'!$D$104-$E40,$C41)))</f>
      </c>
      <c r="E41" s="2136" t="e">
        <f t="array" ref="E41">IF(C41="","",E40+D41)</f>
      </c>
      <c r="F41" s="2137" t="e">
        <f t="array" ref="F41">IF(C41="","",C41-D41)</f>
      </c>
      <c r="G41" s="2136" t="e">
        <f t="array" ref="G41">IF(C41="","",F41+G40)</f>
      </c>
      <c r="H41" s="2137" t="e">
        <f t="array" ref="H41">IF(C41="","",D41+F41)</f>
      </c>
      <c r="I41" s="38" t="e">
        <f t="array" ref="I41">IF(C41="","",H41+I40)</f>
      </c>
      <c r="J41" s="38" t="e">
        <f t="array" ref="J41">IF(B41="","",IF($B41&lt;'Assumptions'!$T$93,$G41*'Assumptions'!$D$93/12,0))</f>
      </c>
      <c r="K41" s="38" t="e">
        <f t="array" ref="K41">IF(J41="","HIDE","")</f>
      </c>
      <c r="L41" s="2100" t="n"/>
      <c r="M41" s="2138" t="e">
        <f t="array" ref="M41">IF(B41="","",VLOOKUP(B41,'S&amp;U-Timeline'!$P$9:$Q$81,2,0))</f>
      </c>
      <c r="N41" s="2133" t="n"/>
      <c r="O41" s="26" t="n"/>
      <c r="P41" s="26" t="n"/>
      <c r="Q41" s="26" t="n"/>
      <c r="R41" s="26" t="n"/>
      <c r="S41" s="26" t="n"/>
      <c r="T41" s="26" t="n"/>
      <c r="U41" s="27" t="n"/>
    </row>
    <row r="42" s="3154" customFormat="1" ht="13.5" customHeight="1">
      <c r="A42" s="2135" t="e">
        <f t="array" ref="A42">IF('Cost Outflows'!$B103&lt;=$C$7,'Cost Outflows'!$A103,"")</f>
      </c>
      <c r="B42" s="38" t="e">
        <f t="array" ref="B42">IF('Cost Outflows'!B103&lt;=$C$7,'Cost Outflows'!B103,"")</f>
      </c>
      <c r="C42" s="2136" t="e">
        <f t="array" ref="C42">IF('Cost Outflows'!$B103&lt;=$C$7,'Cost Outflows'!$L103,"")</f>
      </c>
      <c r="D42" s="2137" t="e">
        <f t="array" ref="D42">IF(C42="","",IF($E41&gt;='Assumptions'!$D$104,0,IF((E41+C42)&gt;='Assumptions'!$D$104,'Assumptions'!$D$104-$E41,$C42)))</f>
      </c>
      <c r="E42" s="2136" t="e">
        <f t="array" ref="E42">IF(C42="","",E41+D42)</f>
      </c>
      <c r="F42" s="2137" t="e">
        <f t="array" ref="F42">IF(C42="","",C42-D42)</f>
      </c>
      <c r="G42" s="2136" t="e">
        <f t="array" ref="G42">IF(C42="","",F42+G41)</f>
      </c>
      <c r="H42" s="2137" t="e">
        <f t="array" ref="H42">IF(C42="","",D42+F42)</f>
      </c>
      <c r="I42" s="38" t="e">
        <f t="array" ref="I42">IF(C42="","",H42+I41)</f>
      </c>
      <c r="J42" s="38" t="e">
        <f t="array" ref="J42">IF(B42="","",IF($B42&lt;'Assumptions'!$T$93,$G42*'Assumptions'!$D$93/12,0))</f>
      </c>
      <c r="K42" s="38" t="e">
        <f t="array" ref="K42">IF(J42="","HIDE","")</f>
      </c>
      <c r="L42" s="2100" t="n"/>
      <c r="M42" s="2138" t="e">
        <f t="array" ref="M42">IF(B42="","",VLOOKUP(B42,'S&amp;U-Timeline'!$P$9:$Q$81,2,0))</f>
      </c>
      <c r="N42" s="2133" t="n"/>
      <c r="O42" s="26" t="n"/>
      <c r="P42" s="26" t="n"/>
      <c r="Q42" s="26" t="n"/>
      <c r="R42" s="26" t="n"/>
      <c r="S42" s="26" t="n"/>
      <c r="T42" s="26" t="n"/>
      <c r="U42" s="27" t="n"/>
    </row>
    <row r="43" s="3154" customFormat="1" ht="13.5" customHeight="1">
      <c r="A43" s="2135" t="e">
        <f t="array" ref="A43">IF('Cost Outflows'!$B104&lt;=$C$7,'Cost Outflows'!$A104,"")</f>
      </c>
      <c r="B43" s="38" t="e">
        <f t="array" ref="B43">IF('Cost Outflows'!B104&lt;=$C$7,'Cost Outflows'!B104,"")</f>
      </c>
      <c r="C43" s="2136" t="e">
        <f t="array" ref="C43">IF('Cost Outflows'!$B104&lt;=$C$7,'Cost Outflows'!$L104,"")</f>
      </c>
      <c r="D43" s="2137" t="e">
        <f t="array" ref="D43">IF(C43="","",IF($E42&gt;='Assumptions'!$D$104,0,IF((E42+C43)&gt;='Assumptions'!$D$104,'Assumptions'!$D$104-$E42,$C43)))</f>
      </c>
      <c r="E43" s="2136" t="e">
        <f t="array" ref="E43">IF(C43="","",E42+D43)</f>
      </c>
      <c r="F43" s="2137" t="e">
        <f t="array" ref="F43">IF(C43="","",C43-D43)</f>
      </c>
      <c r="G43" s="2136" t="e">
        <f t="array" ref="G43">IF(C43="","",F43+G42)</f>
      </c>
      <c r="H43" s="2137" t="e">
        <f t="array" ref="H43">IF(C43="","",D43+F43)</f>
      </c>
      <c r="I43" s="38" t="e">
        <f t="array" ref="I43">IF(C43="","",H43+I42)</f>
      </c>
      <c r="J43" s="38" t="e">
        <f t="array" ref="J43">IF(B43="","",IF($B43&lt;'Assumptions'!$T$93,$G43*'Assumptions'!$D$93/12,0))</f>
      </c>
      <c r="K43" s="38" t="e">
        <f t="array" ref="K43">IF(J43="","HIDE","")</f>
      </c>
      <c r="L43" s="2100" t="n"/>
      <c r="M43" s="2138" t="e">
        <f t="array" ref="M43">IF(B43="","",VLOOKUP(B43,'S&amp;U-Timeline'!$P$9:$Q$81,2,0))</f>
      </c>
      <c r="N43" s="2133" t="n"/>
      <c r="O43" s="26" t="n"/>
      <c r="P43" s="26" t="n"/>
      <c r="Q43" s="26" t="n"/>
      <c r="R43" s="26" t="n"/>
      <c r="S43" s="26" t="n"/>
      <c r="T43" s="26" t="n"/>
      <c r="U43" s="27" t="n"/>
    </row>
    <row r="44" s="3154" customFormat="1" ht="13.5" customHeight="1">
      <c r="A44" s="2135" t="e">
        <f t="array" ref="A44">IF('Cost Outflows'!$B105&lt;=$C$7,'Cost Outflows'!$A105,"")</f>
      </c>
      <c r="B44" s="38" t="e">
        <f t="array" ref="B44">IF('Cost Outflows'!B105&lt;=$C$7,'Cost Outflows'!B105,"")</f>
      </c>
      <c r="C44" s="2136" t="e">
        <f t="array" ref="C44">IF('Cost Outflows'!$B105&lt;=$C$7,'Cost Outflows'!$L105,"")</f>
      </c>
      <c r="D44" s="2137" t="e">
        <f t="array" ref="D44">IF(C44="","",IF($E43&gt;='Assumptions'!$D$104,0,IF((E43+C44)&gt;='Assumptions'!$D$104,'Assumptions'!$D$104-$E43,$C44)))</f>
      </c>
      <c r="E44" s="2136" t="e">
        <f t="array" ref="E44">IF(C44="","",E43+D44)</f>
      </c>
      <c r="F44" s="2137" t="e">
        <f t="array" ref="F44">IF(C44="","",C44-D44)</f>
      </c>
      <c r="G44" s="2136" t="e">
        <f t="array" ref="G44">IF(C44="","",F44+G43)</f>
      </c>
      <c r="H44" s="2137" t="e">
        <f t="array" ref="H44">IF(C44="","",D44+F44)</f>
      </c>
      <c r="I44" s="38" t="e">
        <f t="array" ref="I44">IF(C44="","",H44+I43)</f>
      </c>
      <c r="J44" s="38" t="e">
        <f t="array" ref="J44">IF(B44="","",IF($B44&lt;'Assumptions'!$T$93,$G44*'Assumptions'!$D$93/12,0))</f>
      </c>
      <c r="K44" s="38" t="e">
        <f t="array" ref="K44">IF(J44="","HIDE","")</f>
      </c>
      <c r="L44" s="2100" t="n"/>
      <c r="M44" s="2138" t="e">
        <f t="array" ref="M44">IF(B44="","",VLOOKUP(B44,'S&amp;U-Timeline'!$P$9:$Q$81,2,0))</f>
      </c>
      <c r="N44" s="2133" t="n"/>
      <c r="O44" s="26" t="n"/>
      <c r="P44" s="26" t="n"/>
      <c r="Q44" s="26" t="n"/>
      <c r="R44" s="26" t="n"/>
      <c r="S44" s="26" t="n"/>
      <c r="T44" s="26" t="n"/>
      <c r="U44" s="27" t="n"/>
    </row>
    <row r="45" s="3154" customFormat="1" ht="13.5" customHeight="1">
      <c r="A45" s="2139" t="e">
        <f t="array" ref="A45">IF('Cost Outflows'!$B106&lt;=$C$7,'Cost Outflows'!$A106,"")</f>
      </c>
      <c r="B45" s="2125" t="e">
        <f t="array" ref="B45">IF('Cost Outflows'!B106&lt;=$C$7,'Cost Outflows'!B106,"")</f>
      </c>
      <c r="C45" s="2140" t="e">
        <f t="array" ref="C45">IF('Cost Outflows'!$B106&lt;=$C$7,'Cost Outflows'!$L106,"")</f>
      </c>
      <c r="D45" s="2141" t="e">
        <f t="array" ref="D45">IF(C45="","",IF($E44&gt;='Assumptions'!$D$104,0,IF((E44+C45)&gt;='Assumptions'!$D$104,'Assumptions'!$D$104-$E44,$C45)))</f>
      </c>
      <c r="E45" s="2140" t="e">
        <f t="array" ref="E45">IF(C45="","",E44+D45)</f>
      </c>
      <c r="F45" s="2141" t="e">
        <f t="array" ref="F45">IF(C45="","",C45-D45)</f>
      </c>
      <c r="G45" s="2140" t="e">
        <f t="array" ref="G45">IF(C45="","",F45+G44)</f>
      </c>
      <c r="H45" s="2141" t="e">
        <f t="array" ref="H45">IF(C45="","",D45+F45)</f>
      </c>
      <c r="I45" s="2125" t="e">
        <f t="array" ref="I45">IF(C45="","",H45+I44)</f>
      </c>
      <c r="J45" s="2125" t="e">
        <f t="array" ref="J45">IF(B45="","",IF($B45&lt;'Assumptions'!$T$93,$G45*'Assumptions'!$D$93/12,0))</f>
      </c>
      <c r="K45" s="2125" t="e">
        <f t="array" ref="K45">IF(J45="","HIDE","")</f>
      </c>
      <c r="L45" s="2126" t="n"/>
      <c r="M45" s="2142" t="e">
        <f t="array" ref="M45">IF(B45="","",VLOOKUP(B45,'S&amp;U-Timeline'!$P$9:$Q$81,2,0))</f>
      </c>
      <c r="N45" s="2133" t="n"/>
      <c r="O45" s="26" t="n"/>
      <c r="P45" s="26" t="n"/>
      <c r="Q45" s="26" t="n"/>
      <c r="R45" s="26" t="n"/>
      <c r="S45" s="26" t="n"/>
      <c r="T45" s="26" t="n"/>
      <c r="U45" s="27" t="n"/>
    </row>
    <row r="46" s="3154" customFormat="1" ht="13.5" customHeight="1">
      <c r="A46" s="2143" t="e">
        <f t="array" ref="A46">IF('Cost Outflows'!$B107&lt;=$C$7,'Cost Outflows'!$A107,"")</f>
      </c>
      <c r="B46" s="534" t="e">
        <f t="array" ref="B46">IF('Cost Outflows'!B107&lt;=$C$7,'Cost Outflows'!B107,"")</f>
      </c>
      <c r="C46" s="2144" t="e">
        <f t="array" ref="C46">IF('Cost Outflows'!$B107&lt;=$C$7,'Cost Outflows'!$L107,"")</f>
      </c>
      <c r="D46" s="2145" t="e">
        <f t="array" ref="D46">IF(C46="","",IF($E45&gt;='Assumptions'!$D$104,0,IF((E45+C46)&gt;='Assumptions'!$D$104,'Assumptions'!$D$104-$E45,$C46)))</f>
      </c>
      <c r="E46" s="2144" t="e">
        <f t="array" ref="E46">IF(C46="","",E45+D46)</f>
      </c>
      <c r="F46" s="2145" t="e">
        <f t="array" ref="F46">IF(C46="","",C46-D46)</f>
      </c>
      <c r="G46" s="2144" t="e">
        <f t="array" ref="G46">IF(C46="","",F46+G45)</f>
      </c>
      <c r="H46" s="2145" t="e">
        <f t="array" ref="H46">IF(C46="","",D46+F46)</f>
      </c>
      <c r="I46" s="534" t="e">
        <f t="array" ref="I46">IF(C46="","",H46+I45)</f>
      </c>
      <c r="J46" s="534" t="e">
        <f t="array" ref="J46">IF(B46="","",IF($B46&lt;'Assumptions'!$T$93,$G46*'Assumptions'!$D$93/12,0))</f>
      </c>
      <c r="K46" s="534" t="e">
        <f t="array" ref="K46">IF(J46="","HIDE","")</f>
      </c>
      <c r="L46" s="2131" t="n"/>
      <c r="M46" s="2146" t="e">
        <f t="array" ref="M46">IF(B46="","",VLOOKUP(B46,'S&amp;U-Timeline'!$P$9:$Q$81,2,0))</f>
      </c>
      <c r="N46" s="2118" t="n"/>
      <c r="O46" s="26" t="n"/>
      <c r="P46" s="26" t="n"/>
      <c r="Q46" s="26" t="n"/>
      <c r="R46" s="26" t="n"/>
      <c r="S46" s="26" t="n"/>
      <c r="T46" s="26" t="n"/>
      <c r="U46" s="27" t="n"/>
    </row>
    <row r="47" s="3154" customFormat="1" ht="13.5" customHeight="1">
      <c r="A47" s="2111" t="e">
        <f t="array" ref="A47">IF('Cost Outflows'!$B108&lt;=$C$7,'Cost Outflows'!$A108,"")</f>
      </c>
      <c r="B47" s="38" t="e">
        <f t="array" ref="B47">IF('Cost Outflows'!B108&lt;=$C$7,'Cost Outflows'!B108,"")</f>
      </c>
      <c r="C47" s="2136" t="e">
        <f t="array" ref="C47">IF('Cost Outflows'!$B108&lt;=$C$7,'Cost Outflows'!$L108,"")</f>
      </c>
      <c r="D47" s="2137" t="e">
        <f t="array" ref="D47">IF(C47="","",IF($E46&gt;='Assumptions'!$D$104,0,IF((E46+C47)&gt;='Assumptions'!$D$104,'Assumptions'!$D$104-$E46,$C47)))</f>
      </c>
      <c r="E47" s="2136" t="e">
        <f t="array" ref="E47">IF(C47="","",E46+D47)</f>
      </c>
      <c r="F47" s="2137" t="e">
        <f t="array" ref="F47">IF(C47="","",C47-D47)</f>
      </c>
      <c r="G47" s="2136" t="e">
        <f t="array" ref="G47">IF(C47="","",F47+G46)</f>
      </c>
      <c r="H47" s="2137" t="e">
        <f t="array" ref="H47">IF(C47="","",D47+F47)</f>
      </c>
      <c r="I47" s="38" t="e">
        <f t="array" ref="I47">IF(C47="","",H47+I46)</f>
      </c>
      <c r="J47" s="38" t="e">
        <f t="array" ref="J47">IF(B47="","",IF($B47&lt;'Assumptions'!$T$93,$G47*'Assumptions'!$D$93/12,0))</f>
      </c>
      <c r="K47" s="38" t="e">
        <f t="array" ref="K47">IF(J47="","HIDE","")</f>
      </c>
      <c r="L47" s="2100" t="n"/>
      <c r="M47" s="206" t="e">
        <f t="array" ref="M47">IF(B47="","",VLOOKUP(B47,'S&amp;U-Timeline'!$P$9:$Q$81,2,0))</f>
      </c>
      <c r="N47" s="2147" t="e">
        <f t="array" ref="N47">IF(D47="","",YEAR(E47))</f>
      </c>
      <c r="O47" s="26" t="n"/>
      <c r="P47" s="26" t="n"/>
      <c r="Q47" s="26" t="n"/>
      <c r="R47" s="26" t="n"/>
      <c r="S47" s="26" t="n"/>
      <c r="T47" s="26" t="n"/>
      <c r="U47" s="27" t="n"/>
    </row>
    <row r="48" s="3154" customFormat="1" ht="13.5" customHeight="1">
      <c r="A48" s="2111" t="e">
        <f t="array" ref="A48">IF('Cost Outflows'!$B109&lt;=$C$7,'Cost Outflows'!$A109,"")</f>
      </c>
      <c r="B48" s="38" t="e">
        <f t="array" ref="B48">IF('Cost Outflows'!B109&lt;=$C$7,'Cost Outflows'!B109,"")</f>
      </c>
      <c r="C48" s="2136" t="e">
        <f t="array" ref="C48">IF('Cost Outflows'!$B109&lt;=$C$7,'Cost Outflows'!$L109,"")</f>
      </c>
      <c r="D48" s="2137" t="e">
        <f t="array" ref="D48">IF(C48="","",IF($E47&gt;='Assumptions'!$D$104,0,IF((E47+C48)&gt;='Assumptions'!$D$104,'Assumptions'!$D$104-$E47,$C48)))</f>
      </c>
      <c r="E48" s="2136" t="e">
        <f t="array" ref="E48">IF(C48="","",E47+D48)</f>
      </c>
      <c r="F48" s="2137" t="e">
        <f t="array" ref="F48">IF(C48="","",C48-D48)</f>
      </c>
      <c r="G48" s="2136" t="e">
        <f t="array" ref="G48">IF(C48="","",F48+G47)</f>
      </c>
      <c r="H48" s="2137" t="e">
        <f t="array" ref="H48">IF(C48="","",D48+F48)</f>
      </c>
      <c r="I48" s="38" t="e">
        <f t="array" ref="I48">IF(C48="","",H48+I47)</f>
      </c>
      <c r="J48" s="38" t="e">
        <f t="array" ref="J48">IF(B48="","",IF($B48&lt;'Assumptions'!$T$93,$G48*'Assumptions'!$D$93/12,0))</f>
      </c>
      <c r="K48" s="38" t="e">
        <f t="array" ref="K48">IF(J48="","HIDE","")</f>
      </c>
      <c r="L48" s="2100" t="n"/>
      <c r="M48" s="206" t="e">
        <f t="array" ref="M48">IF(B48="","",VLOOKUP(B48,'S&amp;U-Timeline'!$P$9:$Q$81,2,0))</f>
      </c>
      <c r="N48" s="2147" t="e">
        <f t="array" ref="N48">IF(D48="","",YEAR(E48))</f>
      </c>
      <c r="O48" s="26" t="n"/>
      <c r="P48" s="26" t="n"/>
      <c r="Q48" s="26" t="n"/>
      <c r="R48" s="26" t="n"/>
      <c r="S48" s="26" t="n"/>
      <c r="T48" s="26" t="n"/>
      <c r="U48" s="27" t="n"/>
    </row>
    <row r="49" s="3154" customFormat="1" ht="13.5" customHeight="1">
      <c r="A49" s="2111" t="e">
        <f t="array" ref="A49">IF('Cost Outflows'!$B110&lt;=$C$7,'Cost Outflows'!$A110,"")</f>
      </c>
      <c r="B49" s="38" t="e">
        <f t="array" ref="B49">IF('Cost Outflows'!B110&lt;=$C$7,'Cost Outflows'!B110,"")</f>
      </c>
      <c r="C49" s="2136" t="e">
        <f t="array" ref="C49">IF('Cost Outflows'!$B110&lt;=$C$7,'Cost Outflows'!$L110,"")</f>
      </c>
      <c r="D49" s="2137" t="e">
        <f t="array" ref="D49">IF(C49="","",IF($E48&gt;='Assumptions'!$D$104,0,IF((E48+C49)&gt;='Assumptions'!$D$104,'Assumptions'!$D$104-$E48,$C49)))</f>
      </c>
      <c r="E49" s="2136" t="e">
        <f t="array" ref="E49">IF(C49="","",E48+D49)</f>
      </c>
      <c r="F49" s="2137" t="e">
        <f t="array" ref="F49">IF(C49="","",C49-D49)</f>
      </c>
      <c r="G49" s="2136" t="e">
        <f t="array" ref="G49">IF(C49="","",F49+G48)</f>
      </c>
      <c r="H49" s="2137" t="e">
        <f t="array" ref="H49">IF(C49="","",D49+F49)</f>
      </c>
      <c r="I49" s="38" t="e">
        <f t="array" ref="I49">IF(C49="","",H49+I48)</f>
      </c>
      <c r="J49" s="38" t="e">
        <f t="array" ref="J49">IF(B49="","",IF($B49&lt;'Assumptions'!$T$93,$G49*'Assumptions'!$D$93/12,0))</f>
      </c>
      <c r="K49" s="38" t="e">
        <f t="array" ref="K49">IF(J49="","HIDE","")</f>
      </c>
      <c r="L49" s="2100" t="n"/>
      <c r="M49" s="206" t="e">
        <f t="array" ref="M49">IF(B49="","",VLOOKUP(B49,'S&amp;U-Timeline'!$P$9:$Q$81,2,0))</f>
      </c>
      <c r="N49" s="2147" t="e">
        <f t="array" ref="N49">IF(D49="","",YEAR(E49))</f>
      </c>
      <c r="O49" s="26" t="n"/>
      <c r="P49" s="26" t="n"/>
      <c r="Q49" s="26" t="n"/>
      <c r="R49" s="26" t="n"/>
      <c r="S49" s="26" t="n"/>
      <c r="T49" s="26" t="n"/>
      <c r="U49" s="27" t="n"/>
    </row>
    <row r="50" s="3154" customFormat="1" ht="13.5" customHeight="1">
      <c r="A50" s="2111" t="e">
        <f t="array" ref="A50">IF('Cost Outflows'!$B111&lt;=$C$7,'Cost Outflows'!$A111,"")</f>
      </c>
      <c r="B50" s="38" t="e">
        <f t="array" ref="B50">IF('Cost Outflows'!B111&lt;=$C$7,'Cost Outflows'!B111,"")</f>
      </c>
      <c r="C50" s="2136" t="e">
        <f t="array" ref="C50">IF('Cost Outflows'!$B111&lt;=$C$7,'Cost Outflows'!$L111,"")</f>
      </c>
      <c r="D50" s="2137" t="e">
        <f t="array" ref="D50">IF(C50="","",IF($E49&gt;='Assumptions'!$D$104,0,IF((E49+C50)&gt;='Assumptions'!$D$104,'Assumptions'!$D$104-$E49,$C50)))</f>
      </c>
      <c r="E50" s="2136" t="e">
        <f t="array" ref="E50">IF(C50="","",E49+D50)</f>
      </c>
      <c r="F50" s="2137" t="e">
        <f t="array" ref="F50">IF(C50="","",C50-D50)</f>
      </c>
      <c r="G50" s="2136" t="e">
        <f t="array" ref="G50">IF(C50="","",F50+G49)</f>
      </c>
      <c r="H50" s="2137" t="e">
        <f t="array" ref="H50">IF(C50="","",D50+F50)</f>
      </c>
      <c r="I50" s="38" t="e">
        <f t="array" ref="I50">IF(C50="","",H50+I49)</f>
      </c>
      <c r="J50" s="38" t="e">
        <f t="array" ref="J50">IF(B50="","",IF($B50&lt;'Assumptions'!$T$93,$G50*'Assumptions'!$D$93/12,0))</f>
      </c>
      <c r="K50" s="38" t="e">
        <f t="array" ref="K50">IF(J50="","HIDE","")</f>
      </c>
      <c r="L50" s="2100" t="n"/>
      <c r="M50" s="206" t="e">
        <f t="array" ref="M50">IF(B50="","",VLOOKUP(B50,'S&amp;U-Timeline'!$P$9:$Q$81,2,0))</f>
      </c>
      <c r="N50" s="2147" t="e">
        <f t="array" ref="N50">IF(D50="","",YEAR(E50))</f>
      </c>
      <c r="O50" s="26" t="n"/>
      <c r="P50" s="26" t="n"/>
      <c r="Q50" s="26" t="n"/>
      <c r="R50" s="26" t="n"/>
      <c r="S50" s="26" t="n"/>
      <c r="T50" s="26" t="n"/>
      <c r="U50" s="27" t="n"/>
    </row>
    <row r="51" s="3154" customFormat="1" ht="13.5" customHeight="1">
      <c r="A51" s="2111" t="e">
        <f t="array" ref="A51">IF('Cost Outflows'!$B112&lt;=$C$7,'Cost Outflows'!$A112,"")</f>
      </c>
      <c r="B51" s="38" t="e">
        <f t="array" ref="B51">IF('Cost Outflows'!B112&lt;=$C$7,'Cost Outflows'!B112,"")</f>
      </c>
      <c r="C51" s="2136" t="e">
        <f t="array" ref="C51">IF('Cost Outflows'!$B112&lt;=$C$7,'Cost Outflows'!$L112,"")</f>
      </c>
      <c r="D51" s="2137" t="e">
        <f t="array" ref="D51">IF(C51="","",IF($E50&gt;='Assumptions'!$D$104,0,IF((E50+C51)&gt;='Assumptions'!$D$104,'Assumptions'!$D$104-$E50,$C51)))</f>
      </c>
      <c r="E51" s="2136" t="e">
        <f t="array" ref="E51">IF(C51="","",E50+D51)</f>
      </c>
      <c r="F51" s="2137" t="e">
        <f t="array" ref="F51">IF(C51="","",C51-D51)</f>
      </c>
      <c r="G51" s="2136" t="e">
        <f t="array" ref="G51">IF(C51="","",F51+G50)</f>
      </c>
      <c r="H51" s="2137" t="e">
        <f t="array" ref="H51">IF(C51="","",D51+F51)</f>
      </c>
      <c r="I51" s="38" t="e">
        <f t="array" ref="I51">IF(C51="","",H51+I50)</f>
      </c>
      <c r="J51" s="38" t="e">
        <f t="array" ref="J51">IF(B51="","",IF($B51&lt;'Assumptions'!$T$93,$G51*'Assumptions'!$D$93/12,0))</f>
      </c>
      <c r="K51" s="38" t="e">
        <f t="array" ref="K51">IF(J51="","HIDE","")</f>
      </c>
      <c r="L51" s="2100" t="n"/>
      <c r="M51" s="206" t="e">
        <f t="array" ref="M51">IF(B51="","",VLOOKUP(B51,'S&amp;U-Timeline'!$P$9:$Q$81,2,0))</f>
      </c>
      <c r="N51" s="2147" t="e">
        <f t="array" ref="N51">IF(D51="","",YEAR(E51))</f>
      </c>
      <c r="O51" s="26" t="n"/>
      <c r="P51" s="26" t="n"/>
      <c r="Q51" s="26" t="n"/>
      <c r="R51" s="26" t="n"/>
      <c r="S51" s="26" t="n"/>
      <c r="T51" s="26" t="n"/>
      <c r="U51" s="27" t="n"/>
    </row>
    <row r="52" s="3154" customFormat="1" ht="13.5" customHeight="1">
      <c r="A52" s="2111" t="e">
        <f t="array" ref="A52">IF('Cost Outflows'!$B113&lt;=$C$7,'Cost Outflows'!$A113,"")</f>
      </c>
      <c r="B52" s="38" t="e">
        <f t="array" ref="B52">IF('Cost Outflows'!B113&lt;=$C$7,'Cost Outflows'!B113,"")</f>
      </c>
      <c r="C52" s="2136" t="e">
        <f t="array" ref="C52">IF('Cost Outflows'!$B113&lt;=$C$7,'Cost Outflows'!$L113,"")</f>
      </c>
      <c r="D52" s="2137" t="e">
        <f t="array" ref="D52">IF(C52="","",IF($E51&gt;='Assumptions'!$D$104,0,IF((E51+C52)&gt;='Assumptions'!$D$104,'Assumptions'!$D$104-$E51,$C52)))</f>
      </c>
      <c r="E52" s="2136" t="e">
        <f t="array" ref="E52">IF(C52="","",E51+D52)</f>
      </c>
      <c r="F52" s="2137" t="e">
        <f t="array" ref="F52">IF(C52="","",C52-D52)</f>
      </c>
      <c r="G52" s="2136" t="e">
        <f t="array" ref="G52">IF(C52="","",F52+G51)</f>
      </c>
      <c r="H52" s="2137" t="e">
        <f t="array" ref="H52">IF(C52="","",D52+F52)</f>
      </c>
      <c r="I52" s="38" t="e">
        <f t="array" ref="I52">IF(C52="","",H52+I51)</f>
      </c>
      <c r="J52" s="38" t="e">
        <f t="array" ref="J52">IF(B52="","",IF($B52&lt;'Assumptions'!$T$93,$G52*'Assumptions'!$D$93/12,0))</f>
      </c>
      <c r="K52" s="38" t="e">
        <f t="array" ref="K52">IF(J52="","HIDE","")</f>
      </c>
      <c r="L52" s="2100" t="n"/>
      <c r="M52" s="206" t="e">
        <f t="array" ref="M52">IF(B52="","",VLOOKUP(B52,'S&amp;U-Timeline'!$P$9:$Q$81,2,0))</f>
      </c>
      <c r="N52" s="2147" t="e">
        <f t="array" ref="N52">IF(D52="","",YEAR(E52))</f>
      </c>
      <c r="O52" s="26" t="n"/>
      <c r="P52" s="26" t="n"/>
      <c r="Q52" s="26" t="n"/>
      <c r="R52" s="26" t="n"/>
      <c r="S52" s="26" t="n"/>
      <c r="T52" s="26" t="n"/>
      <c r="U52" s="27" t="n"/>
    </row>
    <row r="53" s="3154" customFormat="1" ht="13.5" customHeight="1">
      <c r="A53" s="2111" t="e">
        <f t="array" ref="A53">IF('Cost Outflows'!$B114&lt;=$C$7,'Cost Outflows'!$A114,"")</f>
      </c>
      <c r="B53" s="38" t="e">
        <f t="array" ref="B53">IF('Cost Outflows'!B114&lt;=$C$7,'Cost Outflows'!B114,"")</f>
      </c>
      <c r="C53" s="2136" t="e">
        <f t="array" ref="C53">IF('Cost Outflows'!$B114&lt;=$C$7,'Cost Outflows'!$L114,"")</f>
      </c>
      <c r="D53" s="2137" t="e">
        <f t="array" ref="D53">IF(C53="","",IF($E52&gt;='Assumptions'!$D$104,0,IF((E52+C53)&gt;='Assumptions'!$D$104,'Assumptions'!$D$104-$E52,$C53)))</f>
      </c>
      <c r="E53" s="2136" t="e">
        <f t="array" ref="E53">IF(C53="","",E52+D53)</f>
      </c>
      <c r="F53" s="2137" t="e">
        <f t="array" ref="F53">IF(C53="","",C53-D53)</f>
      </c>
      <c r="G53" s="2136" t="e">
        <f t="array" ref="G53">IF(C53="","",F53+G52)</f>
      </c>
      <c r="H53" s="2137" t="e">
        <f t="array" ref="H53">IF(C53="","",D53+F53)</f>
      </c>
      <c r="I53" s="38" t="e">
        <f t="array" ref="I53">IF(C53="","",H53+I52)</f>
      </c>
      <c r="J53" s="38" t="e">
        <f t="array" ref="J53">IF(B53="","",IF($B53&lt;'Assumptions'!$T$93,$G53*'Assumptions'!$D$93/12,0))</f>
      </c>
      <c r="K53" s="38" t="e">
        <f t="array" ref="K53">IF(J53="","HIDE","")</f>
      </c>
      <c r="L53" s="2100" t="n"/>
      <c r="M53" s="206" t="e">
        <f t="array" ref="M53">IF(B53="","",VLOOKUP(B53,'S&amp;U-Timeline'!$P$9:$Q$81,2,0))</f>
      </c>
      <c r="N53" s="2147" t="e">
        <f t="array" ref="N53">IF(D53="","",YEAR(E53))</f>
      </c>
      <c r="O53" s="26" t="n"/>
      <c r="P53" s="26" t="n"/>
      <c r="Q53" s="26" t="n"/>
      <c r="R53" s="26" t="n"/>
      <c r="S53" s="26" t="n"/>
      <c r="T53" s="26" t="n"/>
      <c r="U53" s="27" t="n"/>
    </row>
    <row r="54" s="3154" customFormat="1" ht="13.5" customHeight="1">
      <c r="A54" s="2111" t="e">
        <f t="array" ref="A54">IF('Cost Outflows'!$B115&lt;=$C$7,'Cost Outflows'!$A115,"")</f>
      </c>
      <c r="B54" s="38" t="e">
        <f t="array" ref="B54">IF('Cost Outflows'!B115&lt;=$C$7,'Cost Outflows'!B115,"")</f>
      </c>
      <c r="C54" s="2136" t="e">
        <f t="array" ref="C54">IF('Cost Outflows'!$B115&lt;=$C$7,'Cost Outflows'!$L115,"")</f>
      </c>
      <c r="D54" s="2137" t="e">
        <f t="array" ref="D54">IF(C54="","",IF($E53&gt;='Assumptions'!$D$104,0,IF((E53+C54)&gt;='Assumptions'!$D$104,'Assumptions'!$D$104-$E53,$C54)))</f>
      </c>
      <c r="E54" s="2136" t="e">
        <f t="array" ref="E54">IF(C54="","",E53+D54)</f>
      </c>
      <c r="F54" s="2137" t="e">
        <f t="array" ref="F54">IF(C54="","",C54-D54)</f>
      </c>
      <c r="G54" s="2136" t="e">
        <f t="array" ref="G54">IF(C54="","",F54+G53)</f>
      </c>
      <c r="H54" s="2137" t="e">
        <f t="array" ref="H54">IF(C54="","",D54+F54)</f>
      </c>
      <c r="I54" s="38" t="e">
        <f t="array" ref="I54">IF(C54="","",H54+I53)</f>
      </c>
      <c r="J54" s="38" t="e">
        <f t="array" ref="J54">IF(B54="","",IF($B54&lt;'Assumptions'!$T$93,$G54*'Assumptions'!$D$93/12,0))</f>
      </c>
      <c r="K54" s="38" t="e">
        <f t="array" ref="K54">IF(J54="","HIDE","")</f>
      </c>
      <c r="L54" s="2100" t="n"/>
      <c r="M54" s="206" t="e">
        <f t="array" ref="M54">IF(B54="","",VLOOKUP(B54,'S&amp;U-Timeline'!$P$9:$Q$81,2,0))</f>
      </c>
      <c r="N54" s="2147" t="e">
        <f t="array" ref="N54">IF(D54="","",YEAR(E54))</f>
      </c>
      <c r="O54" s="26" t="n"/>
      <c r="P54" s="26" t="n"/>
      <c r="Q54" s="26" t="n"/>
      <c r="R54" s="26" t="n"/>
      <c r="S54" s="26" t="n"/>
      <c r="T54" s="26" t="n"/>
      <c r="U54" s="27" t="n"/>
    </row>
    <row r="55" s="3154" customFormat="1" ht="13.5" customHeight="1">
      <c r="A55" s="2111" t="e">
        <f t="array" ref="A55">IF('Cost Outflows'!$B116&lt;=$C$7,'Cost Outflows'!$A116,"")</f>
      </c>
      <c r="B55" s="38" t="e">
        <f t="array" ref="B55">IF('Cost Outflows'!B116&lt;=$C$7,'Cost Outflows'!B116,"")</f>
      </c>
      <c r="C55" s="2136" t="e">
        <f t="array" ref="C55">IF('Cost Outflows'!$B116&lt;=$C$7,'Cost Outflows'!$L116,"")</f>
      </c>
      <c r="D55" s="2137" t="e">
        <f t="array" ref="D55">IF(C55="","",IF($E54&gt;='Assumptions'!$D$104,0,IF((E54+C55)&gt;='Assumptions'!$D$104,'Assumptions'!$D$104-$E54,$C55)))</f>
      </c>
      <c r="E55" s="2136" t="e">
        <f t="array" ref="E55">IF(C55="","",E54+D55)</f>
      </c>
      <c r="F55" s="2137" t="e">
        <f t="array" ref="F55">IF(C55="","",C55-D55)</f>
      </c>
      <c r="G55" s="2136" t="e">
        <f t="array" ref="G55">IF(C55="","",F55+G54)</f>
      </c>
      <c r="H55" s="2137" t="e">
        <f t="array" ref="H55">IF(C55="","",D55+F55)</f>
      </c>
      <c r="I55" s="38" t="e">
        <f t="array" ref="I55">IF(C55="","",H55+I54)</f>
      </c>
      <c r="J55" s="38" t="e">
        <f t="array" ref="J55">IF(B55="","",IF($B55&lt;'Assumptions'!$T$93,$G55*'Assumptions'!$D$93/12,0))</f>
      </c>
      <c r="K55" s="38" t="e">
        <f t="array" ref="K55">IF(J55="","HIDE","")</f>
      </c>
      <c r="L55" s="2100" t="n"/>
      <c r="M55" s="206" t="e">
        <f t="array" ref="M55">IF(B55="","",VLOOKUP(B55,'S&amp;U-Timeline'!$P$9:$Q$81,2,0))</f>
      </c>
      <c r="N55" s="2147" t="e">
        <f t="array" ref="N55">IF(D55="","",YEAR(E55))</f>
      </c>
      <c r="O55" s="26" t="n"/>
      <c r="P55" s="26" t="n"/>
      <c r="Q55" s="26" t="n"/>
      <c r="R55" s="26" t="n"/>
      <c r="S55" s="26" t="n"/>
      <c r="T55" s="26" t="n"/>
      <c r="U55" s="27" t="n"/>
    </row>
    <row r="56" s="3154" customFormat="1" ht="13.5" customHeight="1">
      <c r="A56" s="2111" t="e">
        <f t="array" ref="A56">IF('Cost Outflows'!$B117&lt;=$C$7,'Cost Outflows'!$A117,"")</f>
      </c>
      <c r="B56" s="38" t="e">
        <f t="array" ref="B56">IF('Cost Outflows'!B117&lt;=$C$7,'Cost Outflows'!B117,"")</f>
      </c>
      <c r="C56" s="2136" t="e">
        <f t="array" ref="C56">IF('Cost Outflows'!$B117&lt;=$C$7,'Cost Outflows'!$L117,"")</f>
      </c>
      <c r="D56" s="2137" t="e">
        <f t="array" ref="D56">IF(C56="","",IF($E55&gt;='Assumptions'!$D$104,0,IF((E55+C56)&gt;='Assumptions'!$D$104,'Assumptions'!$D$104-$E55,$C56)))</f>
      </c>
      <c r="E56" s="2136" t="e">
        <f t="array" ref="E56">IF(C56="","",E55+D56)</f>
      </c>
      <c r="F56" s="2137" t="e">
        <f t="array" ref="F56">IF(C56="","",C56-D56)</f>
      </c>
      <c r="G56" s="2136" t="e">
        <f t="array" ref="G56">IF(C56="","",F56+G55)</f>
      </c>
      <c r="H56" s="2137" t="e">
        <f t="array" ref="H56">IF(C56="","",D56+F56)</f>
      </c>
      <c r="I56" s="38" t="e">
        <f t="array" ref="I56">IF(C56="","",H56+I55)</f>
      </c>
      <c r="J56" s="38" t="e">
        <f t="array" ref="J56">IF(B56="","",IF($B56&lt;'Assumptions'!$T$93,$G56*'Assumptions'!$D$93/12,0))</f>
      </c>
      <c r="K56" s="38" t="e">
        <f t="array" ref="K56">IF(J56="","HIDE","")</f>
      </c>
      <c r="L56" s="2100" t="n"/>
      <c r="M56" s="206" t="e">
        <f t="array" ref="M56">IF(B56="","",VLOOKUP(B56,'S&amp;U-Timeline'!$P$9:$Q$81,2,0))</f>
      </c>
      <c r="N56" s="2147" t="e">
        <f t="array" ref="N56">IF(D56="","",YEAR(E56))</f>
      </c>
      <c r="O56" s="26" t="n"/>
      <c r="P56" s="26" t="n"/>
      <c r="Q56" s="26" t="n"/>
      <c r="R56" s="26" t="n"/>
      <c r="S56" s="26" t="n"/>
      <c r="T56" s="26" t="n"/>
      <c r="U56" s="27" t="n"/>
    </row>
    <row r="57" s="3154" customFormat="1" ht="13.5" customHeight="1">
      <c r="A57" s="2111" t="e">
        <f t="array" ref="A57">IF('Cost Outflows'!$B118&lt;=$C$7,'Cost Outflows'!$A118,"")</f>
      </c>
      <c r="B57" s="38" t="e">
        <f t="array" ref="B57">IF('Cost Outflows'!B118&lt;=$C$7,'Cost Outflows'!B118,"")</f>
      </c>
      <c r="C57" s="2136" t="e">
        <f t="array" ref="C57">IF('Cost Outflows'!$B118&lt;=$C$7,'Cost Outflows'!$L118,"")</f>
      </c>
      <c r="D57" s="2137" t="e">
        <f t="array" ref="D57">IF(C57="","",IF($E56&gt;='Assumptions'!$D$104,0,IF((E56+C57)&gt;='Assumptions'!$D$104,'Assumptions'!$D$104-$E56,$C57)))</f>
      </c>
      <c r="E57" s="2136" t="e">
        <f t="array" ref="E57">IF(C57="","",E56+D57)</f>
      </c>
      <c r="F57" s="2137" t="e">
        <f t="array" ref="F57">IF(C57="","",C57-D57)</f>
      </c>
      <c r="G57" s="2136" t="e">
        <f t="array" ref="G57">IF(C57="","",F57+G56)</f>
      </c>
      <c r="H57" s="2137" t="e">
        <f t="array" ref="H57">IF(C57="","",D57+F57)</f>
      </c>
      <c r="I57" s="38" t="e">
        <f t="array" ref="I57">IF(C57="","",H57+I56)</f>
      </c>
      <c r="J57" s="38" t="e">
        <f t="array" ref="J57">IF(B57="","",IF($B57&lt;'Assumptions'!$T$93,$G57*'Assumptions'!$D$93/12,0))</f>
      </c>
      <c r="K57" s="38" t="e">
        <f t="array" ref="K57">IF(J57="","HIDE","")</f>
      </c>
      <c r="L57" s="2100" t="n"/>
      <c r="M57" s="206" t="e">
        <f t="array" ref="M57">IF(B57="","",VLOOKUP(B57,'S&amp;U-Timeline'!$P$9:$Q$81,2,0))</f>
      </c>
      <c r="N57" s="2147" t="e">
        <f t="array" ref="N57">IF(D57="","",YEAR(E57))</f>
      </c>
      <c r="O57" s="26" t="n"/>
      <c r="P57" s="26" t="n"/>
      <c r="Q57" s="26" t="n"/>
      <c r="R57" s="26" t="n"/>
      <c r="S57" s="26" t="n"/>
      <c r="T57" s="26" t="n"/>
      <c r="U57" s="27" t="n"/>
    </row>
    <row r="58" s="3154" customFormat="1" ht="13.5" customHeight="1">
      <c r="A58" s="2111" t="e">
        <f t="array" ref="A58">IF('Cost Outflows'!$B119&lt;=$C$7,'Cost Outflows'!$A119,"")</f>
      </c>
      <c r="B58" s="38" t="e">
        <f t="array" ref="B58">IF('Cost Outflows'!B119&lt;=$C$7,'Cost Outflows'!B119,"")</f>
      </c>
      <c r="C58" s="2136" t="e">
        <f t="array" ref="C58">IF('Cost Outflows'!$B119&lt;=$C$7,'Cost Outflows'!$L119,"")</f>
      </c>
      <c r="D58" s="2137" t="e">
        <f t="array" ref="D58">IF(C58="","",IF($E57&gt;='Assumptions'!$D$104,0,IF((E57+C58)&gt;='Assumptions'!$D$104,'Assumptions'!$D$104-$E57,$C58)))</f>
      </c>
      <c r="E58" s="2136" t="e">
        <f t="array" ref="E58">IF(C58="","",E57+D58)</f>
      </c>
      <c r="F58" s="2137" t="e">
        <f t="array" ref="F58">IF(C58="","",C58-D58)</f>
      </c>
      <c r="G58" s="2136" t="e">
        <f t="array" ref="G58">IF(C58="","",F58+G57)</f>
      </c>
      <c r="H58" s="2137" t="e">
        <f t="array" ref="H58">IF(C58="","",D58+F58)</f>
      </c>
      <c r="I58" s="38" t="e">
        <f t="array" ref="I58">IF(C58="","",H58+I57)</f>
      </c>
      <c r="J58" s="38" t="e">
        <f t="array" ref="J58">IF(B58="","",IF($B58&lt;'Assumptions'!$T$93,$G58*'Assumptions'!$D$93/12,0))</f>
      </c>
      <c r="K58" s="38" t="e">
        <f t="array" ref="K58">IF(J58="","HIDE","")</f>
      </c>
      <c r="L58" s="2100" t="n"/>
      <c r="M58" s="206" t="e">
        <f t="array" ref="M58">IF(B58="","",VLOOKUP(B58,'S&amp;U-Timeline'!$P$9:$Q$81,2,0))</f>
      </c>
      <c r="N58" s="2147" t="e">
        <f t="array" ref="N58">IF(D58="","",YEAR(E58))</f>
      </c>
      <c r="O58" s="26" t="n"/>
      <c r="P58" s="26" t="n"/>
      <c r="Q58" s="26" t="n"/>
      <c r="R58" s="26" t="n"/>
      <c r="S58" s="26" t="n"/>
      <c r="T58" s="26" t="n"/>
      <c r="U58" s="27" t="n"/>
    </row>
    <row r="59" s="3154" customFormat="1" ht="13.5" customHeight="1">
      <c r="A59" s="2111" t="e">
        <f t="array" ref="A59">IF('Cost Outflows'!$B120&lt;=$C$7,'Cost Outflows'!$A120,"")</f>
      </c>
      <c r="B59" s="38" t="e">
        <f t="array" ref="B59">IF('Cost Outflows'!B120&lt;=$C$7,'Cost Outflows'!B120,"")</f>
      </c>
      <c r="C59" s="2136" t="e">
        <f t="array" ref="C59">IF('Cost Outflows'!$B120&lt;=$C$7,'Cost Outflows'!$L120,"")</f>
      </c>
      <c r="D59" s="2137" t="e">
        <f t="array" ref="D59">IF(C59="","",IF($E58&gt;='Assumptions'!$D$104,0,IF((E58+C59)&gt;='Assumptions'!$D$104,'Assumptions'!$D$104-$E58,$C59)))</f>
      </c>
      <c r="E59" s="2136" t="e">
        <f t="array" ref="E59">IF(C59="","",E58+D59)</f>
      </c>
      <c r="F59" s="2137" t="e">
        <f t="array" ref="F59">IF(C59="","",C59-D59)</f>
      </c>
      <c r="G59" s="2136" t="e">
        <f t="array" ref="G59">IF(C59="","",F59+G58)</f>
      </c>
      <c r="H59" s="2137" t="e">
        <f t="array" ref="H59">IF(C59="","",D59+F59)</f>
      </c>
      <c r="I59" s="38" t="e">
        <f t="array" ref="I59">IF(C59="","",H59+I58)</f>
      </c>
      <c r="J59" s="38" t="e">
        <f t="array" ref="J59">IF(B59="","",IF($B59&lt;'Assumptions'!$T$93,$G59*'Assumptions'!$D$93/12,0))</f>
      </c>
      <c r="K59" s="38" t="e">
        <f t="array" ref="K59">IF(J59="","HIDE","")</f>
      </c>
      <c r="L59" s="2100" t="n"/>
      <c r="M59" s="206" t="e">
        <f t="array" ref="M59">IF(B59="","",VLOOKUP(B59,'S&amp;U-Timeline'!$P$9:$Q$81,2,0))</f>
      </c>
      <c r="N59" s="2147" t="e">
        <f t="array" ref="N59">IF(D59="","",YEAR(E59))</f>
      </c>
      <c r="O59" s="26" t="n"/>
      <c r="P59" s="26" t="n"/>
      <c r="Q59" s="26" t="n"/>
      <c r="R59" s="26" t="n"/>
      <c r="S59" s="26" t="n"/>
      <c r="T59" s="26" t="n"/>
      <c r="U59" s="27" t="n"/>
    </row>
    <row r="60" s="3154" customFormat="1" ht="13.5" customHeight="1">
      <c r="A60" s="2111" t="e">
        <f t="array" ref="A60">IF('Cost Outflows'!$B121&lt;=$C$7,'Cost Outflows'!$A121,"")</f>
      </c>
      <c r="B60" s="38" t="e">
        <f t="array" ref="B60">IF('Cost Outflows'!B121&lt;=$C$7,'Cost Outflows'!B121,"")</f>
      </c>
      <c r="C60" s="2136" t="e">
        <f t="array" ref="C60">IF('Cost Outflows'!$B121&lt;=$C$7,'Cost Outflows'!$L121,"")</f>
      </c>
      <c r="D60" s="2137" t="e">
        <f t="array" ref="D60">IF(C60="","",IF($E59&gt;='Assumptions'!$D$104,0,IF((E59+C60)&gt;='Assumptions'!$D$104,'Assumptions'!$D$104-$E59,$C60)))</f>
      </c>
      <c r="E60" s="2136" t="e">
        <f t="array" ref="E60">IF(C60="","",E59+D60)</f>
      </c>
      <c r="F60" s="2137" t="e">
        <f t="array" ref="F60">IF(C60="","",C60-D60)</f>
      </c>
      <c r="G60" s="2136" t="e">
        <f t="array" ref="G60">IF(C60="","",F60+G59)</f>
      </c>
      <c r="H60" s="2137" t="e">
        <f t="array" ref="H60">IF(C60="","",D60+F60)</f>
      </c>
      <c r="I60" s="38" t="e">
        <f t="array" ref="I60">IF(C60="","",H60+I59)</f>
      </c>
      <c r="J60" s="38" t="e">
        <f t="array" ref="J60">IF(B60="","",IF($B60&lt;'Assumptions'!$T$93,$G60*'Assumptions'!$D$93/12,0))</f>
      </c>
      <c r="K60" s="38" t="e">
        <f t="array" ref="K60">IF(J60="","HIDE","")</f>
      </c>
      <c r="L60" s="2100" t="n"/>
      <c r="M60" s="206" t="e">
        <f t="array" ref="M60">IF(B60="","",VLOOKUP(B60,'S&amp;U-Timeline'!$P$9:$Q$81,2,0))</f>
      </c>
      <c r="N60" s="2147" t="e">
        <f t="array" ref="N60">IF(D60="","",YEAR(E60))</f>
      </c>
      <c r="O60" s="26" t="n"/>
      <c r="P60" s="26" t="n"/>
      <c r="Q60" s="26" t="n"/>
      <c r="R60" s="26" t="n"/>
      <c r="S60" s="26" t="n"/>
      <c r="T60" s="26" t="n"/>
      <c r="U60" s="27" t="n"/>
    </row>
    <row r="61" s="3154" customFormat="1" ht="13.5" customHeight="1">
      <c r="A61" s="2111" t="e">
        <f t="array" ref="A61">IF('Cost Outflows'!$B122&lt;=$C$7,'Cost Outflows'!$A122,"")</f>
      </c>
      <c r="B61" s="38" t="e">
        <f t="array" ref="B61">IF('Cost Outflows'!B122&lt;=$C$7,'Cost Outflows'!B122,"")</f>
      </c>
      <c r="C61" s="2136" t="e">
        <f t="array" ref="C61">IF('Cost Outflows'!$B122&lt;=$C$7,'Cost Outflows'!$L122,"")</f>
      </c>
      <c r="D61" s="2137" t="e">
        <f t="array" ref="D61">IF(C61="","",IF($E60&gt;='Assumptions'!$D$104,0,IF((E60+C61)&gt;='Assumptions'!$D$104,'Assumptions'!$D$104-$E60,$C61)))</f>
      </c>
      <c r="E61" s="2136" t="e">
        <f t="array" ref="E61">IF(C61="","",E60+D61)</f>
      </c>
      <c r="F61" s="2137" t="e">
        <f t="array" ref="F61">IF(C61="","",C61-D61)</f>
      </c>
      <c r="G61" s="2136" t="e">
        <f t="array" ref="G61">IF(C61="","",F61+G60)</f>
      </c>
      <c r="H61" s="2137" t="e">
        <f t="array" ref="H61">IF(C61="","",D61+F61)</f>
      </c>
      <c r="I61" s="38" t="e">
        <f t="array" ref="I61">IF(C61="","",H61+I60)</f>
      </c>
      <c r="J61" s="38" t="e">
        <f t="array" ref="J61">IF(B61="","",IF($B61&lt;'Assumptions'!$T$93,$G61*'Assumptions'!$D$93/12,0))</f>
      </c>
      <c r="K61" s="38" t="e">
        <f t="array" ref="K61">IF(J61="","HIDE","")</f>
      </c>
      <c r="L61" s="2100" t="n"/>
      <c r="M61" s="206" t="e">
        <f t="array" ref="M61">IF(B61="","",VLOOKUP(B61,'S&amp;U-Timeline'!$P$9:$Q$81,2,0))</f>
      </c>
      <c r="N61" s="2147" t="e">
        <f t="array" ref="N61">IF(D61="","",YEAR(E61))</f>
      </c>
      <c r="O61" s="26" t="n"/>
      <c r="P61" s="26" t="n"/>
      <c r="Q61" s="26" t="n"/>
      <c r="R61" s="26" t="n"/>
      <c r="S61" s="26" t="n"/>
      <c r="T61" s="26" t="n"/>
      <c r="U61" s="27" t="n"/>
    </row>
    <row r="62" s="3154" customFormat="1" ht="13.5" customHeight="1">
      <c r="A62" s="2111" t="e">
        <f t="array" ref="A62">IF('Cost Outflows'!$B123&lt;=$C$7,'Cost Outflows'!$A123,"")</f>
      </c>
      <c r="B62" s="38" t="e">
        <f t="array" ref="B62">IF('Cost Outflows'!B123&lt;=$C$7,'Cost Outflows'!B123,"")</f>
      </c>
      <c r="C62" s="2136" t="e">
        <f t="array" ref="C62">IF('Cost Outflows'!$B123&lt;=$C$7,'Cost Outflows'!$L123,"")</f>
      </c>
      <c r="D62" s="2137" t="e">
        <f t="array" ref="D62">IF(C62="","",IF($E61&gt;='Assumptions'!$D$104,0,IF((E61+C62)&gt;='Assumptions'!$D$104,'Assumptions'!$D$104-$E61,$C62)))</f>
      </c>
      <c r="E62" s="2136" t="e">
        <f t="array" ref="E62">IF(C62="","",E61+D62)</f>
      </c>
      <c r="F62" s="2137" t="e">
        <f t="array" ref="F62">IF(C62="","",C62-D62)</f>
      </c>
      <c r="G62" s="2136" t="e">
        <f t="array" ref="G62">IF(C62="","",F62+G61)</f>
      </c>
      <c r="H62" s="2137" t="e">
        <f t="array" ref="H62">IF(C62="","",D62+F62)</f>
      </c>
      <c r="I62" s="38" t="e">
        <f t="array" ref="I62">IF(C62="","",H62+I61)</f>
      </c>
      <c r="J62" s="38" t="e">
        <f t="array" ref="J62">IF(B62="","",IF($B62&lt;'Assumptions'!$T$93,$G62*'Assumptions'!$D$93/12,0))</f>
      </c>
      <c r="K62" s="38" t="e">
        <f t="array" ref="K62">IF(J62="","HIDE","")</f>
      </c>
      <c r="L62" s="2100" t="n"/>
      <c r="M62" s="206" t="e">
        <f t="array" ref="M62">IF(B62="","",VLOOKUP(B62,'S&amp;U-Timeline'!$P$9:$Q$81,2,0))</f>
      </c>
      <c r="N62" s="2147" t="e">
        <f t="array" ref="N62">IF(D62="","",YEAR(E62))</f>
      </c>
      <c r="O62" s="26" t="n"/>
      <c r="P62" s="26" t="n"/>
      <c r="Q62" s="26" t="n"/>
      <c r="R62" s="26" t="n"/>
      <c r="S62" s="26" t="n"/>
      <c r="T62" s="26" t="n"/>
      <c r="U62" s="27" t="n"/>
    </row>
    <row r="63" s="3154" customFormat="1" ht="13.5" customHeight="1">
      <c r="A63" s="2111" t="e">
        <f t="array" ref="A63">IF('Cost Outflows'!$B124&lt;=$C$7,'Cost Outflows'!$A124,"")</f>
      </c>
      <c r="B63" s="38" t="e">
        <f t="array" ref="B63">IF('Cost Outflows'!B124&lt;=$C$7,'Cost Outflows'!B124,"")</f>
      </c>
      <c r="C63" s="2136" t="e">
        <f t="array" ref="C63">IF('Cost Outflows'!$B124&lt;=$C$7,'Cost Outflows'!$L124,"")</f>
      </c>
      <c r="D63" s="2137" t="e">
        <f t="array" ref="D63">IF(C63="","",IF($E62&gt;='Assumptions'!$D$104,0,IF((E62+C63)&gt;='Assumptions'!$D$104,'Assumptions'!$D$104-$E62,$C63)))</f>
      </c>
      <c r="E63" s="2136" t="e">
        <f t="array" ref="E63">IF(C63="","",E62+D63)</f>
      </c>
      <c r="F63" s="2137" t="e">
        <f t="array" ref="F63">IF(C63="","",C63-D63)</f>
      </c>
      <c r="G63" s="2136" t="e">
        <f t="array" ref="G63">IF(C63="","",F63+G62)</f>
      </c>
      <c r="H63" s="2137" t="e">
        <f t="array" ref="H63">IF(C63="","",D63+F63)</f>
      </c>
      <c r="I63" s="38" t="e">
        <f t="array" ref="I63">IF(C63="","",H63+I62)</f>
      </c>
      <c r="J63" s="38" t="e">
        <f t="array" ref="J63">IF(B63="","",IF($B63&lt;'Assumptions'!$T$93,$G63*'Assumptions'!$D$93/12,0))</f>
      </c>
      <c r="K63" s="38" t="e">
        <f t="array" ref="K63">IF(J63="","HIDE","")</f>
      </c>
      <c r="L63" s="2100" t="n"/>
      <c r="M63" s="206" t="e">
        <f t="array" ref="M63">IF(B63="","",VLOOKUP(B63,'S&amp;U-Timeline'!$P$9:$Q$81,2,0))</f>
      </c>
      <c r="N63" s="2147" t="e">
        <f t="array" ref="N63">IF(D63="","",YEAR(E63))</f>
      </c>
      <c r="O63" s="26" t="n"/>
      <c r="P63" s="26" t="n"/>
      <c r="Q63" s="26" t="n"/>
      <c r="R63" s="26" t="n"/>
      <c r="S63" s="26" t="n"/>
      <c r="T63" s="26" t="n"/>
      <c r="U63" s="27" t="n"/>
    </row>
    <row r="64" s="3154" customFormat="1" ht="13.5" customHeight="1">
      <c r="A64" s="2111" t="e">
        <f t="array" ref="A64">IF('Cost Outflows'!$B125&lt;=$C$7,'Cost Outflows'!$A125,"")</f>
      </c>
      <c r="B64" s="38" t="e">
        <f t="array" ref="B64">IF('Cost Outflows'!B125&lt;=$C$7,'Cost Outflows'!B125,"")</f>
      </c>
      <c r="C64" s="2136" t="e">
        <f t="array" ref="C64">IF('Cost Outflows'!$B125&lt;=$C$7,'Cost Outflows'!$L125,"")</f>
      </c>
      <c r="D64" s="2137" t="e">
        <f t="array" ref="D64">IF(C64="","",IF($E63&gt;='Assumptions'!$D$104,0,IF((E63+C64)&gt;='Assumptions'!$D$104,'Assumptions'!$D$104-$E63,$C64)))</f>
      </c>
      <c r="E64" s="2136" t="e">
        <f t="array" ref="E64">IF(C64="","",E63+D64)</f>
      </c>
      <c r="F64" s="2137" t="e">
        <f t="array" ref="F64">IF(C64="","",C64-D64)</f>
      </c>
      <c r="G64" s="2136" t="e">
        <f t="array" ref="G64">IF(C64="","",F64+G63)</f>
      </c>
      <c r="H64" s="2137" t="e">
        <f t="array" ref="H64">IF(C64="","",D64+F64)</f>
      </c>
      <c r="I64" s="38" t="e">
        <f t="array" ref="I64">IF(C64="","",H64+I63)</f>
      </c>
      <c r="J64" s="38" t="e">
        <f t="array" ref="J64">IF(B64="","",IF($B64&lt;'Assumptions'!$T$93,$G64*'Assumptions'!$D$93/12,0))</f>
      </c>
      <c r="K64" s="38" t="e">
        <f t="array" ref="K64">IF(J64="","HIDE","")</f>
      </c>
      <c r="L64" s="2100" t="n"/>
      <c r="M64" s="206" t="e">
        <f t="array" ref="M64">IF(B64="","",VLOOKUP(B64,'S&amp;U-Timeline'!$P$9:$Q$81,2,0))</f>
      </c>
      <c r="N64" s="2147" t="e">
        <f t="array" ref="N64">IF(D64="","",YEAR(E64))</f>
      </c>
      <c r="O64" s="26" t="n"/>
      <c r="P64" s="26" t="n"/>
      <c r="Q64" s="26" t="n"/>
      <c r="R64" s="26" t="n"/>
      <c r="S64" s="26" t="n"/>
      <c r="T64" s="26" t="n"/>
      <c r="U64" s="27" t="n"/>
    </row>
    <row r="65" s="3154" customFormat="1" ht="13.5" customHeight="1">
      <c r="A65" s="2111" t="e">
        <f t="array" ref="A65">IF('Cost Outflows'!$B126&lt;=$C$7,'Cost Outflows'!$A126,"")</f>
      </c>
      <c r="B65" s="38" t="e">
        <f t="array" ref="B65">IF('Cost Outflows'!B126&lt;=$C$7,'Cost Outflows'!B126,"")</f>
      </c>
      <c r="C65" s="2136" t="e">
        <f t="array" ref="C65">IF('Cost Outflows'!$B126&lt;=$C$7,'Cost Outflows'!$L126,"")</f>
      </c>
      <c r="D65" s="2137" t="e">
        <f t="array" ref="D65">IF(C65="","",IF($E64&gt;='Assumptions'!$D$104,0,IF((E64+C65)&gt;='Assumptions'!$D$104,'Assumptions'!$D$104-$E64,$C65)))</f>
      </c>
      <c r="E65" s="2136" t="e">
        <f t="array" ref="E65">IF(C65="","",E64+D65)</f>
      </c>
      <c r="F65" s="2137" t="e">
        <f t="array" ref="F65">IF(C65="","",C65-D65)</f>
      </c>
      <c r="G65" s="2136" t="e">
        <f t="array" ref="G65">IF(C65="","",F65+G64)</f>
      </c>
      <c r="H65" s="2137" t="e">
        <f t="array" ref="H65">IF(C65="","",D65+F65)</f>
      </c>
      <c r="I65" s="38" t="e">
        <f t="array" ref="I65">IF(C65="","",H65+I64)</f>
      </c>
      <c r="J65" s="38" t="e">
        <f t="array" ref="J65">IF(B65="","",IF($B65&lt;'Assumptions'!$T$93,$G65*'Assumptions'!$D$93/12,0))</f>
      </c>
      <c r="K65" s="38" t="e">
        <f t="array" ref="K65">IF(J65="","HIDE","")</f>
      </c>
      <c r="L65" s="2100" t="n"/>
      <c r="M65" s="206" t="e">
        <f t="array" ref="M65">IF(B65="","",VLOOKUP(B65,'S&amp;U-Timeline'!$P$9:$Q$81,2,0))</f>
      </c>
      <c r="N65" s="2147" t="e">
        <f t="array" ref="N65">IF(D65="","",YEAR(E65))</f>
      </c>
      <c r="O65" s="26" t="n"/>
      <c r="P65" s="26" t="n"/>
      <c r="Q65" s="26" t="n"/>
      <c r="R65" s="26" t="n"/>
      <c r="S65" s="26" t="n"/>
      <c r="T65" s="26" t="n"/>
      <c r="U65" s="27" t="n"/>
    </row>
    <row r="66" s="3154" customFormat="1" ht="13.5" customHeight="1">
      <c r="A66" s="2111" t="e">
        <f t="array" ref="A66">IF('Cost Outflows'!$B127&lt;=$C$7,'Cost Outflows'!$A127,"")</f>
      </c>
      <c r="B66" s="38" t="e">
        <f t="array" ref="B66">IF('Cost Outflows'!B127&lt;=$C$7,'Cost Outflows'!B127,"")</f>
      </c>
      <c r="C66" s="2136" t="e">
        <f t="array" ref="C66">IF('Cost Outflows'!$B127&lt;=$C$7,'Cost Outflows'!$L127,"")</f>
      </c>
      <c r="D66" s="2137" t="e">
        <f t="array" ref="D66">IF(C66="","",IF($E65&gt;='Assumptions'!$D$104,0,IF((E65+C66)&gt;='Assumptions'!$D$104,'Assumptions'!$D$104-$E65,$C66)))</f>
      </c>
      <c r="E66" s="2136" t="e">
        <f t="array" ref="E66">IF(C66="","",E65+D66)</f>
      </c>
      <c r="F66" s="2137" t="e">
        <f t="array" ref="F66">IF(C66="","",C66-D66)</f>
      </c>
      <c r="G66" s="2136" t="e">
        <f t="array" ref="G66">IF(C66="","",F66+G65)</f>
      </c>
      <c r="H66" s="2137" t="e">
        <f t="array" ref="H66">IF(C66="","",D66+F66)</f>
      </c>
      <c r="I66" s="38" t="e">
        <f t="array" ref="I66">IF(C66="","",H66+I65)</f>
      </c>
      <c r="J66" s="38" t="e">
        <f t="array" ref="J66">IF(B66="","",IF($B66&lt;'Assumptions'!$T$93,$G66*'Assumptions'!$D$93/12,0))</f>
      </c>
      <c r="K66" s="38" t="e">
        <f t="array" ref="K66">IF(J66="","HIDE","")</f>
      </c>
      <c r="L66" s="2100" t="n"/>
      <c r="M66" s="206" t="e">
        <f t="array" ref="M66">IF(B66="","",VLOOKUP(B66,'S&amp;U-Timeline'!$P$9:$Q$81,2,0))</f>
      </c>
      <c r="N66" s="2147" t="e">
        <f t="array" ref="N66">IF(D66="","",YEAR(E66))</f>
      </c>
      <c r="O66" s="26" t="n"/>
      <c r="P66" s="26" t="n"/>
      <c r="Q66" s="26" t="n"/>
      <c r="R66" s="26" t="n"/>
      <c r="S66" s="26" t="n"/>
      <c r="T66" s="26" t="n"/>
      <c r="U66" s="27" t="n"/>
    </row>
    <row r="67" s="3154" customFormat="1" ht="13.5" customHeight="1">
      <c r="A67" s="2111" t="e">
        <f t="array" ref="A67">IF('Cost Outflows'!$B128&lt;=$C$7,'Cost Outflows'!$A128,"")</f>
      </c>
      <c r="B67" s="38" t="e">
        <f t="array" ref="B67">IF('Cost Outflows'!B128&lt;=$C$7,'Cost Outflows'!B128,"")</f>
      </c>
      <c r="C67" s="2136" t="e">
        <f t="array" ref="C67">IF('Cost Outflows'!$B128&lt;=$C$7,'Cost Outflows'!$L128,"")</f>
      </c>
      <c r="D67" s="2137" t="e">
        <f t="array" ref="D67">IF(C67="","",IF($E66&gt;='Assumptions'!$D$104,0,IF((E66+C67)&gt;='Assumptions'!$D$104,'Assumptions'!$D$104-$E66,$C67)))</f>
      </c>
      <c r="E67" s="2136" t="e">
        <f t="array" ref="E67">IF(C67="","",E66+D67)</f>
      </c>
      <c r="F67" s="2137" t="e">
        <f t="array" ref="F67">IF(C67="","",C67-D67)</f>
      </c>
      <c r="G67" s="2136" t="e">
        <f t="array" ref="G67">IF(C67="","",F67+G66)</f>
      </c>
      <c r="H67" s="2137" t="e">
        <f t="array" ref="H67">IF(C67="","",D67+F67)</f>
      </c>
      <c r="I67" s="38" t="e">
        <f t="array" ref="I67">IF(C67="","",H67+I66)</f>
      </c>
      <c r="J67" s="38" t="e">
        <f t="array" ref="J67">IF(B67="","",IF($B67&lt;'Assumptions'!$T$93,$G67*'Assumptions'!$D$93/12,0))</f>
      </c>
      <c r="K67" s="38" t="e">
        <f t="array" ref="K67">IF(J67="","HIDE","")</f>
      </c>
      <c r="L67" s="2100" t="n"/>
      <c r="M67" s="206" t="e">
        <f t="array" ref="M67">IF(B67="","",VLOOKUP(B67,'S&amp;U-Timeline'!$P$9:$Q$81,2,0))</f>
      </c>
      <c r="N67" s="2147" t="e">
        <f t="array" ref="N67">IF(D67="","",YEAR(E67))</f>
      </c>
      <c r="O67" s="26" t="n"/>
      <c r="P67" s="26" t="n"/>
      <c r="Q67" s="26" t="n"/>
      <c r="R67" s="26" t="n"/>
      <c r="S67" s="26" t="n"/>
      <c r="T67" s="26" t="n"/>
      <c r="U67" s="27" t="n"/>
    </row>
    <row r="68" s="3154" customFormat="1" ht="13.5" customHeight="1">
      <c r="A68" s="2111" t="e">
        <f t="array" ref="A68">IF('Cost Outflows'!$B129&lt;=$C$7,'Cost Outflows'!$A129,"")</f>
      </c>
      <c r="B68" s="38" t="e">
        <f t="array" ref="B68">IF('Cost Outflows'!B129&lt;=$C$7,'Cost Outflows'!B129,"")</f>
      </c>
      <c r="C68" s="2136" t="e">
        <f t="array" ref="C68">IF('Cost Outflows'!$B129&lt;=$C$7,'Cost Outflows'!$L129,"")</f>
      </c>
      <c r="D68" s="2137" t="e">
        <f t="array" ref="D68">IF(C68="","",IF($E67&gt;='Assumptions'!$D$104,0,IF((E67+C68)&gt;='Assumptions'!$D$104,'Assumptions'!$D$104-$E67,$C68)))</f>
      </c>
      <c r="E68" s="2136" t="e">
        <f t="array" ref="E68">IF(C68="","",E67+D68)</f>
      </c>
      <c r="F68" s="2137" t="e">
        <f t="array" ref="F68">IF(C68="","",C68-D68)</f>
      </c>
      <c r="G68" s="2136" t="e">
        <f t="array" ref="G68">IF(C68="","",F68+G67)</f>
      </c>
      <c r="H68" s="2137" t="e">
        <f t="array" ref="H68">IF(C68="","",D68+F68)</f>
      </c>
      <c r="I68" s="38" t="e">
        <f t="array" ref="I68">IF(C68="","",H68+I67)</f>
      </c>
      <c r="J68" s="38" t="e">
        <f t="array" ref="J68">IF(B68="","",IF($B68&lt;'Assumptions'!$T$93,$G68*'Assumptions'!$D$93/12,0))</f>
      </c>
      <c r="K68" s="38" t="e">
        <f t="array" ref="K68">IF(J68="","HIDE","")</f>
      </c>
      <c r="L68" s="2100" t="n"/>
      <c r="M68" s="206" t="e">
        <f t="array" ref="M68">IF(B68="","",VLOOKUP(B68,'S&amp;U-Timeline'!$P$9:$Q$81,2,0))</f>
      </c>
      <c r="N68" s="2147" t="e">
        <f t="array" ref="N68">IF(D68="","",YEAR(E68))</f>
      </c>
      <c r="O68" s="26" t="n"/>
      <c r="P68" s="26" t="n"/>
      <c r="Q68" s="26" t="n"/>
      <c r="R68" s="26" t="n"/>
      <c r="S68" s="26" t="n"/>
      <c r="T68" s="26" t="n"/>
      <c r="U68" s="27" t="n"/>
    </row>
    <row r="69" s="3154" customFormat="1" ht="13.5" customHeight="1">
      <c r="A69" s="2111" t="e">
        <f t="array" ref="A69">IF('Cost Outflows'!$B130&lt;=$C$7,'Cost Outflows'!$A130,"")</f>
      </c>
      <c r="B69" s="38" t="e">
        <f t="array" ref="B69">IF('Cost Outflows'!B130&lt;=$C$7,'Cost Outflows'!B130,"")</f>
      </c>
      <c r="C69" s="2136" t="e">
        <f t="array" ref="C69">IF('Cost Outflows'!$B130&lt;=$C$7,'Cost Outflows'!$L130,"")</f>
      </c>
      <c r="D69" s="2137" t="e">
        <f t="array" ref="D69">IF(C69="","",IF($E68&gt;='Assumptions'!$D$104,0,IF((E68+C69)&gt;='Assumptions'!$D$104,'Assumptions'!$D$104-$E68,$C69)))</f>
      </c>
      <c r="E69" s="2136" t="e">
        <f t="array" ref="E69">IF(C69="","",E68+D69)</f>
      </c>
      <c r="F69" s="2137" t="e">
        <f t="array" ref="F69">IF(C69="","",C69-D69)</f>
      </c>
      <c r="G69" s="2136" t="e">
        <f t="array" ref="G69">IF(C69="","",F69+G68)</f>
      </c>
      <c r="H69" s="2137" t="e">
        <f t="array" ref="H69">IF(C69="","",D69+F69)</f>
      </c>
      <c r="I69" s="38" t="e">
        <f t="array" ref="I69">IF(C69="","",H69+I68)</f>
      </c>
      <c r="J69" s="38" t="e">
        <f t="array" ref="J69">IF(B69="","",IF($B69&lt;'Assumptions'!$T$93,$G69*'Assumptions'!$D$93/12,0))</f>
      </c>
      <c r="K69" s="38" t="e">
        <f t="array" ref="K69">IF(J69="","HIDE","")</f>
      </c>
      <c r="L69" s="2100" t="n"/>
      <c r="M69" s="206" t="e">
        <f t="array" ref="M69">IF(B69="","",VLOOKUP(B69,'S&amp;U-Timeline'!$P$9:$Q$81,2,0))</f>
      </c>
      <c r="N69" s="2147" t="e">
        <f t="array" ref="N69">IF(D69="","",YEAR(E69))</f>
      </c>
      <c r="O69" s="26" t="n"/>
      <c r="P69" s="26" t="n"/>
      <c r="Q69" s="26" t="n"/>
      <c r="R69" s="26" t="n"/>
      <c r="S69" s="26" t="n"/>
      <c r="T69" s="26" t="n"/>
      <c r="U69" s="27" t="n"/>
    </row>
    <row r="70" s="3154" customFormat="1" ht="13.5" customHeight="1">
      <c r="A70" s="627" t="n"/>
      <c r="B70" s="26" t="n"/>
      <c r="C70" s="26" t="n"/>
      <c r="D70" s="26" t="n"/>
      <c r="E70" s="26" t="n"/>
      <c r="F70" s="26" t="n"/>
      <c r="G70" s="26" t="n"/>
      <c r="H70" s="26" t="n"/>
      <c r="I70" s="26" t="n"/>
      <c r="J70" s="26" t="n"/>
      <c r="K70" s="26" t="n"/>
      <c r="L70" s="26" t="n"/>
      <c r="M70" s="26" t="n"/>
      <c r="N70" s="2118" t="n"/>
      <c r="O70" s="26" t="n"/>
      <c r="P70" s="26" t="n"/>
      <c r="Q70" s="26" t="n"/>
      <c r="R70" s="26" t="n"/>
      <c r="S70" s="26" t="n"/>
      <c r="T70" s="26" t="n"/>
      <c r="U70" s="27" t="n"/>
    </row>
    <row r="71" s="3154" customFormat="1" ht="13.5" customHeight="1">
      <c r="A71" s="627" t="n"/>
      <c r="B71" s="26" t="n"/>
      <c r="C71" s="26" t="n"/>
      <c r="D71" s="26" t="n"/>
      <c r="E71" s="26" t="n"/>
      <c r="F71" s="26" t="n"/>
      <c r="G71" s="26" t="n"/>
      <c r="H71" s="26" t="n"/>
      <c r="I71" s="26" t="n"/>
      <c r="J71" s="26" t="n"/>
      <c r="K71" s="26" t="n"/>
      <c r="L71" s="26" t="n"/>
      <c r="M71" s="26" t="n"/>
      <c r="N71" s="2118" t="n"/>
      <c r="O71" s="26" t="n"/>
      <c r="P71" s="26" t="n"/>
      <c r="Q71" s="26" t="n"/>
      <c r="R71" s="26" t="n"/>
      <c r="S71" s="26" t="n"/>
      <c r="T71" s="26" t="n"/>
      <c r="U71" s="27" t="n"/>
    </row>
    <row r="72" s="3154" customFormat="1" ht="13.5" customHeight="1">
      <c r="A72" s="627" t="n"/>
      <c r="B72" s="26" t="n"/>
      <c r="C72" s="26" t="n"/>
      <c r="D72" s="26" t="n"/>
      <c r="E72" s="26" t="n"/>
      <c r="F72" s="26" t="n"/>
      <c r="G72" s="26" t="n"/>
      <c r="H72" s="26" t="n"/>
      <c r="I72" s="26" t="n"/>
      <c r="J72" s="26" t="n"/>
      <c r="K72" s="26" t="n"/>
      <c r="L72" s="26" t="n"/>
      <c r="M72" s="26" t="n"/>
      <c r="N72" s="2118" t="n"/>
      <c r="O72" s="26" t="n"/>
      <c r="P72" s="26" t="n"/>
      <c r="Q72" s="26" t="n"/>
      <c r="R72" s="26" t="n"/>
      <c r="S72" s="26" t="n"/>
      <c r="T72" s="26" t="n"/>
      <c r="U72" s="27" t="n"/>
    </row>
    <row r="73" s="3154" customFormat="1" ht="13.5" customHeight="1">
      <c r="A73" s="627" t="n"/>
      <c r="B73" s="26" t="n"/>
      <c r="C73" s="26" t="n"/>
      <c r="D73" s="26" t="n"/>
      <c r="E73" s="26" t="n"/>
      <c r="F73" s="26" t="n"/>
      <c r="G73" s="26" t="n"/>
      <c r="H73" s="26" t="n"/>
      <c r="I73" s="26" t="n"/>
      <c r="J73" s="26" t="n"/>
      <c r="K73" s="26" t="n"/>
      <c r="L73" s="26" t="n"/>
      <c r="M73" s="26" t="n"/>
      <c r="N73" s="2118" t="n"/>
      <c r="O73" s="26" t="n"/>
      <c r="P73" s="26" t="n"/>
      <c r="Q73" s="26" t="n"/>
      <c r="R73" s="26" t="n"/>
      <c r="S73" s="26" t="n"/>
      <c r="T73" s="26" t="n"/>
      <c r="U73" s="27" t="n"/>
    </row>
    <row r="74" s="3154" customFormat="1" ht="13.5" customHeight="1">
      <c r="A74" s="627" t="n"/>
      <c r="B74" s="26" t="n"/>
      <c r="C74" s="26" t="n"/>
      <c r="D74" s="26" t="n"/>
      <c r="E74" s="26" t="n"/>
      <c r="F74" s="26" t="n"/>
      <c r="G74" s="26" t="n"/>
      <c r="H74" s="26" t="n"/>
      <c r="I74" s="26" t="n"/>
      <c r="J74" s="26" t="n"/>
      <c r="K74" s="26" t="n"/>
      <c r="L74" s="26" t="n"/>
      <c r="M74" s="26" t="n"/>
      <c r="N74" s="2118" t="n"/>
      <c r="O74" s="26" t="n"/>
      <c r="P74" s="26" t="n"/>
      <c r="Q74" s="26" t="n"/>
      <c r="R74" s="26" t="n"/>
      <c r="S74" s="26" t="n"/>
      <c r="T74" s="26" t="n"/>
      <c r="U74" s="27" t="n"/>
    </row>
    <row r="75" s="3154" customFormat="1" ht="13.5" customHeight="1">
      <c r="A75" s="627" t="n"/>
      <c r="B75" s="26" t="n"/>
      <c r="C75" s="26" t="n"/>
      <c r="D75" s="26" t="n"/>
      <c r="E75" s="26" t="n"/>
      <c r="F75" s="26" t="n"/>
      <c r="G75" s="26" t="n"/>
      <c r="H75" s="26" t="n"/>
      <c r="I75" s="26" t="n"/>
      <c r="J75" s="26" t="n"/>
      <c r="K75" s="26" t="n"/>
      <c r="L75" s="26" t="n"/>
      <c r="M75" s="26" t="n"/>
      <c r="N75" s="2118" t="n"/>
      <c r="O75" s="26" t="n"/>
      <c r="P75" s="26" t="n"/>
      <c r="Q75" s="26" t="n"/>
      <c r="R75" s="26" t="n"/>
      <c r="S75" s="26" t="n"/>
      <c r="T75" s="26" t="n"/>
      <c r="U75" s="27" t="n"/>
    </row>
    <row r="76" s="3154" customFormat="1" ht="13.5" customHeight="1">
      <c r="A76" s="627" t="n"/>
      <c r="B76" s="26" t="n"/>
      <c r="C76" s="26" t="n"/>
      <c r="D76" s="26" t="n"/>
      <c r="E76" s="26" t="n"/>
      <c r="F76" s="26" t="n"/>
      <c r="G76" s="26" t="n"/>
      <c r="H76" s="26" t="n"/>
      <c r="I76" s="26" t="n"/>
      <c r="J76" s="26" t="n"/>
      <c r="K76" s="26" t="n"/>
      <c r="L76" s="26" t="n"/>
      <c r="M76" s="26" t="n"/>
      <c r="N76" s="2118" t="n"/>
      <c r="O76" s="26" t="n"/>
      <c r="P76" s="26" t="n"/>
      <c r="Q76" s="26" t="n"/>
      <c r="R76" s="26" t="n"/>
      <c r="S76" s="26" t="n"/>
      <c r="T76" s="26" t="n"/>
      <c r="U76" s="27" t="n"/>
    </row>
    <row r="77" s="3154" customFormat="1" ht="13.5" customHeight="1">
      <c r="A77" s="627" t="n"/>
      <c r="B77" s="26" t="n"/>
      <c r="C77" s="26" t="n"/>
      <c r="D77" s="26" t="n"/>
      <c r="E77" s="26" t="n"/>
      <c r="F77" s="26" t="n"/>
      <c r="G77" s="26" t="n"/>
      <c r="H77" s="26" t="n"/>
      <c r="I77" s="26" t="n"/>
      <c r="J77" s="26" t="n"/>
      <c r="K77" s="26" t="n"/>
      <c r="L77" s="26" t="n"/>
      <c r="M77" s="26" t="n"/>
      <c r="N77" s="2118" t="n"/>
      <c r="O77" s="26" t="n"/>
      <c r="P77" s="26" t="n"/>
      <c r="Q77" s="26" t="n"/>
      <c r="R77" s="26" t="n"/>
      <c r="S77" s="26" t="n"/>
      <c r="T77" s="26" t="n"/>
      <c r="U77" s="27" t="n"/>
    </row>
    <row r="78" s="3154" customFormat="1" ht="13.5" customHeight="1">
      <c r="A78" s="627" t="n"/>
      <c r="B78" s="26" t="n"/>
      <c r="C78" s="26" t="n"/>
      <c r="D78" s="26" t="n"/>
      <c r="E78" s="26" t="n"/>
      <c r="F78" s="26" t="n"/>
      <c r="G78" s="26" t="n"/>
      <c r="H78" s="26" t="n"/>
      <c r="I78" s="26" t="n"/>
      <c r="J78" s="26" t="n"/>
      <c r="K78" s="26" t="n"/>
      <c r="L78" s="26" t="n"/>
      <c r="M78" s="26" t="n"/>
      <c r="N78" s="2118" t="n"/>
      <c r="O78" s="26" t="n"/>
      <c r="P78" s="26" t="n"/>
      <c r="Q78" s="26" t="n"/>
      <c r="R78" s="26" t="n"/>
      <c r="S78" s="26" t="n"/>
      <c r="T78" s="26" t="n"/>
      <c r="U78" s="27" t="n"/>
    </row>
    <row r="79" s="3154" customFormat="1" ht="13.5" customHeight="1">
      <c r="A79" s="627" t="n"/>
      <c r="B79" s="26" t="n"/>
      <c r="C79" s="26" t="n"/>
      <c r="D79" s="26" t="n"/>
      <c r="E79" s="26" t="n"/>
      <c r="F79" s="26" t="n"/>
      <c r="G79" s="26" t="n"/>
      <c r="H79" s="26" t="n"/>
      <c r="I79" s="26" t="n"/>
      <c r="J79" s="26" t="n"/>
      <c r="K79" s="26" t="n"/>
      <c r="L79" s="26" t="n"/>
      <c r="M79" s="26" t="n"/>
      <c r="N79" s="2118" t="n"/>
      <c r="O79" s="26" t="n"/>
      <c r="P79" s="26" t="n"/>
      <c r="Q79" s="26" t="n"/>
      <c r="R79" s="26" t="n"/>
      <c r="S79" s="26" t="n"/>
      <c r="T79" s="26" t="n"/>
      <c r="U79" s="27" t="n"/>
    </row>
    <row r="80" s="3154" customFormat="1" ht="13.5" customHeight="1">
      <c r="A80" s="627" t="n"/>
      <c r="B80" s="26" t="n"/>
      <c r="C80" s="26" t="n"/>
      <c r="D80" s="26" t="n"/>
      <c r="E80" s="26" t="n"/>
      <c r="F80" s="26" t="n"/>
      <c r="G80" s="26" t="n"/>
      <c r="H80" s="26" t="n"/>
      <c r="I80" s="26" t="n"/>
      <c r="J80" s="26" t="n"/>
      <c r="K80" s="26" t="n"/>
      <c r="L80" s="26" t="n"/>
      <c r="M80" s="26" t="n"/>
      <c r="N80" s="2118" t="n"/>
      <c r="O80" s="26" t="n"/>
      <c r="P80" s="26" t="n"/>
      <c r="Q80" s="26" t="n"/>
      <c r="R80" s="26" t="n"/>
      <c r="S80" s="26" t="n"/>
      <c r="T80" s="26" t="n"/>
      <c r="U80" s="27" t="n"/>
    </row>
    <row r="81" s="3154" customFormat="1" ht="13.5" customHeight="1">
      <c r="A81" s="627" t="n"/>
      <c r="B81" s="26" t="n"/>
      <c r="C81" s="26" t="n"/>
      <c r="D81" s="26" t="n"/>
      <c r="E81" s="26" t="n"/>
      <c r="F81" s="26" t="n"/>
      <c r="G81" s="26" t="n"/>
      <c r="H81" s="26" t="n"/>
      <c r="I81" s="26" t="n"/>
      <c r="J81" s="26" t="n"/>
      <c r="K81" s="26" t="n"/>
      <c r="L81" s="26" t="n"/>
      <c r="M81" s="26" t="n"/>
      <c r="N81" s="2118" t="n"/>
      <c r="O81" s="26" t="n"/>
      <c r="P81" s="26" t="n"/>
      <c r="Q81" s="26" t="n"/>
      <c r="R81" s="26" t="n"/>
      <c r="S81" s="26" t="n"/>
      <c r="T81" s="26" t="n"/>
      <c r="U81" s="27" t="n"/>
    </row>
    <row r="82" s="3154" customFormat="1" ht="13.5" customHeight="1">
      <c r="A82" s="627" t="n"/>
      <c r="B82" s="26" t="n"/>
      <c r="C82" s="26" t="n"/>
      <c r="D82" s="26" t="n"/>
      <c r="E82" s="26" t="n"/>
      <c r="F82" s="26" t="n"/>
      <c r="G82" s="26" t="n"/>
      <c r="H82" s="26" t="n"/>
      <c r="I82" s="26" t="n"/>
      <c r="J82" s="26" t="n"/>
      <c r="K82" s="26" t="n"/>
      <c r="L82" s="26" t="n"/>
      <c r="M82" s="26" t="n"/>
      <c r="N82" s="2118" t="n"/>
      <c r="O82" s="26" t="n"/>
      <c r="P82" s="26" t="n"/>
      <c r="Q82" s="26" t="n"/>
      <c r="R82" s="26" t="n"/>
      <c r="S82" s="26" t="n"/>
      <c r="T82" s="26" t="n"/>
      <c r="U82" s="27" t="n"/>
    </row>
    <row r="83" s="3154" customFormat="1" ht="13.5" customHeight="1">
      <c r="A83" s="627" t="n"/>
      <c r="B83" s="26" t="n"/>
      <c r="C83" s="26" t="n"/>
      <c r="D83" s="26" t="n"/>
      <c r="E83" s="26" t="n"/>
      <c r="F83" s="26" t="n"/>
      <c r="G83" s="26" t="n"/>
      <c r="H83" s="26" t="n"/>
      <c r="I83" s="26" t="n"/>
      <c r="J83" s="26" t="n"/>
      <c r="K83" s="26" t="n"/>
      <c r="L83" s="26" t="n"/>
      <c r="M83" s="26" t="n"/>
      <c r="N83" s="2118" t="n"/>
      <c r="O83" s="26" t="n"/>
      <c r="P83" s="26" t="n"/>
      <c r="Q83" s="26" t="n"/>
      <c r="R83" s="26" t="n"/>
      <c r="S83" s="26" t="n"/>
      <c r="T83" s="26" t="n"/>
      <c r="U83" s="27" t="n"/>
    </row>
    <row r="84" s="3154" customFormat="1" ht="13.5" customHeight="1">
      <c r="A84" s="627" t="n"/>
      <c r="B84" s="26" t="n"/>
      <c r="C84" s="26" t="n"/>
      <c r="D84" s="26" t="n"/>
      <c r="E84" s="26" t="n"/>
      <c r="F84" s="26" t="n"/>
      <c r="G84" s="26" t="n"/>
      <c r="H84" s="26" t="n"/>
      <c r="I84" s="26" t="n"/>
      <c r="J84" s="26" t="n"/>
      <c r="K84" s="26" t="n"/>
      <c r="L84" s="26" t="n"/>
      <c r="M84" s="26" t="n"/>
      <c r="N84" s="2118" t="n"/>
      <c r="O84" s="26" t="n"/>
      <c r="P84" s="26" t="n"/>
      <c r="Q84" s="26" t="n"/>
      <c r="R84" s="26" t="n"/>
      <c r="S84" s="26" t="n"/>
      <c r="T84" s="26" t="n"/>
      <c r="U84" s="27" t="n"/>
    </row>
    <row r="85" s="3154" customFormat="1" ht="13.5" customHeight="1">
      <c r="A85" s="627" t="n"/>
      <c r="B85" s="26" t="n"/>
      <c r="C85" s="26" t="n"/>
      <c r="D85" s="26" t="n"/>
      <c r="E85" s="26" t="n"/>
      <c r="F85" s="26" t="n"/>
      <c r="G85" s="26" t="n"/>
      <c r="H85" s="26" t="n"/>
      <c r="I85" s="26" t="n"/>
      <c r="J85" s="26" t="n"/>
      <c r="K85" s="26" t="n"/>
      <c r="L85" s="26" t="n"/>
      <c r="M85" s="26" t="n"/>
      <c r="N85" s="2118" t="n"/>
      <c r="O85" s="26" t="n"/>
      <c r="P85" s="26" t="n"/>
      <c r="Q85" s="26" t="n"/>
      <c r="R85" s="26" t="n"/>
      <c r="S85" s="26" t="n"/>
      <c r="T85" s="26" t="n"/>
      <c r="U85" s="27" t="n"/>
    </row>
    <row r="86" s="3154" customFormat="1" ht="13.5" customHeight="1">
      <c r="A86" s="627" t="n"/>
      <c r="B86" s="26" t="n"/>
      <c r="C86" s="26" t="n"/>
      <c r="D86" s="26" t="n"/>
      <c r="E86" s="26" t="n"/>
      <c r="F86" s="26" t="n"/>
      <c r="G86" s="26" t="n"/>
      <c r="H86" s="26" t="n"/>
      <c r="I86" s="26" t="n"/>
      <c r="J86" s="26" t="n"/>
      <c r="K86" s="26" t="n"/>
      <c r="L86" s="26" t="n"/>
      <c r="M86" s="26" t="n"/>
      <c r="N86" s="2118" t="n"/>
      <c r="O86" s="26" t="n"/>
      <c r="P86" s="26" t="n"/>
      <c r="Q86" s="26" t="n"/>
      <c r="R86" s="26" t="n"/>
      <c r="S86" s="26" t="n"/>
      <c r="T86" s="26" t="n"/>
      <c r="U86" s="27" t="n"/>
    </row>
    <row r="87" s="3154" customFormat="1" ht="13.5" customHeight="1">
      <c r="A87" s="627" t="n"/>
      <c r="B87" s="26" t="n"/>
      <c r="C87" s="26" t="n"/>
      <c r="D87" s="26" t="n"/>
      <c r="E87" s="26" t="n"/>
      <c r="F87" s="26" t="n"/>
      <c r="G87" s="26" t="n"/>
      <c r="H87" s="26" t="n"/>
      <c r="I87" s="26" t="n"/>
      <c r="J87" s="26" t="n"/>
      <c r="K87" s="26" t="n"/>
      <c r="L87" s="26" t="n"/>
      <c r="M87" s="26" t="n"/>
      <c r="N87" s="2118" t="n"/>
      <c r="O87" s="26" t="n"/>
      <c r="P87" s="26" t="n"/>
      <c r="Q87" s="26" t="n"/>
      <c r="R87" s="26" t="n"/>
      <c r="S87" s="26" t="n"/>
      <c r="T87" s="26" t="n"/>
      <c r="U87" s="27" t="n"/>
    </row>
    <row r="88" s="3154" customFormat="1" ht="13.5" customHeight="1">
      <c r="A88" s="633" t="n"/>
      <c r="B88" s="634" t="n"/>
      <c r="C88" s="634" t="n"/>
      <c r="D88" s="634" t="n"/>
      <c r="E88" s="634" t="n"/>
      <c r="F88" s="634" t="n"/>
      <c r="G88" s="634" t="n"/>
      <c r="H88" s="634" t="n"/>
      <c r="I88" s="634" t="n"/>
      <c r="J88" s="634" t="n"/>
      <c r="K88" s="634" t="n"/>
      <c r="L88" s="634" t="n"/>
      <c r="M88" s="634" t="n"/>
      <c r="N88" s="2148" t="str">
        <f t="array" ref="N88">IF(D88="","",YEAR((TRUE+(0*7+IF(E88&gt;60,E88-1,E88)))))</f>
      </c>
      <c r="O88" s="634" t="n"/>
      <c r="P88" s="634" t="n"/>
      <c r="Q88" s="634" t="n"/>
      <c r="R88" s="634" t="n"/>
      <c r="S88" s="634" t="n"/>
      <c r="T88" s="634" t="n"/>
      <c r="U88" s="635" t="n"/>
    </row>
  </sheetData>
  <mergeCells>
    <mergeCell ref="I2:J2"/>
  </mergeCells>
  <conditionalFormatting sqref="N28:N28 O27:O27 Q34:Q34">
    <cfRule type="cellIs" dxfId="0" priority="1" stopIfTrue="1" operator="lessThan">
      <formula>0</formula>
    </cfRule>
  </conditionalFormatting>
  <pageMargins left="0.7" right="0.7" top="0.75" bottom="0.75" header="0.3" footer="0.3"/>
</worksheet>
</file>

<file path=xl/worksheets/sheet16.xml><?xml version="1.0" encoding="utf-8"?>
<worksheet xmlns="http://schemas.openxmlformats.org/spreadsheetml/2006/main">
  <sheetViews>
    <sheetView showGridLines="0" workbookViewId="0"/>
  </sheetViews>
  <sheetFormatPr baseColWidth="8" defaultColWidth="8.333330154418945" defaultRowHeight="13.5"/>
  <cols>
    <col min="1" max="1" width="8.35155963897705" style="3136" customWidth="1"/>
    <col min="2" max="2" width="11.35159969329834" style="3136" customWidth="1"/>
    <col min="3" max="7" width="12.35159969329834" style="3136" customWidth="1"/>
    <col min="8" max="9" width="8.35155963897705" style="3136" customWidth="1"/>
    <col min="10" max="10" width="2.851560115814209" style="3136" customWidth="1"/>
    <col min="11" max="12" width="8.35155963897705" style="3136" customWidth="1"/>
    <col min="13" max="13" width="10.35159969329834" style="3136" customWidth="1"/>
    <col min="14" max="21" width="8.35155963897705" style="3136" customWidth="1"/>
    <col min="22" max="16384" width="8.35155963897705" style="3136" customWidth="1"/>
  </cols>
  <sheetData>
    <row r="1" s="3154" customFormat="1" ht="19.5" customHeight="1">
      <c r="A1" s="152" t="inlineStr">
        <is>
          <t xml:space="preserve">PERM LOAN &amp; AMORTIZATION</t>
        </is>
      </c>
      <c r="B1" s="2150" t="n"/>
      <c r="C1" s="153" t="n"/>
      <c r="D1" s="153" t="n"/>
      <c r="E1" s="153" t="n"/>
      <c r="F1" s="153" t="n"/>
      <c r="G1" s="1891" t="inlineStr">
        <is>
          <t xml:space="preserve">MODEL REVISED: Mar 25, 2025</t>
        </is>
      </c>
      <c r="H1" s="11" t="n"/>
      <c r="I1" s="11" t="n"/>
      <c r="J1" s="11" t="n"/>
      <c r="K1" s="11" t="n"/>
      <c r="L1" s="11" t="n"/>
      <c r="M1" s="11" t="n"/>
      <c r="N1" s="11" t="n"/>
      <c r="O1" s="11" t="n"/>
      <c r="P1" s="11" t="n"/>
      <c r="Q1" s="11" t="n"/>
      <c r="R1" s="11" t="n"/>
      <c r="S1" s="11" t="n"/>
      <c r="T1" s="11" t="n"/>
      <c r="U1" s="13" t="n"/>
    </row>
    <row r="2" s="3154" customFormat="1" ht="17.25" customHeight="1">
      <c r="A2" s="157" t="str">
        <f t="array" ref="A2">'Assumptions'!$D$6&amp;" / "&amp;'Assumptions'!$D$7&amp;" / "&amp;'Assumptions'!$D$9</f>
        <v>INDEPENDENT (No Flag) / SLEEP SPACE — 100-KEY PREFAB (50 EP + 50 E) / Austin, TX</v>
      </c>
      <c r="B2" s="2151" t="n"/>
      <c r="C2" s="158" t="n"/>
      <c r="D2" s="158" t="n"/>
      <c r="E2" s="158" t="n"/>
      <c r="F2" s="158" t="n"/>
      <c r="G2" s="158" t="n"/>
      <c r="H2" s="26" t="n"/>
      <c r="I2" s="26" t="n"/>
      <c r="J2" s="26" t="n"/>
      <c r="K2" s="26" t="n"/>
      <c r="L2" s="26" t="n"/>
      <c r="M2" s="26" t="n"/>
      <c r="N2" s="26" t="n"/>
      <c r="O2" s="26" t="n"/>
      <c r="P2" s="26" t="n"/>
      <c r="Q2" s="26" t="n"/>
      <c r="R2" s="26" t="n"/>
      <c r="S2" s="26" t="n"/>
      <c r="T2" s="26" t="n"/>
      <c r="U2" s="27" t="n"/>
    </row>
    <row r="3" s="3154" customFormat="1" ht="13.5" customHeight="1">
      <c r="A3" s="627" t="n"/>
      <c r="B3" s="26" t="n"/>
      <c r="C3" s="26" t="n"/>
      <c r="D3" s="26" t="n"/>
      <c r="E3" s="26" t="n"/>
      <c r="F3" s="26" t="n"/>
      <c r="G3" s="26" t="n"/>
      <c r="H3" s="26" t="n"/>
      <c r="I3" s="26" t="n"/>
      <c r="J3" s="2100" t="n"/>
      <c r="K3" s="429" t="inlineStr">
        <is>
          <t xml:space="preserve">&gt;&gt;OUT OF PRINT AREA</t>
        </is>
      </c>
      <c r="L3" s="26" t="n"/>
      <c r="M3" s="26" t="n"/>
      <c r="N3" s="26" t="n"/>
      <c r="O3" s="26" t="n"/>
      <c r="P3" s="26" t="n"/>
      <c r="Q3" s="26" t="n"/>
      <c r="R3" s="26" t="n"/>
      <c r="S3" s="26" t="n"/>
      <c r="T3" s="26" t="n"/>
      <c r="U3" s="27" t="n"/>
    </row>
    <row r="4" s="3154" customFormat="1" ht="13.5" customHeight="1">
      <c r="A4" s="161" t="inlineStr">
        <is>
          <t xml:space="preserve">Perm Loan Modeled As</t>
        </is>
      </c>
      <c r="B4" s="26" t="n"/>
      <c r="C4" s="38" t="str">
        <f t="array" ref="C4">'Assumptions'!C123</f>
        <v>Construction Loan</v>
      </c>
      <c r="D4" s="26" t="n"/>
      <c r="E4" s="429" t="inlineStr">
        <is>
          <t xml:space="preserve">Amortization Period (yrs)</t>
        </is>
      </c>
      <c r="F4" s="26" t="n"/>
      <c r="G4" s="1100" t="n">
        <f t="array" ref="G4">'Assumptions'!D118</f>
        <v>25</v>
      </c>
      <c r="H4" s="26" t="n"/>
      <c r="I4" s="26" t="n"/>
      <c r="J4" s="2100" t="n"/>
      <c r="K4" s="26" t="n"/>
      <c r="L4" s="26" t="n"/>
      <c r="M4" s="26" t="n"/>
      <c r="N4" s="26" t="n"/>
      <c r="O4" s="26" t="n"/>
      <c r="P4" s="26" t="n"/>
      <c r="Q4" s="26" t="n"/>
      <c r="R4" s="26" t="n"/>
      <c r="S4" s="26" t="n"/>
      <c r="T4" s="26" t="n"/>
      <c r="U4" s="27" t="n"/>
    </row>
    <row r="5" s="3154" customFormat="1" ht="13.5" customHeight="1">
      <c r="A5" s="161" t="inlineStr">
        <is>
          <t xml:space="preserve">Perm Loan Amount</t>
        </is>
      </c>
      <c r="B5" s="26" t="n"/>
      <c r="C5" s="4003" t="n">
        <f t="array" ref="C5">'Assumptions'!D101</f>
        <v>5003304.429259213</v>
      </c>
      <c r="D5" s="26" t="n"/>
      <c r="E5" s="429" t="inlineStr">
        <is>
          <t xml:space="preserve">I/O Period (Yrs)</t>
        </is>
      </c>
      <c r="F5" s="26" t="n"/>
      <c r="G5" s="2152" t="n">
        <f t="array" ref="G5">'Assumptions'!D116</f>
        <v>0</v>
      </c>
      <c r="H5" s="26" t="n"/>
      <c r="I5" s="26" t="n"/>
      <c r="J5" s="2100" t="n"/>
      <c r="K5" s="429" t="inlineStr">
        <is>
          <t xml:space="preserve">MIN YEAR</t>
        </is>
      </c>
      <c r="L5" s="26" t="n"/>
      <c r="M5" s="26" t="e">
        <f t="array" ref="M5">MIN($K$11:$K$120)</f>
      </c>
      <c r="N5" s="26" t="n"/>
      <c r="O5" s="26" t="n"/>
      <c r="P5" s="26" t="n"/>
      <c r="Q5" s="26" t="n"/>
      <c r="R5" s="26" t="n"/>
      <c r="S5" s="26" t="n"/>
      <c r="T5" s="26" t="n"/>
      <c r="U5" s="27" t="n"/>
    </row>
    <row r="6" s="3154" customFormat="1" ht="13.5" customHeight="1">
      <c r="A6" s="161" t="inlineStr">
        <is>
          <t xml:space="preserve">Perm Loan Rate</t>
        </is>
      </c>
      <c r="B6" s="26" t="n"/>
      <c r="C6" s="2103" t="n">
        <f t="array" ref="C6">'Assumptions'!D114</f>
        <v>0.075</v>
      </c>
      <c r="D6" s="26" t="n"/>
      <c r="E6" s="429" t="inlineStr">
        <is>
          <t xml:space="preserve">I/O Period End (Proj Mth)</t>
        </is>
      </c>
      <c r="F6" s="26" t="n"/>
      <c r="G6" s="1100" t="n">
        <f t="array" ref="G6">A11+(G5*12)</f>
        <v>25</v>
      </c>
      <c r="H6" s="26" t="n"/>
      <c r="I6" s="26" t="n"/>
      <c r="J6" s="2100" t="n"/>
      <c r="K6" s="429" t="inlineStr">
        <is>
          <t xml:space="preserve">MAX YEAR</t>
        </is>
      </c>
      <c r="L6" s="26" t="n"/>
      <c r="M6" s="26" t="e">
        <f t="array" ref="M6">MAX($K$11:$K$120)</f>
      </c>
      <c r="N6" s="26" t="n"/>
      <c r="O6" s="26" t="n"/>
      <c r="P6" s="26" t="n"/>
      <c r="Q6" s="26" t="n"/>
      <c r="R6" s="26" t="n"/>
      <c r="S6" s="26" t="n"/>
      <c r="T6" s="26" t="n"/>
      <c r="U6" s="27" t="n"/>
    </row>
    <row r="7" s="3154" customFormat="1" ht="13.5" customHeight="1">
      <c r="A7" s="161" t="inlineStr">
        <is>
          <t xml:space="preserve">Perm Loan Payment/Yr</t>
        </is>
      </c>
      <c r="B7" s="26" t="n"/>
      <c r="C7" s="2153" t="n">
        <f t="array" ref="C7">-PMT(C6,G4,C5,0)</f>
        <v>448849.8008154821</v>
      </c>
      <c r="D7" s="26" t="n"/>
      <c r="E7" s="429" t="inlineStr">
        <is>
          <t xml:space="preserve">Total Amortization</t>
        </is>
      </c>
      <c r="F7" s="26" t="n"/>
      <c r="G7" s="2153" t="e">
        <f t="array" ref="G7">SUM(E11:E120)</f>
      </c>
      <c r="H7" s="26" t="n"/>
      <c r="I7" s="26" t="n"/>
      <c r="J7" s="2100" t="n"/>
      <c r="K7" s="26" t="n"/>
      <c r="L7" s="26" t="n"/>
      <c r="M7" s="26" t="n"/>
      <c r="N7" s="26" t="n"/>
      <c r="O7" s="26" t="n"/>
      <c r="P7" s="26" t="n"/>
      <c r="Q7" s="26" t="n"/>
      <c r="R7" s="26" t="n"/>
      <c r="S7" s="26" t="n"/>
      <c r="T7" s="26" t="n"/>
      <c r="U7" s="27" t="n"/>
    </row>
    <row r="8" s="3154" customFormat="1" ht="13.5" customHeight="1">
      <c r="A8" s="627" t="n"/>
      <c r="B8" s="26" t="n"/>
      <c r="C8" s="26" t="n"/>
      <c r="D8" s="26" t="n"/>
      <c r="E8" s="26" t="n"/>
      <c r="F8" s="26" t="n"/>
      <c r="G8" s="26" t="n"/>
      <c r="H8" s="26" t="n"/>
      <c r="I8" s="26" t="n"/>
      <c r="J8" s="2100" t="n"/>
      <c r="K8" s="26" t="n"/>
      <c r="L8" s="26" t="n"/>
      <c r="M8" s="26" t="n"/>
      <c r="N8" s="26" t="n"/>
      <c r="O8" s="26" t="n"/>
      <c r="P8" s="26" t="n"/>
      <c r="Q8" s="26" t="n"/>
      <c r="R8" s="26" t="n"/>
      <c r="S8" s="26" t="n"/>
      <c r="T8" s="26" t="n"/>
      <c r="U8" s="27" t="n"/>
    </row>
    <row r="9" s="3154" customFormat="1" ht="13.5" customHeight="1">
      <c r="A9" s="627" t="n"/>
      <c r="B9" s="26" t="n"/>
      <c r="C9" s="26" t="n"/>
      <c r="D9" s="26" t="n"/>
      <c r="E9" s="26" t="n"/>
      <c r="F9" s="26" t="n"/>
      <c r="G9" s="26" t="n"/>
      <c r="H9" s="26" t="n"/>
      <c r="I9" s="26" t="n"/>
      <c r="J9" s="2100" t="n"/>
      <c r="K9" s="26" t="n"/>
      <c r="L9" s="26" t="n"/>
      <c r="M9" s="26" t="n"/>
      <c r="N9" s="26" t="n"/>
      <c r="O9" s="26" t="n"/>
      <c r="P9" s="26" t="n"/>
      <c r="Q9" s="26" t="n"/>
      <c r="R9" s="26" t="n"/>
      <c r="S9" s="26" t="n"/>
      <c r="T9" s="26" t="n"/>
      <c r="U9" s="27" t="n"/>
    </row>
    <row r="10" s="3154" customFormat="1" ht="27" customHeight="1">
      <c r="A10" s="2154" t="inlineStr">
        <is>
          <t xml:space="preserve">PROJECT MONTH</t>
        </is>
      </c>
      <c r="B10" s="2155" t="n"/>
      <c r="C10" s="2107" t="inlineStr">
        <is>
          <t xml:space="preserve">START BALANCE</t>
        </is>
      </c>
      <c r="D10" s="2107" t="inlineStr">
        <is>
          <t xml:space="preserve">PAYMENT</t>
        </is>
      </c>
      <c r="E10" s="2107" t="inlineStr">
        <is>
          <t xml:space="preserve">PRINCIPAL</t>
        </is>
      </c>
      <c r="F10" s="2107" t="inlineStr">
        <is>
          <t xml:space="preserve">INTEREST</t>
        </is>
      </c>
      <c r="G10" s="2107" t="inlineStr">
        <is>
          <t xml:space="preserve">END BALANCE</t>
        </is>
      </c>
      <c r="H10" s="26" t="n"/>
      <c r="I10" s="26" t="n"/>
      <c r="J10" s="2100" t="n"/>
      <c r="K10" s="2108" t="inlineStr">
        <is>
          <t xml:space="preserve">YEAR</t>
        </is>
      </c>
      <c r="L10" s="2109" t="inlineStr">
        <is>
          <t xml:space="preserve">CUM/YR</t>
        </is>
      </c>
      <c r="M10" s="2110" t="n"/>
      <c r="N10" s="226" t="n"/>
      <c r="O10" s="206" t="inlineStr">
        <is>
          <t xml:space="preserve">LOAN MTH</t>
        </is>
      </c>
      <c r="P10" s="226" t="n"/>
      <c r="Q10" s="226" t="n"/>
      <c r="R10" s="226" t="n"/>
      <c r="S10" s="226" t="n"/>
      <c r="T10" s="226" t="n"/>
      <c r="U10" s="227" t="n"/>
    </row>
    <row r="11" s="3154" customFormat="1" ht="13.5" customHeight="1">
      <c r="A11" s="4014" t="n">
        <f t="array" ref="A11">'Construction Interest'!C7+1</f>
        <v>25</v>
      </c>
      <c r="B11" s="4015" t="e">
        <f t="array" ref="B11">VLOOKUP(A11,'S&amp;U-Timeline'!$P$9:$R$147,3,0)</f>
      </c>
      <c r="C11" s="4016" t="n">
        <f t="array" ref="C11">C5</f>
        <v>5003304.429259213</v>
      </c>
      <c r="D11" s="4016" t="n">
        <f t="array" ref="D11">-PMT($C$6/12,$G$4*12,$C$5,0,0)</f>
        <v>36973.97833057511</v>
      </c>
      <c r="E11" s="3322" t="n">
        <f t="array" ref="E11">IF(A11&lt;$G$6,0,-PPMT($C$6/12,$O11,$G$4*12,$C11,0,0))</f>
        <v>5703.325647704853</v>
      </c>
      <c r="F11" s="3322" t="n">
        <f t="array" ref="F11">-IPMT($C$6/12,$O11,$G$4*12,$C11,0,0)</f>
        <v>31270.652682870077</v>
      </c>
      <c r="G11" s="3322" t="n">
        <f t="array" ref="G11">C11-E11</f>
        <v>4997601.103611507</v>
      </c>
      <c r="H11" s="26" t="n"/>
      <c r="I11" s="26" t="n"/>
      <c r="J11" s="2100" t="n"/>
      <c r="K11" s="211" t="e">
        <f t="array" ref="K11">IF(A11="","",YEAR(B11))</f>
      </c>
      <c r="L11" s="2114" t="e">
        <f t="array" ref="L11">M5</f>
      </c>
      <c r="M11" s="4006" t="e">
        <f t="array" ref="M11">IF($L11="","",SUMIF($K$11:$K$120,$L11,$D$11:$D$120))</f>
      </c>
      <c r="N11" s="26" t="n"/>
      <c r="O11" s="26" t="n">
        <v>1</v>
      </c>
      <c r="P11" s="26" t="n"/>
      <c r="Q11" s="26" t="n"/>
      <c r="R11" s="26" t="n"/>
      <c r="S11" s="26" t="n"/>
      <c r="T11" s="26" t="n"/>
      <c r="U11" s="27" t="n"/>
    </row>
    <row r="12" s="3154" customFormat="1" ht="13.5" customHeight="1">
      <c r="A12" s="1101" t="e">
        <f t="array" ref="A12">IF(A11="","",IF(A11+1&gt;'Assumptions'!$D$133,"",A11+1))</f>
      </c>
      <c r="B12" s="4015" t="e">
        <f t="array" ref="B12">VLOOKUP(A12,'S&amp;U-Timeline'!$P$9:$R$147,3,0)</f>
      </c>
      <c r="C12" s="3322" t="n">
        <f t="array" ref="C12">G11</f>
        <v>4997601.103611507</v>
      </c>
      <c r="D12" s="4016" t="n">
        <f t="array" ref="D12">-PMT($C$6/12,$G$4*12,$C$5,0,0)</f>
        <v>36973.97833057511</v>
      </c>
      <c r="E12" s="3322" t="e">
        <f t="array" ref="E12">IF(A12&lt;$G$6,0,-PPMT($C$6/12,$O12,$G$4*12,$C12,0,0))</f>
      </c>
      <c r="F12" s="3322" t="n">
        <f t="array" ref="F12">-IPMT($C$6/12,$O12,$G$4*12,$C12,0,0)</f>
        <v>31199.40174532426</v>
      </c>
      <c r="G12" s="3322" t="e">
        <f t="array" ref="G12">C12-E12</f>
      </c>
      <c r="H12" s="26" t="n"/>
      <c r="I12" s="26" t="n"/>
      <c r="J12" s="2100" t="n"/>
      <c r="K12" s="211" t="e">
        <f t="array" ref="K12">IF(A12="","",YEAR(B12))</f>
      </c>
      <c r="L12" s="2114" t="e">
        <f t="array" ref="L12">IF($L11="","",IF(L11+1&lt;=$M$6,$L11+1,""))</f>
      </c>
      <c r="M12" s="4006" t="e">
        <f t="array" ref="M12">IF($L12="","",SUMIF($K$11:$K$120,$L12,$D$11:$D$120))</f>
      </c>
      <c r="N12" s="26" t="n"/>
      <c r="O12" s="26" t="n">
        <v>2</v>
      </c>
      <c r="P12" s="26" t="n"/>
      <c r="Q12" s="26" t="n"/>
      <c r="R12" s="26" t="n"/>
      <c r="S12" s="26" t="n"/>
      <c r="T12" s="26" t="n"/>
      <c r="U12" s="27" t="n"/>
    </row>
    <row r="13" s="3154" customFormat="1" ht="13.5" customHeight="1">
      <c r="A13" s="1101" t="e">
        <f t="array" ref="A13">IF(A12="","",IF(A12+1&gt;'Assumptions'!$D$133,"",A12+1))</f>
      </c>
      <c r="B13" s="4015" t="e">
        <f t="array" ref="B13">IF(A13="","",VLOOKUP(A13,'S&amp;U-Timeline'!$P$9:$R$147,3,0))</f>
      </c>
      <c r="C13" s="3322" t="e">
        <f t="array" ref="C13">IF(A13="","",G12)</f>
      </c>
      <c r="D13" s="4016" t="e">
        <f t="array" ref="D13">IF(A13="","",-PMT($C$6/12,$G$4*12,$C$5,0,0))</f>
      </c>
      <c r="E13" s="3322" t="e">
        <f t="array" ref="E13">IF(A13="","",IF(A13&lt;$G$6,0,-PPMT($C$6/12,$O13,$G$4*12,$C13,0,0)))</f>
      </c>
      <c r="F13" s="3322" t="e">
        <f t="array" ref="F13">IF(A13="","",-IPMT($C$6/12,$O13,$G$4*12,$C13,0,0))</f>
      </c>
      <c r="G13" s="3322" t="e">
        <f t="array" ref="G13">IF(A13="","",C13-E13)</f>
      </c>
      <c r="H13" s="26" t="n"/>
      <c r="I13" s="26" t="n"/>
      <c r="J13" s="2100" t="n"/>
      <c r="K13" s="211" t="e">
        <f t="array" ref="K13">IF(A13="","",YEAR(B13))</f>
      </c>
      <c r="L13" s="2114" t="e">
        <f t="array" ref="L13">IF($L12="","",IF(L12+1&lt;=$M$6,$L12+1,""))</f>
      </c>
      <c r="M13" s="4006" t="e">
        <f t="array" ref="M13">IF($L13="","",SUMIF($K$11:$K$120,$L13,$D$11:$D$120))</f>
      </c>
      <c r="N13" s="26" t="n"/>
      <c r="O13" s="26" t="n">
        <v>3</v>
      </c>
      <c r="P13" s="26" t="n"/>
      <c r="Q13" s="26" t="n"/>
      <c r="R13" s="26" t="n"/>
      <c r="S13" s="26" t="n"/>
      <c r="T13" s="26" t="n"/>
      <c r="U13" s="27" t="n"/>
    </row>
    <row r="14" s="3154" customFormat="1" ht="13.5" customHeight="1">
      <c r="A14" s="1101" t="e">
        <f t="array" ref="A14">IF(A13="","",IF(A13+1&gt;'Assumptions'!$D$133,"",A13+1))</f>
      </c>
      <c r="B14" s="4015" t="e">
        <f t="array" ref="B14">IF(A14="","",VLOOKUP(A14,'S&amp;U-Timeline'!$P$9:$R$147,3,0))</f>
      </c>
      <c r="C14" s="3322" t="e">
        <f t="array" ref="C14">IF(A14="","",G13)</f>
      </c>
      <c r="D14" s="4016" t="e">
        <f t="array" ref="D14">IF(A14="","",-PMT($C$6/12,$G$4*12,$C$5,0,0))</f>
      </c>
      <c r="E14" s="3322" t="e">
        <f t="array" ref="E14">IF(A14="","",IF(A14&lt;$G$6,0,-PPMT($C$6/12,$O14,$G$4*12,$C14,0,0)))</f>
      </c>
      <c r="F14" s="3322" t="e">
        <f t="array" ref="F14">IF(A14="","",-IPMT($C$6/12,$O14,$G$4*12,$C14,0,0))</f>
      </c>
      <c r="G14" s="3322" t="e">
        <f t="array" ref="G14">IF(A14="","",C14-E14)</f>
      </c>
      <c r="H14" s="26" t="n"/>
      <c r="I14" s="26" t="n"/>
      <c r="J14" s="2100" t="n"/>
      <c r="K14" s="211" t="e">
        <f t="array" ref="K14">IF(A14="","",YEAR(B14))</f>
      </c>
      <c r="L14" s="2114" t="e">
        <f t="array" ref="L14">IF($L13="","",IF(L13+1&lt;=$M$6,$L13+1,""))</f>
      </c>
      <c r="M14" s="4006" t="e">
        <f t="array" ref="M14">IF($L14="","",SUMIF($K$11:$K$120,$L14,$D$11:$D$120))</f>
      </c>
      <c r="N14" s="26" t="n"/>
      <c r="O14" s="26" t="n">
        <v>4</v>
      </c>
      <c r="P14" s="26" t="n"/>
      <c r="Q14" s="26" t="n"/>
      <c r="R14" s="26" t="n"/>
      <c r="S14" s="26" t="n"/>
      <c r="T14" s="26" t="n"/>
      <c r="U14" s="27" t="n"/>
    </row>
    <row r="15" s="3154" customFormat="1" ht="13.5" customHeight="1">
      <c r="A15" s="1101" t="e">
        <f t="array" ref="A15">IF(A14="","",IF(A14+1&gt;'Assumptions'!$D$133,"",A14+1))</f>
      </c>
      <c r="B15" s="4015" t="e">
        <f t="array" ref="B15">IF(A15="","",VLOOKUP(A15,'S&amp;U-Timeline'!$P$9:$R$147,3,0))</f>
      </c>
      <c r="C15" s="3322" t="e">
        <f t="array" ref="C15">IF(A15="","",G14)</f>
      </c>
      <c r="D15" s="4016" t="e">
        <f t="array" ref="D15">IF(A15="","",-PMT($C$6/12,$G$4*12,$C$5,0,0))</f>
      </c>
      <c r="E15" s="3322" t="e">
        <f t="array" ref="E15">IF(A15="","",IF(A15&lt;$G$6,0,-PPMT($C$6/12,$O15,$G$4*12,$C15,0,0)))</f>
      </c>
      <c r="F15" s="3322" t="e">
        <f t="array" ref="F15">IF(A15="","",-IPMT($C$6/12,$O15,$G$4*12,$C15,0,0))</f>
      </c>
      <c r="G15" s="3322" t="e">
        <f t="array" ref="G15">IF(A15="","",C15-E15)</f>
      </c>
      <c r="H15" s="26" t="n"/>
      <c r="I15" s="26" t="n"/>
      <c r="J15" s="2100" t="n"/>
      <c r="K15" s="211" t="e">
        <f t="array" ref="K15">IF(A15="","",YEAR(B15))</f>
      </c>
      <c r="L15" s="2114" t="e">
        <f t="array" ref="L15">IF($L14="","",IF(L14+1&lt;=$M$6,$L14+1,""))</f>
      </c>
      <c r="M15" s="4006" t="e">
        <f t="array" ref="M15">IF($L15="","",SUMIF($K$11:$K$120,$L15,$D$11:$D$120))</f>
      </c>
      <c r="N15" s="26" t="n"/>
      <c r="O15" s="26" t="n">
        <v>5</v>
      </c>
      <c r="P15" s="26" t="n"/>
      <c r="Q15" s="26" t="n"/>
      <c r="R15" s="26" t="n"/>
      <c r="S15" s="26" t="n"/>
      <c r="T15" s="26" t="n"/>
      <c r="U15" s="27" t="n"/>
    </row>
    <row r="16" s="3154" customFormat="1" ht="13.5" customHeight="1">
      <c r="A16" s="1101" t="e">
        <f t="array" ref="A16">IF(A15="","",IF(A15+1&gt;'Assumptions'!$D$133,"",A15+1))</f>
      </c>
      <c r="B16" s="4015" t="e">
        <f t="array" ref="B16">IF(A16="","",VLOOKUP(A16,'S&amp;U-Timeline'!$P$9:$R$147,3,0))</f>
      </c>
      <c r="C16" s="3322" t="e">
        <f t="array" ref="C16">IF(A16="","",G15)</f>
      </c>
      <c r="D16" s="4016" t="e">
        <f t="array" ref="D16">IF(A16="","",-PMT($C$6/12,$G$4*12,$C$5,0,0))</f>
      </c>
      <c r="E16" s="3322" t="e">
        <f t="array" ref="E16">IF(A16="","",IF(A16&lt;$G$6,0,-PPMT($C$6/12,$O16,$G$4*12,$C16,0,0)))</f>
      </c>
      <c r="F16" s="3322" t="e">
        <f t="array" ref="F16">IF(A16="","",-IPMT($C$6/12,$O16,$G$4*12,$C16,0,0))</f>
      </c>
      <c r="G16" s="3322" t="e">
        <f t="array" ref="G16">IF(A16="","",C16-E16)</f>
      </c>
      <c r="H16" s="26" t="n"/>
      <c r="I16" s="26" t="n"/>
      <c r="J16" s="2100" t="n"/>
      <c r="K16" s="211" t="e">
        <f t="array" ref="K16">IF(A16="","",YEAR(B16))</f>
      </c>
      <c r="L16" s="2114" t="e">
        <f t="array" ref="L16">IF($L15="","",IF(L15+1&lt;=$M$6,$L15+1,""))</f>
      </c>
      <c r="M16" s="4006" t="e">
        <f t="array" ref="M16">IF($L16="","",SUMIF($K$11:$K$120,$L16,$D$11:$D$120))</f>
      </c>
      <c r="N16" s="26" t="n"/>
      <c r="O16" s="26" t="n">
        <v>6</v>
      </c>
      <c r="P16" s="26" t="n"/>
      <c r="Q16" s="26" t="n"/>
      <c r="R16" s="26" t="n"/>
      <c r="S16" s="26" t="n"/>
      <c r="T16" s="26" t="n"/>
      <c r="U16" s="27" t="n"/>
    </row>
    <row r="17" s="3154" customFormat="1" ht="13.5" customHeight="1">
      <c r="A17" s="1101" t="e">
        <f t="array" ref="A17">IF(A16="","",IF(A16+1&gt;'Assumptions'!$D$133,"",A16+1))</f>
      </c>
      <c r="B17" s="4015" t="e">
        <f t="array" ref="B17">IF(A17="","",VLOOKUP(A17,'S&amp;U-Timeline'!$P$9:$R$147,3,0))</f>
      </c>
      <c r="C17" s="3322" t="e">
        <f t="array" ref="C17">IF(A17="","",G16)</f>
      </c>
      <c r="D17" s="4016" t="e">
        <f t="array" ref="D17">IF(A17="","",-PMT($C$6/12,$G$4*12,$C$5,0,0))</f>
      </c>
      <c r="E17" s="3322" t="e">
        <f t="array" ref="E17">IF(A17="","",IF(A17&lt;$G$6,0,-PPMT($C$6/12,$O17,$G$4*12,$C17,0,0)))</f>
      </c>
      <c r="F17" s="3322" t="e">
        <f t="array" ref="F17">IF(A17="","",-IPMT($C$6/12,$O17,$G$4*12,$C17,0,0))</f>
      </c>
      <c r="G17" s="3322" t="e">
        <f t="array" ref="G17">IF(A17="","",C17-E17)</f>
      </c>
      <c r="H17" s="26" t="n"/>
      <c r="I17" s="26" t="n"/>
      <c r="J17" s="2100" t="n"/>
      <c r="K17" s="211" t="e">
        <f t="array" ref="K17">IF(A17="","",YEAR(B17))</f>
      </c>
      <c r="L17" s="2114" t="e">
        <f t="array" ref="L17">IF($L16="","",IF(L16+1&lt;=$M$6,$L16+1,""))</f>
      </c>
      <c r="M17" s="4006" t="e">
        <f t="array" ref="M17">IF($L17="","",SUMIF($K$11:$K$120,$L17,$D$11:$D$120))</f>
      </c>
      <c r="N17" s="26" t="n"/>
      <c r="O17" s="26" t="n">
        <v>7</v>
      </c>
      <c r="P17" s="26" t="n"/>
      <c r="Q17" s="26" t="n"/>
      <c r="R17" s="26" t="n"/>
      <c r="S17" s="26" t="n"/>
      <c r="T17" s="26" t="n"/>
      <c r="U17" s="27" t="n"/>
    </row>
    <row r="18" s="3154" customFormat="1" ht="13.5" customHeight="1">
      <c r="A18" s="1101" t="e">
        <f t="array" ref="A18">IF(A17="","",IF(A17+1&gt;'Assumptions'!$D$133,"",A17+1))</f>
      </c>
      <c r="B18" s="4015" t="e">
        <f t="array" ref="B18">IF(A18="","",VLOOKUP(A18,'S&amp;U-Timeline'!$P$9:$R$147,3,0))</f>
      </c>
      <c r="C18" s="3322" t="e">
        <f t="array" ref="C18">IF(A18="","",G17)</f>
      </c>
      <c r="D18" s="4016" t="e">
        <f t="array" ref="D18">IF(A18="","",-PMT($C$6/12,$G$4*12,$C$5,0,0))</f>
      </c>
      <c r="E18" s="3322" t="e">
        <f t="array" ref="E18">IF(A18="","",IF(A18&lt;$G$6,0,-PPMT($C$6/12,$O18,$G$4*12,$C18,0,0)))</f>
      </c>
      <c r="F18" s="3322" t="e">
        <f t="array" ref="F18">IF(A18="","",-IPMT($C$6/12,$O18,$G$4*12,$C18,0,0))</f>
      </c>
      <c r="G18" s="3322" t="e">
        <f t="array" ref="G18">IF(A18="","",C18-E18)</f>
      </c>
      <c r="H18" s="26" t="n"/>
      <c r="I18" s="26" t="n"/>
      <c r="J18" s="2100" t="n"/>
      <c r="K18" s="211" t="e">
        <f t="array" ref="K18">IF(A18="","",YEAR(B18))</f>
      </c>
      <c r="L18" s="2114" t="e">
        <f t="array" ref="L18">IF($L17="","",IF(L17+1&lt;=$M$6,$L17+1,""))</f>
      </c>
      <c r="M18" s="4006" t="e">
        <f t="array" ref="M18">IF($L18="","",SUMIF($K$11:$K$120,$L18,$D$11:$D$120))</f>
      </c>
      <c r="N18" s="26" t="n"/>
      <c r="O18" s="26" t="n">
        <v>8</v>
      </c>
      <c r="P18" s="26" t="n"/>
      <c r="Q18" s="26" t="n"/>
      <c r="R18" s="26" t="n"/>
      <c r="S18" s="26" t="n"/>
      <c r="T18" s="26" t="n"/>
      <c r="U18" s="27" t="n"/>
    </row>
    <row r="19" s="3154" customFormat="1" ht="13.5" customHeight="1">
      <c r="A19" s="1101" t="e">
        <f t="array" ref="A19">IF(A18="","",IF(A18+1&gt;'Assumptions'!$D$133,"",A18+1))</f>
      </c>
      <c r="B19" s="4015" t="e">
        <f t="array" ref="B19">IF(A19="","",VLOOKUP(A19,'S&amp;U-Timeline'!$P$9:$R$147,3,0))</f>
      </c>
      <c r="C19" s="3322" t="e">
        <f t="array" ref="C19">IF(A19="","",G18)</f>
      </c>
      <c r="D19" s="4016" t="e">
        <f t="array" ref="D19">IF(A19="","",-PMT($C$6/12,$G$4*12,$C$5,0,0))</f>
      </c>
      <c r="E19" s="3322" t="e">
        <f t="array" ref="E19">IF(A19="","",IF(A19&lt;$G$6,0,-PPMT($C$6/12,$O19,$G$4*12,$C19,0,0)))</f>
      </c>
      <c r="F19" s="3322" t="e">
        <f t="array" ref="F19">IF(A19="","",-IPMT($C$6/12,$O19,$G$4*12,$C19,0,0))</f>
      </c>
      <c r="G19" s="3322" t="e">
        <f t="array" ref="G19">IF(A19="","",C19-E19)</f>
      </c>
      <c r="H19" s="26" t="n"/>
      <c r="I19" s="26" t="n"/>
      <c r="J19" s="2100" t="n"/>
      <c r="K19" s="211" t="e">
        <f t="array" ref="K19">IF(A19="","",YEAR(B19))</f>
      </c>
      <c r="L19" s="2114" t="e">
        <f t="array" ref="L19">IF($L18="","",IF(L18+1&lt;=$M$6,$L18+1,""))</f>
      </c>
      <c r="M19" s="4006" t="e">
        <f t="array" ref="M19">IF($L19="","",SUMIF($K$11:$K$120,$L19,$D$11:$D$120))</f>
      </c>
      <c r="N19" s="26" t="n"/>
      <c r="O19" s="26" t="n">
        <v>9</v>
      </c>
      <c r="P19" s="26" t="n"/>
      <c r="Q19" s="26" t="n"/>
      <c r="R19" s="26" t="n"/>
      <c r="S19" s="26" t="n"/>
      <c r="T19" s="26" t="n"/>
      <c r="U19" s="27" t="n"/>
    </row>
    <row r="20" s="3154" customFormat="1" ht="13.5" customHeight="1">
      <c r="A20" s="1101" t="e">
        <f t="array" ref="A20">IF(A19="","",IF(A19+1&gt;'Assumptions'!$D$133,"",A19+1))</f>
      </c>
      <c r="B20" s="4015" t="e">
        <f t="array" ref="B20">IF(A20="","",VLOOKUP(A20,'S&amp;U-Timeline'!$P$9:$R$147,3,0))</f>
      </c>
      <c r="C20" s="3322" t="e">
        <f t="array" ref="C20">IF(A20="","",G19)</f>
      </c>
      <c r="D20" s="4016" t="e">
        <f t="array" ref="D20">IF(A20="","",-PMT($C$6/12,$G$4*12,$C$5,0,0))</f>
      </c>
      <c r="E20" s="3322" t="e">
        <f t="array" ref="E20">IF(A20="","",IF(A20&lt;$G$6,0,-PPMT($C$6/12,$O20,$G$4*12,$C20,0,0)))</f>
      </c>
      <c r="F20" s="3322" t="e">
        <f t="array" ref="F20">IF(A20="","",-IPMT($C$6/12,$O20,$G$4*12,$C20,0,0))</f>
      </c>
      <c r="G20" s="3322" t="e">
        <f t="array" ref="G20">IF(A20="","",C20-E20)</f>
      </c>
      <c r="H20" s="26" t="n"/>
      <c r="I20" s="26" t="n"/>
      <c r="J20" s="2100" t="n"/>
      <c r="K20" s="211" t="e">
        <f t="array" ref="K20">IF(A20="","",YEAR(B20))</f>
      </c>
      <c r="L20" s="2116" t="e">
        <f t="array" ref="L20">IF($L19="","",IF(L19+1&lt;=$M$6,$L19+1,""))</f>
      </c>
      <c r="M20" s="2117" t="e">
        <f t="array" ref="M20">IF($L20="","",SUMIF($K$11:$K$120,$L20,$D$11:$D$120))</f>
      </c>
      <c r="N20" s="26" t="n"/>
      <c r="O20" s="26" t="n">
        <v>10</v>
      </c>
      <c r="P20" s="26" t="n"/>
      <c r="Q20" s="26" t="n"/>
      <c r="R20" s="26" t="n"/>
      <c r="S20" s="26" t="n"/>
      <c r="T20" s="26" t="n"/>
      <c r="U20" s="27" t="n"/>
    </row>
    <row r="21" s="3154" customFormat="1" ht="13.5" customHeight="1">
      <c r="A21" s="1101" t="e">
        <f t="array" ref="A21">IF(A20="","",IF(A20+1&gt;'Assumptions'!$D$133,"",A20+1))</f>
      </c>
      <c r="B21" s="4015" t="e">
        <f t="array" ref="B21">IF(A21="","",VLOOKUP(A21,'S&amp;U-Timeline'!$P$9:$R$147,3,0))</f>
      </c>
      <c r="C21" s="3322" t="e">
        <f t="array" ref="C21">IF(A21="","",G20)</f>
      </c>
      <c r="D21" s="4016" t="e">
        <f t="array" ref="D21">IF(A21="","",-PMT($C$6/12,$G$4*12,$C$5,0,0))</f>
      </c>
      <c r="E21" s="3322" t="e">
        <f t="array" ref="E21">IF(A21="","",IF(A21&lt;$G$6,0,-PPMT($C$6/12,$O21,$G$4*12,$C21,0,0)))</f>
      </c>
      <c r="F21" s="3322" t="e">
        <f t="array" ref="F21">IF(A21="","",-IPMT($C$6/12,$O21,$G$4*12,$C21,0,0))</f>
      </c>
      <c r="G21" s="3322" t="e">
        <f t="array" ref="G21">IF(A21="","",C21-E21)</f>
      </c>
      <c r="H21" s="26" t="n"/>
      <c r="I21" s="26" t="n"/>
      <c r="J21" s="2100" t="n"/>
      <c r="K21" s="211" t="e">
        <f t="array" ref="K21">IF(A21="","",YEAR(B21))</f>
      </c>
      <c r="L21" s="2116" t="e">
        <f t="array" ref="L21">IF($L20="","",IF(L20+1&lt;=$M$6,$L20+1,""))</f>
      </c>
      <c r="M21" s="2117" t="e">
        <f t="array" ref="M21">IF($L21="","",SUMIF($K$11:$K$120,$L21,$D$11:$D$120))</f>
      </c>
      <c r="N21" s="26" t="n"/>
      <c r="O21" s="26" t="n">
        <v>11</v>
      </c>
      <c r="P21" s="26" t="n"/>
      <c r="Q21" s="26" t="n"/>
      <c r="R21" s="26" t="n"/>
      <c r="S21" s="26" t="n"/>
      <c r="T21" s="26" t="n"/>
      <c r="U21" s="27" t="n"/>
    </row>
    <row r="22" s="3154" customFormat="1" ht="13.5" customHeight="1">
      <c r="A22" s="1101" t="e">
        <f t="array" ref="A22">IF(A21="","",IF(A21+1&gt;'Assumptions'!$D$133,"",A21+1))</f>
      </c>
      <c r="B22" s="4015" t="e">
        <f t="array" ref="B22">IF(A22="","",VLOOKUP(A22,'S&amp;U-Timeline'!$P$9:$R$147,3,0))</f>
      </c>
      <c r="C22" s="3322" t="e">
        <f t="array" ref="C22">IF(A22="","",G21)</f>
      </c>
      <c r="D22" s="4016" t="e">
        <f t="array" ref="D22">IF(A22="","",-PMT($C$6/12,$G$4*12,$C$5,0,0))</f>
      </c>
      <c r="E22" s="3322" t="e">
        <f t="array" ref="E22">IF(A22="","",IF(A22&lt;$G$6,0,-PPMT($C$6/12,$O22,$G$4*12,$C22,0,0)))</f>
      </c>
      <c r="F22" s="3322" t="e">
        <f t="array" ref="F22">IF(A22="","",-IPMT($C$6/12,$O22,$G$4*12,$C22,0,0))</f>
      </c>
      <c r="G22" s="3322" t="e">
        <f t="array" ref="G22">IF(A22="","",C22-E22)</f>
      </c>
      <c r="H22" s="26" t="n"/>
      <c r="I22" s="26" t="n"/>
      <c r="J22" s="2100" t="n"/>
      <c r="K22" s="211" t="e">
        <f t="array" ref="K22">IF(A22="","",YEAR(B22))</f>
      </c>
      <c r="L22" s="26" t="n"/>
      <c r="M22" s="26" t="n"/>
      <c r="N22" s="26" t="n"/>
      <c r="O22" s="26" t="n">
        <v>12</v>
      </c>
      <c r="P22" s="26" t="n"/>
      <c r="Q22" s="26" t="n"/>
      <c r="R22" s="26" t="n"/>
      <c r="S22" s="26" t="n"/>
      <c r="T22" s="26" t="n"/>
      <c r="U22" s="27" t="n"/>
    </row>
    <row r="23" s="3154" customFormat="1" ht="13.5" customHeight="1">
      <c r="A23" s="1101" t="e">
        <f t="array" ref="A23">IF(A22="","",IF(A22+1&gt;'Assumptions'!$D$133,"",A22+1))</f>
      </c>
      <c r="B23" s="4015" t="e">
        <f t="array" ref="B23">IF(A23="","",VLOOKUP(A23,'S&amp;U-Timeline'!$P$9:$R$147,3,0))</f>
      </c>
      <c r="C23" s="3322" t="e">
        <f t="array" ref="C23">IF(A23="","",G22)</f>
      </c>
      <c r="D23" s="4016" t="e">
        <f t="array" ref="D23">IF(A23="","",-PMT($C$6/12,$G$4*12,$C$5,0,0))</f>
      </c>
      <c r="E23" s="3322" t="e">
        <f t="array" ref="E23">IF(A23="","",IF(A23&lt;$G$6,0,-PPMT($C$6/12,$O23,$G$4*12,$C23,0,0)))</f>
      </c>
      <c r="F23" s="3322" t="e">
        <f t="array" ref="F23">IF(A23="","",-IPMT($C$6/12,$O23,$G$4*12,$C23,0,0))</f>
      </c>
      <c r="G23" s="3322" t="e">
        <f t="array" ref="G23">IF(A23="","",C23-E23)</f>
      </c>
      <c r="H23" s="26" t="n"/>
      <c r="I23" s="26" t="n"/>
      <c r="J23" s="2100" t="n"/>
      <c r="K23" s="211" t="e">
        <f t="array" ref="K23">IF(A23="","",YEAR(B23))</f>
      </c>
      <c r="L23" s="26" t="n"/>
      <c r="M23" s="26" t="n"/>
      <c r="N23" s="26" t="n"/>
      <c r="O23" s="26" t="n">
        <v>13</v>
      </c>
      <c r="P23" s="26" t="n"/>
      <c r="Q23" s="26" t="n"/>
      <c r="R23" s="26" t="n"/>
      <c r="S23" s="26" t="n"/>
      <c r="T23" s="26" t="n"/>
      <c r="U23" s="27" t="n"/>
    </row>
    <row r="24" s="3154" customFormat="1" ht="13.5" customHeight="1">
      <c r="A24" s="1101" t="e">
        <f t="array" ref="A24">IF(A23="","",IF(A23+1&gt;'Assumptions'!$D$133,"",A23+1))</f>
      </c>
      <c r="B24" s="4015" t="e">
        <f t="array" ref="B24">IF(A24="","",VLOOKUP(A24,'S&amp;U-Timeline'!$P$9:$R$147,3,0))</f>
      </c>
      <c r="C24" s="3322" t="e">
        <f t="array" ref="C24">IF(A24="","",G23)</f>
      </c>
      <c r="D24" s="4016" t="e">
        <f t="array" ref="D24">IF(A24="","",-PMT($C$6/12,$G$4*12,$C$5,0,0))</f>
      </c>
      <c r="E24" s="3322" t="e">
        <f t="array" ref="E24">IF(A24="","",IF(A24&lt;$G$6,0,-PPMT($C$6/12,$O24,$G$4*12,$C24,0,0)))</f>
      </c>
      <c r="F24" s="3322" t="e">
        <f t="array" ref="F24">IF(A24="","",-IPMT($C$6/12,$O24,$G$4*12,$C24,0,0))</f>
      </c>
      <c r="G24" s="3322" t="e">
        <f t="array" ref="G24">IF(A24="","",C24-E24)</f>
      </c>
      <c r="H24" s="26" t="n"/>
      <c r="I24" s="26" t="n"/>
      <c r="J24" s="2100" t="n"/>
      <c r="K24" s="211" t="e">
        <f t="array" ref="K24">IF(A24="","",YEAR(B24))</f>
      </c>
      <c r="L24" s="26" t="n"/>
      <c r="M24" s="26" t="n"/>
      <c r="N24" s="26" t="n"/>
      <c r="O24" s="26" t="n">
        <v>14</v>
      </c>
      <c r="P24" s="26" t="n"/>
      <c r="Q24" s="26" t="n"/>
      <c r="R24" s="26" t="n"/>
      <c r="S24" s="26" t="n"/>
      <c r="T24" s="26" t="n"/>
      <c r="U24" s="27" t="n"/>
    </row>
    <row r="25" s="3154" customFormat="1" ht="13.5" customHeight="1">
      <c r="A25" s="1101" t="e">
        <f t="array" ref="A25">IF(A24="","",IF(A24+1&gt;'Assumptions'!$D$133,"",A24+1))</f>
      </c>
      <c r="B25" s="4015" t="e">
        <f t="array" ref="B25">IF(A25="","",VLOOKUP(A25,'S&amp;U-Timeline'!$P$9:$R$147,3,0))</f>
      </c>
      <c r="C25" s="3322" t="e">
        <f t="array" ref="C25">IF(A25="","",G24)</f>
      </c>
      <c r="D25" s="4016" t="e">
        <f t="array" ref="D25">IF(A25="","",-PMT($C$6/12,$G$4*12,$C$5,0,0))</f>
      </c>
      <c r="E25" s="3322" t="e">
        <f t="array" ref="E25">IF(A25="","",IF(A25&lt;$G$6,0,-PPMT($C$6/12,$O25,$G$4*12,$C25,0,0)))</f>
      </c>
      <c r="F25" s="3322" t="e">
        <f t="array" ref="F25">IF(A25="","",-IPMT($C$6/12,$O25,$G$4*12,$C25,0,0))</f>
      </c>
      <c r="G25" s="3322" t="e">
        <f t="array" ref="G25">IF(A25="","",C25-E25)</f>
      </c>
      <c r="H25" s="26" t="n"/>
      <c r="I25" s="26" t="n"/>
      <c r="J25" s="2100" t="n"/>
      <c r="K25" s="211" t="e">
        <f t="array" ref="K25">IF(A25="","",YEAR(B25))</f>
      </c>
      <c r="L25" s="26" t="n"/>
      <c r="M25" s="26" t="n"/>
      <c r="N25" s="26" t="n"/>
      <c r="O25" s="26" t="n">
        <v>15</v>
      </c>
      <c r="P25" s="26" t="n"/>
      <c r="Q25" s="26" t="n"/>
      <c r="R25" s="26" t="n"/>
      <c r="S25" s="26" t="n"/>
      <c r="T25" s="26" t="n"/>
      <c r="U25" s="27" t="n"/>
    </row>
    <row r="26" s="3154" customFormat="1" ht="13.5" customHeight="1">
      <c r="A26" s="1101" t="e">
        <f t="array" ref="A26">IF(A25="","",IF(A25+1&gt;'Assumptions'!$D$133,"",A25+1))</f>
      </c>
      <c r="B26" s="4015" t="e">
        <f t="array" ref="B26">IF(A26="","",VLOOKUP(A26,'S&amp;U-Timeline'!$P$9:$R$147,3,0))</f>
      </c>
      <c r="C26" s="3322" t="e">
        <f t="array" ref="C26">IF(A26="","",G25)</f>
      </c>
      <c r="D26" s="4016" t="e">
        <f t="array" ref="D26">IF(A26="","",-PMT($C$6/12,$G$4*12,$C$5,0,0))</f>
      </c>
      <c r="E26" s="3322" t="e">
        <f t="array" ref="E26">IF(A26="","",IF(A26&lt;$G$6,0,-PPMT($C$6/12,$O26,$G$4*12,$C26,0,0)))</f>
      </c>
      <c r="F26" s="3322" t="e">
        <f t="array" ref="F26">IF(A26="","",-IPMT($C$6/12,$O26,$G$4*12,$C26,0,0))</f>
      </c>
      <c r="G26" s="3322" t="e">
        <f t="array" ref="G26">IF(A26="","",C26-E26)</f>
      </c>
      <c r="H26" s="26" t="n"/>
      <c r="I26" s="26" t="n"/>
      <c r="J26" s="2100" t="n"/>
      <c r="K26" s="211" t="e">
        <f t="array" ref="K26">IF(A26="","",YEAR(B26))</f>
      </c>
      <c r="L26" s="26" t="n"/>
      <c r="M26" s="26" t="n"/>
      <c r="N26" s="26" t="n"/>
      <c r="O26" s="26" t="n">
        <v>16</v>
      </c>
      <c r="P26" s="26" t="n"/>
      <c r="Q26" s="26" t="n"/>
      <c r="R26" s="26" t="n"/>
      <c r="S26" s="26" t="n"/>
      <c r="T26" s="26" t="n"/>
      <c r="U26" s="27" t="n"/>
    </row>
    <row r="27" s="3154" customFormat="1" ht="13.5" customHeight="1">
      <c r="A27" s="1101" t="e">
        <f t="array" ref="A27">IF(A26="","",IF(A26+1&gt;'Assumptions'!$D$133,"",A26+1))</f>
      </c>
      <c r="B27" s="4015" t="e">
        <f t="array" ref="B27">IF(A27="","",VLOOKUP(A27,'S&amp;U-Timeline'!$P$9:$R$147,3,0))</f>
      </c>
      <c r="C27" s="3322" t="e">
        <f t="array" ref="C27">IF(A27="","",G26)</f>
      </c>
      <c r="D27" s="4016" t="e">
        <f t="array" ref="D27">IF(A27="","",-PMT($C$6/12,$G$4*12,$C$5,0,0))</f>
      </c>
      <c r="E27" s="3322" t="e">
        <f t="array" ref="E27">IF(A27="","",IF(A27&lt;$G$6,0,-PPMT($C$6/12,$O27,$G$4*12,$C27,0,0)))</f>
      </c>
      <c r="F27" s="3322" t="e">
        <f t="array" ref="F27">IF(A27="","",-IPMT($C$6/12,$O27,$G$4*12,$C27,0,0))</f>
      </c>
      <c r="G27" s="3322" t="e">
        <f t="array" ref="G27">IF(A27="","",C27-E27)</f>
      </c>
      <c r="H27" s="26" t="n"/>
      <c r="I27" s="26" t="n"/>
      <c r="J27" s="2100" t="n"/>
      <c r="K27" s="211" t="e">
        <f t="array" ref="K27">IF(A27="","",YEAR(B27))</f>
      </c>
      <c r="L27" s="26" t="n"/>
      <c r="M27" s="26" t="n"/>
      <c r="N27" s="26" t="n"/>
      <c r="O27" s="26" t="n">
        <v>17</v>
      </c>
      <c r="P27" s="26" t="n"/>
      <c r="Q27" s="26" t="n"/>
      <c r="R27" s="26" t="n"/>
      <c r="S27" s="26" t="n"/>
      <c r="T27" s="26" t="n"/>
      <c r="U27" s="27" t="n"/>
    </row>
    <row r="28" s="3154" customFormat="1" ht="13.5" customHeight="1">
      <c r="A28" s="1101" t="e">
        <f t="array" ref="A28">IF(A27="","",IF(A27+1&gt;'Assumptions'!$D$133,"",A27+1))</f>
      </c>
      <c r="B28" s="4015" t="e">
        <f t="array" ref="B28">IF(A28="","",VLOOKUP(A28,'S&amp;U-Timeline'!$P$9:$R$147,3,0))</f>
      </c>
      <c r="C28" s="3322" t="e">
        <f t="array" ref="C28">IF(A28="","",G27)</f>
      </c>
      <c r="D28" s="4016" t="e">
        <f t="array" ref="D28">IF(A28="","",-PMT($C$6/12,$G$4*12,$C$5,0,0))</f>
      </c>
      <c r="E28" s="3322" t="e">
        <f t="array" ref="E28">IF(A28="","",IF(A28&lt;$G$6,0,-PPMT($C$6/12,$O28,$G$4*12,$C28,0,0)))</f>
      </c>
      <c r="F28" s="3322" t="e">
        <f t="array" ref="F28">IF(A28="","",-IPMT($C$6/12,$O28,$G$4*12,$C28,0,0))</f>
      </c>
      <c r="G28" s="3322" t="e">
        <f t="array" ref="G28">IF(A28="","",C28-E28)</f>
      </c>
      <c r="H28" s="26" t="n"/>
      <c r="I28" s="26" t="n"/>
      <c r="J28" s="2100" t="n"/>
      <c r="K28" s="211" t="e">
        <f t="array" ref="K28">IF(A28="","",YEAR(B28))</f>
      </c>
      <c r="L28" s="26" t="n"/>
      <c r="M28" s="26" t="n"/>
      <c r="N28" s="26" t="n"/>
      <c r="O28" s="26" t="n">
        <v>18</v>
      </c>
      <c r="P28" s="26" t="n"/>
      <c r="Q28" s="26" t="n"/>
      <c r="R28" s="26" t="n"/>
      <c r="S28" s="26" t="n"/>
      <c r="T28" s="26" t="n"/>
      <c r="U28" s="27" t="n"/>
    </row>
    <row r="29" s="3154" customFormat="1" ht="13.5" customHeight="1">
      <c r="A29" s="1101" t="e">
        <f t="array" ref="A29">IF(A28="","",IF(A28+1&gt;'Assumptions'!$D$133,"",A28+1))</f>
      </c>
      <c r="B29" s="4015" t="e">
        <f t="array" ref="B29">IF(A29="","",VLOOKUP(A29,'S&amp;U-Timeline'!$P$9:$R$147,3,0))</f>
      </c>
      <c r="C29" s="3322" t="e">
        <f t="array" ref="C29">IF(A29="","",G28)</f>
      </c>
      <c r="D29" s="4016" t="e">
        <f t="array" ref="D29">IF(A29="","",-PMT($C$6/12,$G$4*12,$C$5,0,0))</f>
      </c>
      <c r="E29" s="3322" t="e">
        <f t="array" ref="E29">IF(A29="","",IF(A29&lt;$G$6,0,-PPMT($C$6/12,$O29,$G$4*12,$C29,0,0)))</f>
      </c>
      <c r="F29" s="3322" t="e">
        <f t="array" ref="F29">IF(A29="","",-IPMT($C$6/12,$O29,$G$4*12,$C29,0,0))</f>
      </c>
      <c r="G29" s="3322" t="e">
        <f t="array" ref="G29">IF(A29="","",C29-E29)</f>
      </c>
      <c r="H29" s="26" t="n"/>
      <c r="I29" s="26" t="n"/>
      <c r="J29" s="2100" t="n"/>
      <c r="K29" s="211" t="e">
        <f t="array" ref="K29">IF(A29="","",YEAR(B29))</f>
      </c>
      <c r="L29" s="26" t="n"/>
      <c r="M29" s="26" t="n"/>
      <c r="N29" s="26" t="n"/>
      <c r="O29" s="26" t="n">
        <v>19</v>
      </c>
      <c r="P29" s="26" t="n"/>
      <c r="Q29" s="26" t="n"/>
      <c r="R29" s="26" t="n"/>
      <c r="S29" s="26" t="n"/>
      <c r="T29" s="26" t="n"/>
      <c r="U29" s="27" t="n"/>
    </row>
    <row r="30" s="3154" customFormat="1" ht="13.5" customHeight="1">
      <c r="A30" s="1101" t="e">
        <f t="array" ref="A30">IF(A29="","",IF(A29+1&gt;'Assumptions'!$D$133,"",A29+1))</f>
      </c>
      <c r="B30" s="4015" t="e">
        <f t="array" ref="B30">IF(A30="","",VLOOKUP(A30,'S&amp;U-Timeline'!$P$9:$R$147,3,0))</f>
      </c>
      <c r="C30" s="3322" t="e">
        <f t="array" ref="C30">IF(A30="","",G29)</f>
      </c>
      <c r="D30" s="4016" t="e">
        <f t="array" ref="D30">IF(A30="","",-PMT($C$6/12,$G$4*12,$C$5,0,0))</f>
      </c>
      <c r="E30" s="3322" t="e">
        <f t="array" ref="E30">IF(A30="","",IF(A30&lt;$G$6,0,-PPMT($C$6/12,$O30,$G$4*12,$C30,0,0)))</f>
      </c>
      <c r="F30" s="3322" t="e">
        <f t="array" ref="F30">IF(A30="","",-IPMT($C$6/12,$O30,$G$4*12,$C30,0,0))</f>
      </c>
      <c r="G30" s="3322" t="e">
        <f t="array" ref="G30">IF(A30="","",C30-E30)</f>
      </c>
      <c r="H30" s="26" t="n"/>
      <c r="I30" s="26" t="n"/>
      <c r="J30" s="2100" t="n"/>
      <c r="K30" s="211" t="e">
        <f t="array" ref="K30">IF(A30="","",YEAR(B30))</f>
      </c>
      <c r="L30" s="26" t="n"/>
      <c r="M30" s="26" t="n"/>
      <c r="N30" s="26" t="n"/>
      <c r="O30" s="26" t="n">
        <v>20</v>
      </c>
      <c r="P30" s="26" t="n"/>
      <c r="Q30" s="26" t="n"/>
      <c r="R30" s="26" t="n"/>
      <c r="S30" s="26" t="n"/>
      <c r="T30" s="26" t="n"/>
      <c r="U30" s="27" t="n"/>
    </row>
    <row r="31" s="3154" customFormat="1" ht="13.5" customHeight="1">
      <c r="A31" s="1101" t="e">
        <f t="array" ref="A31">IF(A30="","",IF(A30+1&gt;'Assumptions'!$D$133,"",A30+1))</f>
      </c>
      <c r="B31" s="4015" t="e">
        <f t="array" ref="B31">IF(A31="","",VLOOKUP(A31,'S&amp;U-Timeline'!$P$9:$R$147,3,0))</f>
      </c>
      <c r="C31" s="3322" t="e">
        <f t="array" ref="C31">IF(A31="","",G30)</f>
      </c>
      <c r="D31" s="4016" t="e">
        <f t="array" ref="D31">IF(A31="","",-PMT($C$6/12,$G$4*12,$C$5,0,0))</f>
      </c>
      <c r="E31" s="3322" t="e">
        <f t="array" ref="E31">IF(A31="","",IF(A31&lt;$G$6,0,-PPMT($C$6/12,$O31,$G$4*12,$C31,0,0)))</f>
      </c>
      <c r="F31" s="3322" t="e">
        <f t="array" ref="F31">IF(A31="","",-IPMT($C$6/12,$O31,$G$4*12,$C31,0,0))</f>
      </c>
      <c r="G31" s="3322" t="e">
        <f t="array" ref="G31">IF(A31="","",C31-E31)</f>
      </c>
      <c r="H31" s="26" t="n"/>
      <c r="I31" s="26" t="n"/>
      <c r="J31" s="2100" t="n"/>
      <c r="K31" s="211" t="e">
        <f t="array" ref="K31">IF(A31="","",YEAR(B31))</f>
      </c>
      <c r="L31" s="26" t="n"/>
      <c r="M31" s="26" t="n"/>
      <c r="N31" s="26" t="n"/>
      <c r="O31" s="26" t="n">
        <v>21</v>
      </c>
      <c r="P31" s="26" t="n"/>
      <c r="Q31" s="26" t="n"/>
      <c r="R31" s="26" t="n"/>
      <c r="S31" s="26" t="n"/>
      <c r="T31" s="26" t="n"/>
      <c r="U31" s="27" t="n"/>
    </row>
    <row r="32" s="3154" customFormat="1" ht="13.5" customHeight="1">
      <c r="A32" s="1101" t="e">
        <f t="array" ref="A32">IF(A31="","",IF(A31+1&gt;'Assumptions'!$D$133,"",A31+1))</f>
      </c>
      <c r="B32" s="4015" t="e">
        <f t="array" ref="B32">IF(A32="","",VLOOKUP(A32,'S&amp;U-Timeline'!$P$9:$R$147,3,0))</f>
      </c>
      <c r="C32" s="3322" t="e">
        <f t="array" ref="C32">IF(A32="","",G31)</f>
      </c>
      <c r="D32" s="4016" t="e">
        <f t="array" ref="D32">IF(A32="","",-PMT($C$6/12,$G$4*12,$C$5,0,0))</f>
      </c>
      <c r="E32" s="3322" t="e">
        <f t="array" ref="E32">IF(A32="","",IF(A32&lt;$G$6,0,-PPMT($C$6/12,$O32,$G$4*12,$C32,0,0)))</f>
      </c>
      <c r="F32" s="3322" t="e">
        <f t="array" ref="F32">IF(A32="","",-IPMT($C$6/12,$O32,$G$4*12,$C32,0,0))</f>
      </c>
      <c r="G32" s="3322" t="e">
        <f t="array" ref="G32">IF(A32="","",C32-E32)</f>
      </c>
      <c r="H32" s="26" t="n"/>
      <c r="I32" s="26" t="n"/>
      <c r="J32" s="2100" t="n"/>
      <c r="K32" s="211" t="e">
        <f t="array" ref="K32">IF(A32="","",YEAR(B32))</f>
      </c>
      <c r="L32" s="26" t="n"/>
      <c r="M32" s="26" t="n"/>
      <c r="N32" s="26" t="n"/>
      <c r="O32" s="26" t="n">
        <v>22</v>
      </c>
      <c r="P32" s="26" t="n"/>
      <c r="Q32" s="26" t="n"/>
      <c r="R32" s="26" t="n"/>
      <c r="S32" s="26" t="n"/>
      <c r="T32" s="26" t="n"/>
      <c r="U32" s="27" t="n"/>
    </row>
    <row r="33" s="3154" customFormat="1" ht="13.5" customHeight="1">
      <c r="A33" s="1101" t="e">
        <f t="array" ref="A33">IF(A32="","",IF(A32+1&gt;'Assumptions'!$D$133,"",A32+1))</f>
      </c>
      <c r="B33" s="4015" t="e">
        <f t="array" ref="B33">IF(A33="","",VLOOKUP(A33,'S&amp;U-Timeline'!$P$9:$R$147,3,0))</f>
      </c>
      <c r="C33" s="3322" t="e">
        <f t="array" ref="C33">IF(A33="","",G32)</f>
      </c>
      <c r="D33" s="4016" t="e">
        <f t="array" ref="D33">IF(A33="","",-PMT($C$6/12,$G$4*12,$C$5,0,0))</f>
      </c>
      <c r="E33" s="3322" t="e">
        <f t="array" ref="E33">IF(A33="","",IF(A33&lt;$G$6,0,-PPMT($C$6/12,$O33,$G$4*12,$C33,0,0)))</f>
      </c>
      <c r="F33" s="3322" t="e">
        <f t="array" ref="F33">IF(A33="","",-IPMT($C$6/12,$O33,$G$4*12,$C33,0,0))</f>
      </c>
      <c r="G33" s="3322" t="e">
        <f t="array" ref="G33">IF(A33="","",C33-E33)</f>
      </c>
      <c r="H33" s="26" t="n"/>
      <c r="I33" s="26" t="n"/>
      <c r="J33" s="2100" t="n"/>
      <c r="K33" s="211" t="e">
        <f t="array" ref="K33">IF(A33="","",YEAR(B33))</f>
      </c>
      <c r="L33" s="26" t="n"/>
      <c r="M33" s="26" t="n"/>
      <c r="N33" s="26" t="n"/>
      <c r="O33" s="26" t="n">
        <v>23</v>
      </c>
      <c r="P33" s="26" t="n"/>
      <c r="Q33" s="26" t="n"/>
      <c r="R33" s="26" t="n"/>
      <c r="S33" s="26" t="n"/>
      <c r="T33" s="26" t="n"/>
      <c r="U33" s="27" t="n"/>
    </row>
    <row r="34" s="3154" customFormat="1" ht="13.5" customHeight="1">
      <c r="A34" s="1101" t="e">
        <f t="array" ref="A34">IF(A33="","",IF(A33+1&gt;'Assumptions'!$D$133,"",A33+1))</f>
      </c>
      <c r="B34" s="4015" t="e">
        <f t="array" ref="B34">IF(A34="","",VLOOKUP(A34,'S&amp;U-Timeline'!$P$9:$R$147,3,0))</f>
      </c>
      <c r="C34" s="3322" t="e">
        <f t="array" ref="C34">IF(A34="","",G33)</f>
      </c>
      <c r="D34" s="4016" t="e">
        <f t="array" ref="D34">IF(A34="","",-PMT($C$6/12,$G$4*12,$C$5,0,0))</f>
      </c>
      <c r="E34" s="3322" t="e">
        <f t="array" ref="E34">IF(A34="","",IF(A34&lt;$G$6,0,-PPMT($C$6/12,$O34,$G$4*12,$C34,0,0)))</f>
      </c>
      <c r="F34" s="3322" t="e">
        <f t="array" ref="F34">IF(A34="","",-IPMT($C$6/12,$O34,$G$4*12,$C34,0,0))</f>
      </c>
      <c r="G34" s="3322" t="e">
        <f t="array" ref="G34">IF(A34="","",C34-E34)</f>
      </c>
      <c r="H34" s="26" t="n"/>
      <c r="I34" s="26" t="n"/>
      <c r="J34" s="2100" t="n"/>
      <c r="K34" s="211" t="e">
        <f t="array" ref="K34">IF(A34="","",YEAR(B34))</f>
      </c>
      <c r="L34" s="26" t="n"/>
      <c r="M34" s="26" t="n"/>
      <c r="N34" s="26" t="n"/>
      <c r="O34" s="26" t="n">
        <v>24</v>
      </c>
      <c r="P34" s="26" t="n"/>
      <c r="Q34" s="26" t="n"/>
      <c r="R34" s="26" t="n"/>
      <c r="S34" s="26" t="n"/>
      <c r="T34" s="26" t="n"/>
      <c r="U34" s="27" t="n"/>
    </row>
    <row r="35" s="3154" customFormat="1" ht="13.5" customHeight="1">
      <c r="A35" s="1101" t="e">
        <f t="array" ref="A35">IF(A34="","",IF(A34+1&gt;'Assumptions'!$D$133,"",A34+1))</f>
      </c>
      <c r="B35" s="4015" t="e">
        <f t="array" ref="B35">IF(A35="","",VLOOKUP(A35,'S&amp;U-Timeline'!$P$9:$R$147,3,0))</f>
      </c>
      <c r="C35" s="3322" t="e">
        <f t="array" ref="C35">IF(A35="","",G34)</f>
      </c>
      <c r="D35" s="4016" t="e">
        <f t="array" ref="D35">IF(A35="","",-PMT($C$6/12,$G$4*12,$C$5,0,0))</f>
      </c>
      <c r="E35" s="3322" t="e">
        <f t="array" ref="E35">IF(A35="","",IF(A35&lt;$G$6,0,-PPMT($C$6/12,$O35,$G$4*12,$C35,0,0)))</f>
      </c>
      <c r="F35" s="3322" t="e">
        <f t="array" ref="F35">IF(A35="","",-IPMT($C$6/12,$O35,$G$4*12,$C35,0,0))</f>
      </c>
      <c r="G35" s="3322" t="e">
        <f t="array" ref="G35">IF(A35="","",C35-E35)</f>
      </c>
      <c r="H35" s="26" t="n"/>
      <c r="I35" s="26" t="n"/>
      <c r="J35" s="2100" t="n"/>
      <c r="K35" s="211" t="e">
        <f t="array" ref="K35">IF(A35="","",YEAR(B35))</f>
      </c>
      <c r="L35" s="26" t="n"/>
      <c r="M35" s="26" t="n"/>
      <c r="N35" s="26" t="n"/>
      <c r="O35" s="26" t="n">
        <v>25</v>
      </c>
      <c r="P35" s="26" t="n"/>
      <c r="Q35" s="26" t="n"/>
      <c r="R35" s="26" t="n"/>
      <c r="S35" s="26" t="n"/>
      <c r="T35" s="26" t="n"/>
      <c r="U35" s="27" t="n"/>
    </row>
    <row r="36" s="3154" customFormat="1" ht="13.5" customHeight="1">
      <c r="A36" s="1101" t="e">
        <f t="array" ref="A36">IF(A35="","",IF(A35+1&gt;'Assumptions'!$D$133,"",A35+1))</f>
      </c>
      <c r="B36" s="4015" t="e">
        <f t="array" ref="B36">IF(A36="","",VLOOKUP(A36,'S&amp;U-Timeline'!$P$9:$R$147,3,0))</f>
      </c>
      <c r="C36" s="3322" t="e">
        <f t="array" ref="C36">IF(A36="","",G35)</f>
      </c>
      <c r="D36" s="4016" t="e">
        <f t="array" ref="D36">IF(A36="","",-PMT($C$6/12,$G$4*12,$C$5,0,0))</f>
      </c>
      <c r="E36" s="3322" t="e">
        <f t="array" ref="E36">IF(A36="","",IF(A36&lt;$G$6,0,-PPMT($C$6/12,$O36,$G$4*12,$C36,0,0)))</f>
      </c>
      <c r="F36" s="3322" t="e">
        <f t="array" ref="F36">IF(A36="","",-IPMT($C$6/12,$O36,$G$4*12,$C36,0,0))</f>
      </c>
      <c r="G36" s="3322" t="e">
        <f t="array" ref="G36">IF(A36="","",C36-E36)</f>
      </c>
      <c r="H36" s="26" t="n"/>
      <c r="I36" s="26" t="n"/>
      <c r="J36" s="2100" t="n"/>
      <c r="K36" s="211" t="e">
        <f t="array" ref="K36">IF(A36="","",YEAR(B36))</f>
      </c>
      <c r="L36" s="26" t="n"/>
      <c r="M36" s="26" t="n"/>
      <c r="N36" s="26" t="n"/>
      <c r="O36" s="26" t="n">
        <v>26</v>
      </c>
      <c r="P36" s="26" t="n"/>
      <c r="Q36" s="26" t="n"/>
      <c r="R36" s="26" t="n"/>
      <c r="S36" s="26" t="n"/>
      <c r="T36" s="26" t="n"/>
      <c r="U36" s="27" t="n"/>
    </row>
    <row r="37" s="3154" customFormat="1" ht="13.5" customHeight="1">
      <c r="A37" s="1101" t="e">
        <f t="array" ref="A37">IF(A36="","",IF(A36+1&gt;'Assumptions'!$D$133,"",A36+1))</f>
      </c>
      <c r="B37" s="4015" t="e">
        <f t="array" ref="B37">IF(A37="","",VLOOKUP(A37,'S&amp;U-Timeline'!$P$9:$R$147,3,0))</f>
      </c>
      <c r="C37" s="3322" t="e">
        <f t="array" ref="C37">IF(A37="","",G36)</f>
      </c>
      <c r="D37" s="4016" t="e">
        <f t="array" ref="D37">IF(A37="","",-PMT($C$6/12,$G$4*12,$C$5,0,0))</f>
      </c>
      <c r="E37" s="3322" t="e">
        <f t="array" ref="E37">IF(A37="","",IF(A37&lt;$G$6,0,-PPMT($C$6/12,$O37,$G$4*12,$C37,0,0)))</f>
      </c>
      <c r="F37" s="3322" t="e">
        <f t="array" ref="F37">IF(A37="","",-IPMT($C$6/12,$O37,$G$4*12,$C37,0,0))</f>
      </c>
      <c r="G37" s="3322" t="e">
        <f t="array" ref="G37">IF(A37="","",C37-E37)</f>
      </c>
      <c r="H37" s="26" t="n"/>
      <c r="I37" s="26" t="n"/>
      <c r="J37" s="2100" t="n"/>
      <c r="K37" s="211" t="e">
        <f t="array" ref="K37">IF(A37="","",YEAR(B37))</f>
      </c>
      <c r="L37" s="26" t="n"/>
      <c r="M37" s="26" t="n"/>
      <c r="N37" s="26" t="n"/>
      <c r="O37" s="26" t="n">
        <v>27</v>
      </c>
      <c r="P37" s="26" t="n"/>
      <c r="Q37" s="26" t="n"/>
      <c r="R37" s="26" t="n"/>
      <c r="S37" s="26" t="n"/>
      <c r="T37" s="26" t="n"/>
      <c r="U37" s="27" t="n"/>
    </row>
    <row r="38" s="3154" customFormat="1" ht="13.5" customHeight="1">
      <c r="A38" s="1101" t="e">
        <f t="array" ref="A38">IF(A37="","",IF(A37+1&gt;'Assumptions'!$D$133,"",A37+1))</f>
      </c>
      <c r="B38" s="4015" t="e">
        <f t="array" ref="B38">IF(A38="","",VLOOKUP(A38,'S&amp;U-Timeline'!$P$9:$R$147,3,0))</f>
      </c>
      <c r="C38" s="3322" t="e">
        <f t="array" ref="C38">IF(A38="","",G37)</f>
      </c>
      <c r="D38" s="4016" t="e">
        <f t="array" ref="D38">IF(A38="","",-PMT($C$6/12,$G$4*12,$C$5,0,0))</f>
      </c>
      <c r="E38" s="3322" t="e">
        <f t="array" ref="E38">IF(A38="","",IF(A38&lt;$G$6,0,-PPMT($C$6/12,$O38,$G$4*12,$C38,0,0)))</f>
      </c>
      <c r="F38" s="3322" t="e">
        <f t="array" ref="F38">IF(A38="","",-IPMT($C$6/12,$O38,$G$4*12,$C38,0,0))</f>
      </c>
      <c r="G38" s="3322" t="e">
        <f t="array" ref="G38">IF(A38="","",C38-E38)</f>
      </c>
      <c r="H38" s="26" t="n"/>
      <c r="I38" s="26" t="n"/>
      <c r="J38" s="2100" t="n"/>
      <c r="K38" s="211" t="e">
        <f t="array" ref="K38">IF(A38="","",YEAR(B38))</f>
      </c>
      <c r="L38" s="26" t="n"/>
      <c r="M38" s="26" t="n"/>
      <c r="N38" s="26" t="n"/>
      <c r="O38" s="26" t="n">
        <v>28</v>
      </c>
      <c r="P38" s="26" t="n"/>
      <c r="Q38" s="26" t="n"/>
      <c r="R38" s="26" t="n"/>
      <c r="S38" s="26" t="n"/>
      <c r="T38" s="26" t="n"/>
      <c r="U38" s="27" t="n"/>
    </row>
    <row r="39" s="3154" customFormat="1" ht="13.5" customHeight="1">
      <c r="A39" s="1101" t="e">
        <f t="array" ref="A39">IF(A38="","",IF(A38+1&gt;'Assumptions'!$D$133,"",A38+1))</f>
      </c>
      <c r="B39" s="4015" t="e">
        <f t="array" ref="B39">IF(A39="","",VLOOKUP(A39,'S&amp;U-Timeline'!$P$9:$R$147,3,0))</f>
      </c>
      <c r="C39" s="3322" t="e">
        <f t="array" ref="C39">IF(A39="","",G38)</f>
      </c>
      <c r="D39" s="4016" t="e">
        <f t="array" ref="D39">IF(A39="","",-PMT($C$6/12,$G$4*12,$C$5,0,0))</f>
      </c>
      <c r="E39" s="3322" t="e">
        <f t="array" ref="E39">IF(A39="","",IF(A39&lt;$G$6,0,-PPMT($C$6/12,$O39,$G$4*12,$C39,0,0)))</f>
      </c>
      <c r="F39" s="3322" t="e">
        <f t="array" ref="F39">IF(A39="","",-IPMT($C$6/12,$O39,$G$4*12,$C39,0,0))</f>
      </c>
      <c r="G39" s="3322" t="e">
        <f t="array" ref="G39">IF(A39="","",C39-E39)</f>
      </c>
      <c r="H39" s="26" t="n"/>
      <c r="I39" s="26" t="n"/>
      <c r="J39" s="2100" t="n"/>
      <c r="K39" s="211" t="e">
        <f t="array" ref="K39">IF(A39="","",YEAR(B39))</f>
      </c>
      <c r="L39" s="26" t="n"/>
      <c r="M39" s="26" t="n"/>
      <c r="N39" s="26" t="n"/>
      <c r="O39" s="26" t="n">
        <v>29</v>
      </c>
      <c r="P39" s="26" t="n"/>
      <c r="Q39" s="26" t="n"/>
      <c r="R39" s="26" t="n"/>
      <c r="S39" s="26" t="n"/>
      <c r="T39" s="26" t="n"/>
      <c r="U39" s="27" t="n"/>
    </row>
    <row r="40" s="3154" customFormat="1" ht="13.5" customHeight="1">
      <c r="A40" s="1101" t="e">
        <f t="array" ref="A40">IF(A39="","",IF(A39+1&gt;'Assumptions'!$D$133,"",A39+1))</f>
      </c>
      <c r="B40" s="4015" t="e">
        <f t="array" ref="B40">IF(A40="","",VLOOKUP(A40,'S&amp;U-Timeline'!$P$9:$R$147,3,0))</f>
      </c>
      <c r="C40" s="3322" t="e">
        <f t="array" ref="C40">IF(A40="","",G39)</f>
      </c>
      <c r="D40" s="4016" t="e">
        <f t="array" ref="D40">IF(A40="","",-PMT($C$6/12,$G$4*12,$C$5,0,0))</f>
      </c>
      <c r="E40" s="3322" t="e">
        <f t="array" ref="E40">IF(A40="","",IF(A40&lt;$G$6,0,-PPMT($C$6/12,$O40,$G$4*12,$C40,0,0)))</f>
      </c>
      <c r="F40" s="3322" t="e">
        <f t="array" ref="F40">IF(A40="","",-IPMT($C$6/12,$O40,$G$4*12,$C40,0,0))</f>
      </c>
      <c r="G40" s="3322" t="e">
        <f t="array" ref="G40">IF(A40="","",C40-E40)</f>
      </c>
      <c r="H40" s="26" t="n"/>
      <c r="I40" s="26" t="n"/>
      <c r="J40" s="2100" t="n"/>
      <c r="K40" s="211" t="e">
        <f t="array" ref="K40">IF(A40="","",YEAR(B40))</f>
      </c>
      <c r="L40" s="26" t="n"/>
      <c r="M40" s="26" t="n"/>
      <c r="N40" s="26" t="n"/>
      <c r="O40" s="26" t="n">
        <v>30</v>
      </c>
      <c r="P40" s="26" t="n"/>
      <c r="Q40" s="26" t="n"/>
      <c r="R40" s="26" t="n"/>
      <c r="S40" s="26" t="n"/>
      <c r="T40" s="26" t="n"/>
      <c r="U40" s="27" t="n"/>
    </row>
    <row r="41" s="3154" customFormat="1" ht="13.5" customHeight="1">
      <c r="A41" s="1101" t="e">
        <f t="array" ref="A41">IF(A40="","",IF(A40+1&gt;'Assumptions'!$D$133,"",A40+1))</f>
      </c>
      <c r="B41" s="4015" t="e">
        <f t="array" ref="B41">IF(A41="","",VLOOKUP(A41,'S&amp;U-Timeline'!$P$9:$R$147,3,0))</f>
      </c>
      <c r="C41" s="3322" t="e">
        <f t="array" ref="C41">IF(A41="","",G40)</f>
      </c>
      <c r="D41" s="4016" t="e">
        <f t="array" ref="D41">IF(A41="","",-PMT($C$6/12,$G$4*12,$C$5,0,0))</f>
      </c>
      <c r="E41" s="3322" t="e">
        <f t="array" ref="E41">IF(A41="","",IF(A41&lt;$G$6,0,-PPMT($C$6/12,$O41,$G$4*12,$C41,0,0)))</f>
      </c>
      <c r="F41" s="3322" t="e">
        <f t="array" ref="F41">IF(A41="","",-IPMT($C$6/12,$O41,$G$4*12,$C41,0,0))</f>
      </c>
      <c r="G41" s="3322" t="e">
        <f t="array" ref="G41">IF(A41="","",C41-E41)</f>
      </c>
      <c r="H41" s="26" t="n"/>
      <c r="I41" s="26" t="n"/>
      <c r="J41" s="2100" t="n"/>
      <c r="K41" s="211" t="e">
        <f t="array" ref="K41">IF(A41="","",YEAR(B41))</f>
      </c>
      <c r="L41" s="26" t="n"/>
      <c r="M41" s="26" t="n"/>
      <c r="N41" s="26" t="n"/>
      <c r="O41" s="26" t="n">
        <v>31</v>
      </c>
      <c r="P41" s="26" t="n"/>
      <c r="Q41" s="26" t="n"/>
      <c r="R41" s="26" t="n"/>
      <c r="S41" s="26" t="n"/>
      <c r="T41" s="26" t="n"/>
      <c r="U41" s="27" t="n"/>
    </row>
    <row r="42" s="3154" customFormat="1" ht="13.5" customHeight="1">
      <c r="A42" s="1101" t="e">
        <f t="array" ref="A42">IF(A41="","",IF(A41+1&gt;'Assumptions'!$D$133,"",A41+1))</f>
      </c>
      <c r="B42" s="4015" t="e">
        <f t="array" ref="B42">IF(A42="","",VLOOKUP(A42,'S&amp;U-Timeline'!$P$9:$R$147,3,0))</f>
      </c>
      <c r="C42" s="3322" t="e">
        <f t="array" ref="C42">IF(A42="","",G41)</f>
      </c>
      <c r="D42" s="4016" t="e">
        <f t="array" ref="D42">IF(A42="","",-PMT($C$6/12,$G$4*12,$C$5,0,0))</f>
      </c>
      <c r="E42" s="3322" t="e">
        <f t="array" ref="E42">IF(A42="","",IF(A42&lt;$G$6,0,-PPMT($C$6/12,$O42,$G$4*12,$C42,0,0)))</f>
      </c>
      <c r="F42" s="3322" t="e">
        <f t="array" ref="F42">IF(A42="","",-IPMT($C$6/12,$O42,$G$4*12,$C42,0,0))</f>
      </c>
      <c r="G42" s="3322" t="e">
        <f t="array" ref="G42">IF(A42="","",C42-E42)</f>
      </c>
      <c r="H42" s="26" t="n"/>
      <c r="I42" s="26" t="n"/>
      <c r="J42" s="2100" t="n"/>
      <c r="K42" s="211" t="e">
        <f t="array" ref="K42">IF(A42="","",YEAR(B42))</f>
      </c>
      <c r="L42" s="26" t="n"/>
      <c r="M42" s="26" t="n"/>
      <c r="N42" s="26" t="n"/>
      <c r="O42" s="26" t="n">
        <v>32</v>
      </c>
      <c r="P42" s="26" t="n"/>
      <c r="Q42" s="26" t="n"/>
      <c r="R42" s="26" t="n"/>
      <c r="S42" s="26" t="n"/>
      <c r="T42" s="26" t="n"/>
      <c r="U42" s="27" t="n"/>
    </row>
    <row r="43" s="3154" customFormat="1" ht="13.5" customHeight="1">
      <c r="A43" s="1101" t="e">
        <f t="array" ref="A43">IF(A42="","",IF(A42+1&gt;'Assumptions'!$D$133,"",A42+1))</f>
      </c>
      <c r="B43" s="4015" t="e">
        <f t="array" ref="B43">IF(A43="","",VLOOKUP(A43,'S&amp;U-Timeline'!$P$9:$R$147,3,0))</f>
      </c>
      <c r="C43" s="3322" t="e">
        <f t="array" ref="C43">IF(A43="","",G42)</f>
      </c>
      <c r="D43" s="4016" t="e">
        <f t="array" ref="D43">IF(A43="","",-PMT($C$6/12,$G$4*12,$C$5,0,0))</f>
      </c>
      <c r="E43" s="3322" t="e">
        <f t="array" ref="E43">IF(A43="","",IF(A43&lt;$G$6,0,-PPMT($C$6/12,$O43,$G$4*12,$C43,0,0)))</f>
      </c>
      <c r="F43" s="3322" t="e">
        <f t="array" ref="F43">IF(A43="","",-IPMT($C$6/12,$O43,$G$4*12,$C43,0,0))</f>
      </c>
      <c r="G43" s="3322" t="e">
        <f t="array" ref="G43">IF(A43="","",C43-E43)</f>
      </c>
      <c r="H43" s="26" t="n"/>
      <c r="I43" s="26" t="n"/>
      <c r="J43" s="2100" t="n"/>
      <c r="K43" s="211" t="e">
        <f t="array" ref="K43">IF(A43="","",YEAR(B43))</f>
      </c>
      <c r="L43" s="26" t="n"/>
      <c r="M43" s="26" t="n"/>
      <c r="N43" s="26" t="n"/>
      <c r="O43" s="26" t="n">
        <v>33</v>
      </c>
      <c r="P43" s="26" t="n"/>
      <c r="Q43" s="26" t="n"/>
      <c r="R43" s="26" t="n"/>
      <c r="S43" s="26" t="n"/>
      <c r="T43" s="26" t="n"/>
      <c r="U43" s="27" t="n"/>
    </row>
    <row r="44" s="3154" customFormat="1" ht="13.5" customHeight="1">
      <c r="A44" s="1101" t="e">
        <f t="array" ref="A44">IF(A43="","",IF(A43+1&gt;'Assumptions'!$D$133,"",A43+1))</f>
      </c>
      <c r="B44" s="4015" t="e">
        <f t="array" ref="B44">IF(A44="","",VLOOKUP(A44,'S&amp;U-Timeline'!$P$9:$R$147,3,0))</f>
      </c>
      <c r="C44" s="3322" t="e">
        <f t="array" ref="C44">IF(A44="","",G43)</f>
      </c>
      <c r="D44" s="4016" t="e">
        <f t="array" ref="D44">IF(A44="","",-PMT($C$6/12,$G$4*12,$C$5,0,0))</f>
      </c>
      <c r="E44" s="3322" t="e">
        <f t="array" ref="E44">IF(A44="","",IF(A44&lt;$G$6,0,-PPMT($C$6/12,$O44,$G$4*12,$C44,0,0)))</f>
      </c>
      <c r="F44" s="3322" t="e">
        <f t="array" ref="F44">IF(A44="","",-IPMT($C$6/12,$O44,$G$4*12,$C44,0,0))</f>
      </c>
      <c r="G44" s="3322" t="e">
        <f t="array" ref="G44">IF(A44="","",C44-E44)</f>
      </c>
      <c r="H44" s="26" t="n"/>
      <c r="I44" s="26" t="n"/>
      <c r="J44" s="2100" t="n"/>
      <c r="K44" s="211" t="e">
        <f t="array" ref="K44">IF(A44="","",YEAR(B44))</f>
      </c>
      <c r="L44" s="26" t="n"/>
      <c r="M44" s="26" t="n"/>
      <c r="N44" s="26" t="n"/>
      <c r="O44" s="26" t="n">
        <v>34</v>
      </c>
      <c r="P44" s="26" t="n"/>
      <c r="Q44" s="26" t="n"/>
      <c r="R44" s="26" t="n"/>
      <c r="S44" s="26" t="n"/>
      <c r="T44" s="26" t="n"/>
      <c r="U44" s="27" t="n"/>
    </row>
    <row r="45" s="3154" customFormat="1" ht="13.5" customHeight="1">
      <c r="A45" s="1101" t="e">
        <f t="array" ref="A45">IF(A44="","",IF(A44+1&gt;'Assumptions'!$D$133,"",A44+1))</f>
      </c>
      <c r="B45" s="4015" t="e">
        <f t="array" ref="B45">IF(A45="","",VLOOKUP(A45,'S&amp;U-Timeline'!$P$9:$R$147,3,0))</f>
      </c>
      <c r="C45" s="3322" t="e">
        <f t="array" ref="C45">IF(A45="","",G44)</f>
      </c>
      <c r="D45" s="4016" t="e">
        <f t="array" ref="D45">IF(A45="","",-PMT($C$6/12,$G$4*12,$C$5,0,0))</f>
      </c>
      <c r="E45" s="3322" t="e">
        <f t="array" ref="E45">IF(A45="","",IF(A45&lt;$G$6,0,-PPMT($C$6/12,$O45,$G$4*12,$C45,0,0)))</f>
      </c>
      <c r="F45" s="3322" t="e">
        <f t="array" ref="F45">IF(A45="","",-IPMT($C$6/12,$O45,$G$4*12,$C45,0,0))</f>
      </c>
      <c r="G45" s="3322" t="e">
        <f t="array" ref="G45">IF(A45="","",C45-E45)</f>
      </c>
      <c r="H45" s="26" t="n"/>
      <c r="I45" s="26" t="n"/>
      <c r="J45" s="2100" t="n"/>
      <c r="K45" s="211" t="e">
        <f t="array" ref="K45">IF(A45="","",YEAR(B45))</f>
      </c>
      <c r="L45" s="26" t="n"/>
      <c r="M45" s="26" t="n"/>
      <c r="N45" s="26" t="n"/>
      <c r="O45" s="26" t="n">
        <v>35</v>
      </c>
      <c r="P45" s="26" t="n"/>
      <c r="Q45" s="26" t="n"/>
      <c r="R45" s="26" t="n"/>
      <c r="S45" s="26" t="n"/>
      <c r="T45" s="26" t="n"/>
      <c r="U45" s="27" t="n"/>
    </row>
    <row r="46" s="3154" customFormat="1" ht="13.5" customHeight="1">
      <c r="A46" s="1101" t="e">
        <f t="array" ref="A46">IF(A45="","",IF(A45+1&gt;'Assumptions'!$D$133,"",A45+1))</f>
      </c>
      <c r="B46" s="4015" t="e">
        <f t="array" ref="B46">IF(A46="","",VLOOKUP(A46,'S&amp;U-Timeline'!$P$9:$R$147,3,0))</f>
      </c>
      <c r="C46" s="3322" t="e">
        <f t="array" ref="C46">IF(A46="","",G45)</f>
      </c>
      <c r="D46" s="4016" t="e">
        <f t="array" ref="D46">IF(A46="","",-PMT($C$6/12,$G$4*12,$C$5,0,0))</f>
      </c>
      <c r="E46" s="3322" t="e">
        <f t="array" ref="E46">IF(A46="","",IF(A46&lt;$G$6,0,-PPMT($C$6/12,$O46,$G$4*12,$C46,0,0)))</f>
      </c>
      <c r="F46" s="3322" t="e">
        <f t="array" ref="F46">IF(A46="","",-IPMT($C$6/12,$O46,$G$4*12,$C46,0,0))</f>
      </c>
      <c r="G46" s="3322" t="e">
        <f t="array" ref="G46">IF(A46="","",C46-E46)</f>
      </c>
      <c r="H46" s="26" t="n"/>
      <c r="I46" s="26" t="n"/>
      <c r="J46" s="2100" t="n"/>
      <c r="K46" s="211" t="e">
        <f t="array" ref="K46">IF(A46="","",YEAR(B46))</f>
      </c>
      <c r="L46" s="26" t="n"/>
      <c r="M46" s="26" t="n"/>
      <c r="N46" s="26" t="n"/>
      <c r="O46" s="26" t="n">
        <v>36</v>
      </c>
      <c r="P46" s="26" t="n"/>
      <c r="Q46" s="26" t="n"/>
      <c r="R46" s="26" t="n"/>
      <c r="S46" s="26" t="n"/>
      <c r="T46" s="26" t="n"/>
      <c r="U46" s="27" t="n"/>
    </row>
    <row r="47" s="3154" customFormat="1" ht="13.5" customHeight="1">
      <c r="A47" s="1101" t="e">
        <f t="array" ref="A47">IF(A46="","",IF(A46+1&gt;'Assumptions'!$D$133,"",A46+1))</f>
      </c>
      <c r="B47" s="4015" t="e">
        <f t="array" ref="B47">IF(A47="","",VLOOKUP(A47,'S&amp;U-Timeline'!$P$9:$R$147,3,0))</f>
      </c>
      <c r="C47" s="3322" t="e">
        <f t="array" ref="C47">IF(A47="","",G46)</f>
      </c>
      <c r="D47" s="4016" t="e">
        <f t="array" ref="D47">IF(A47="","",-PMT($C$6/12,$G$4*12,$C$5,0,0))</f>
      </c>
      <c r="E47" s="3322" t="e">
        <f t="array" ref="E47">IF(A47="","",IF(A47&lt;$G$6,0,-PPMT($C$6/12,$O47,$G$4*12,$C47,0,0)))</f>
      </c>
      <c r="F47" s="3322" t="e">
        <f t="array" ref="F47">IF(A47="","",-IPMT($C$6/12,$O47,$G$4*12,$C47,0,0))</f>
      </c>
      <c r="G47" s="3322" t="e">
        <f t="array" ref="G47">IF(A47="","",C47-E47)</f>
      </c>
      <c r="H47" s="26" t="n"/>
      <c r="I47" s="26" t="n"/>
      <c r="J47" s="2100" t="n"/>
      <c r="K47" s="211" t="e">
        <f t="array" ref="K47">IF(A47="","",YEAR(B47))</f>
      </c>
      <c r="L47" s="26" t="n"/>
      <c r="M47" s="26" t="n"/>
      <c r="N47" s="26" t="n"/>
      <c r="O47" s="26" t="n">
        <v>37</v>
      </c>
      <c r="P47" s="26" t="n"/>
      <c r="Q47" s="26" t="n"/>
      <c r="R47" s="26" t="n"/>
      <c r="S47" s="26" t="n"/>
      <c r="T47" s="26" t="n"/>
      <c r="U47" s="27" t="n"/>
    </row>
    <row r="48" s="3154" customFormat="1" ht="13.5" customHeight="1">
      <c r="A48" s="1101" t="e">
        <f t="array" ref="A48">IF(A47="","",IF(A47+1&gt;'Assumptions'!$D$133,"",A47+1))</f>
      </c>
      <c r="B48" s="4015" t="e">
        <f t="array" ref="B48">IF(A48="","",VLOOKUP(A48,'S&amp;U-Timeline'!$P$9:$R$147,3,0))</f>
      </c>
      <c r="C48" s="3322" t="e">
        <f t="array" ref="C48">IF(A48="","",G47)</f>
      </c>
      <c r="D48" s="4016" t="e">
        <f t="array" ref="D48">IF(A48="","",-PMT($C$6/12,$G$4*12,$C$5,0,0))</f>
      </c>
      <c r="E48" s="3322" t="e">
        <f t="array" ref="E48">IF(A48="","",IF(A48&lt;$G$6,0,-PPMT($C$6/12,$O48,$G$4*12,$C48,0,0)))</f>
      </c>
      <c r="F48" s="3322" t="e">
        <f t="array" ref="F48">IF(A48="","",-IPMT($C$6/12,$O48,$G$4*12,$C48,0,0))</f>
      </c>
      <c r="G48" s="3322" t="e">
        <f t="array" ref="G48">IF(A48="","",C48-E48)</f>
      </c>
      <c r="H48" s="26" t="n"/>
      <c r="I48" s="26" t="n"/>
      <c r="J48" s="2100" t="n"/>
      <c r="K48" s="211" t="e">
        <f t="array" ref="K48">IF(A48="","",YEAR(B48))</f>
      </c>
      <c r="L48" s="26" t="n"/>
      <c r="M48" s="26" t="n"/>
      <c r="N48" s="26" t="n"/>
      <c r="O48" s="26" t="n">
        <v>38</v>
      </c>
      <c r="P48" s="26" t="n"/>
      <c r="Q48" s="26" t="n"/>
      <c r="R48" s="26" t="n"/>
      <c r="S48" s="26" t="n"/>
      <c r="T48" s="26" t="n"/>
      <c r="U48" s="27" t="n"/>
    </row>
    <row r="49" s="3154" customFormat="1" ht="13.5" customHeight="1">
      <c r="A49" s="1101" t="e">
        <f t="array" ref="A49">IF(A48="","",IF(A48+1&gt;'Assumptions'!$D$133,"",A48+1))</f>
      </c>
      <c r="B49" s="4015" t="e">
        <f t="array" ref="B49">IF(A49="","",VLOOKUP(A49,'S&amp;U-Timeline'!$P$9:$R$147,3,0))</f>
      </c>
      <c r="C49" s="3322" t="e">
        <f t="array" ref="C49">IF(A49="","",G48)</f>
      </c>
      <c r="D49" s="4016" t="e">
        <f t="array" ref="D49">IF(A49="","",-PMT($C$6/12,$G$4*12,$C$5,0,0))</f>
      </c>
      <c r="E49" s="3322" t="e">
        <f t="array" ref="E49">IF(A49="","",IF(A49&lt;$G$6,0,-PPMT($C$6/12,$O49,$G$4*12,$C49,0,0)))</f>
      </c>
      <c r="F49" s="3322" t="e">
        <f t="array" ref="F49">IF(A49="","",-IPMT($C$6/12,$O49,$G$4*12,$C49,0,0))</f>
      </c>
      <c r="G49" s="3322" t="e">
        <f t="array" ref="G49">IF(A49="","",C49-E49)</f>
      </c>
      <c r="H49" s="26" t="n"/>
      <c r="I49" s="26" t="n"/>
      <c r="J49" s="2100" t="n"/>
      <c r="K49" s="211" t="e">
        <f t="array" ref="K49">IF(A49="","",YEAR(B49))</f>
      </c>
      <c r="L49" s="26" t="n"/>
      <c r="M49" s="26" t="n"/>
      <c r="N49" s="26" t="n"/>
      <c r="O49" s="26" t="n">
        <v>39</v>
      </c>
      <c r="P49" s="26" t="n"/>
      <c r="Q49" s="26" t="n"/>
      <c r="R49" s="26" t="n"/>
      <c r="S49" s="26" t="n"/>
      <c r="T49" s="26" t="n"/>
      <c r="U49" s="27" t="n"/>
    </row>
    <row r="50" s="3154" customFormat="1" ht="13.5" customHeight="1">
      <c r="A50" s="1101" t="e">
        <f t="array" ref="A50">IF(A49="","",IF(A49+1&gt;'Assumptions'!$D$133,"",A49+1))</f>
      </c>
      <c r="B50" s="4015" t="e">
        <f t="array" ref="B50">IF(A50="","",VLOOKUP(A50,'S&amp;U-Timeline'!$P$9:$R$147,3,0))</f>
      </c>
      <c r="C50" s="3322" t="e">
        <f t="array" ref="C50">IF(A50="","",G49)</f>
      </c>
      <c r="D50" s="4016" t="e">
        <f t="array" ref="D50">IF(A50="","",-PMT($C$6/12,$G$4*12,$C$5,0,0))</f>
      </c>
      <c r="E50" s="3322" t="e">
        <f t="array" ref="E50">IF(A50="","",IF(A50&lt;$G$6,0,-PPMT($C$6/12,$O50,$G$4*12,$C50,0,0)))</f>
      </c>
      <c r="F50" s="3322" t="e">
        <f t="array" ref="F50">IF(A50="","",-IPMT($C$6/12,$O50,$G$4*12,$C50,0,0))</f>
      </c>
      <c r="G50" s="3322" t="e">
        <f t="array" ref="G50">IF(A50="","",C50-E50)</f>
      </c>
      <c r="H50" s="26" t="n"/>
      <c r="I50" s="26" t="n"/>
      <c r="J50" s="2100" t="n"/>
      <c r="K50" s="211" t="e">
        <f t="array" ref="K50">IF(A50="","",YEAR(B50))</f>
      </c>
      <c r="L50" s="26" t="n"/>
      <c r="M50" s="26" t="n"/>
      <c r="N50" s="26" t="n"/>
      <c r="O50" s="26" t="n">
        <v>40</v>
      </c>
      <c r="P50" s="26" t="n"/>
      <c r="Q50" s="26" t="n"/>
      <c r="R50" s="26" t="n"/>
      <c r="S50" s="26" t="n"/>
      <c r="T50" s="26" t="n"/>
      <c r="U50" s="27" t="n"/>
    </row>
    <row r="51" s="3154" customFormat="1" ht="13.5" customHeight="1">
      <c r="A51" s="1101" t="e">
        <f t="array" ref="A51">IF(A50="","",IF(A50+1&gt;'Assumptions'!$D$133,"",A50+1))</f>
      </c>
      <c r="B51" s="4015" t="e">
        <f t="array" ref="B51">IF(A51="","",VLOOKUP(A51,'S&amp;U-Timeline'!$P$9:$R$147,3,0))</f>
      </c>
      <c r="C51" s="3322" t="e">
        <f t="array" ref="C51">IF(A51="","",G50)</f>
      </c>
      <c r="D51" s="4016" t="e">
        <f t="array" ref="D51">IF(A51="","",-PMT($C$6/12,$G$4*12,$C$5,0,0))</f>
      </c>
      <c r="E51" s="3322" t="e">
        <f t="array" ref="E51">IF(A51="","",IF(A51&lt;$G$6,0,-PPMT($C$6/12,$O51,$G$4*12,$C51,0,0)))</f>
      </c>
      <c r="F51" s="3322" t="e">
        <f t="array" ref="F51">IF(A51="","",-IPMT($C$6/12,$O51,$G$4*12,$C51,0,0))</f>
      </c>
      <c r="G51" s="3322" t="e">
        <f t="array" ref="G51">IF(A51="","",C51-E51)</f>
      </c>
      <c r="H51" s="26" t="n"/>
      <c r="I51" s="26" t="n"/>
      <c r="J51" s="2100" t="n"/>
      <c r="K51" s="211" t="e">
        <f t="array" ref="K51">IF(A51="","",YEAR(B51))</f>
      </c>
      <c r="L51" s="26" t="n"/>
      <c r="M51" s="26" t="n"/>
      <c r="N51" s="26" t="n"/>
      <c r="O51" s="26" t="n">
        <v>41</v>
      </c>
      <c r="P51" s="26" t="n"/>
      <c r="Q51" s="26" t="n"/>
      <c r="R51" s="26" t="n"/>
      <c r="S51" s="26" t="n"/>
      <c r="T51" s="26" t="n"/>
      <c r="U51" s="27" t="n"/>
    </row>
    <row r="52" s="3154" customFormat="1" ht="13.5" customHeight="1">
      <c r="A52" s="1101" t="e">
        <f t="array" ref="A52">IF(A51="","",IF(A51+1&gt;'Assumptions'!$D$133,"",A51+1))</f>
      </c>
      <c r="B52" s="4015" t="e">
        <f t="array" ref="B52">IF(A52="","",VLOOKUP(A52,'S&amp;U-Timeline'!$P$9:$R$147,3,0))</f>
      </c>
      <c r="C52" s="3322" t="e">
        <f t="array" ref="C52">IF(A52="","",G51)</f>
      </c>
      <c r="D52" s="4016" t="e">
        <f t="array" ref="D52">IF(A52="","",-PMT($C$6/12,$G$4*12,$C$5,0,0))</f>
      </c>
      <c r="E52" s="3322" t="e">
        <f t="array" ref="E52">IF(A52="","",IF(A52&lt;$G$6,0,-PPMT($C$6/12,$O52,$G$4*12,$C52,0,0)))</f>
      </c>
      <c r="F52" s="3322" t="e">
        <f t="array" ref="F52">IF(A52="","",-IPMT($C$6/12,$O52,$G$4*12,$C52,0,0))</f>
      </c>
      <c r="G52" s="3322" t="e">
        <f t="array" ref="G52">IF(A52="","",C52-E52)</f>
      </c>
      <c r="H52" s="26" t="n"/>
      <c r="I52" s="26" t="n"/>
      <c r="J52" s="2100" t="n"/>
      <c r="K52" s="211" t="e">
        <f t="array" ref="K52">IF(A52="","",YEAR(B52))</f>
      </c>
      <c r="L52" s="26" t="n"/>
      <c r="M52" s="26" t="n"/>
      <c r="N52" s="26" t="n"/>
      <c r="O52" s="26" t="n">
        <v>42</v>
      </c>
      <c r="P52" s="26" t="n"/>
      <c r="Q52" s="26" t="n"/>
      <c r="R52" s="26" t="n"/>
      <c r="S52" s="26" t="n"/>
      <c r="T52" s="26" t="n"/>
      <c r="U52" s="27" t="n"/>
    </row>
    <row r="53" s="3154" customFormat="1" ht="13.5" customHeight="1">
      <c r="A53" s="1101" t="e">
        <f t="array" ref="A53">IF(A52="","",IF(A52+1&gt;'Assumptions'!$D$133,"",A52+1))</f>
      </c>
      <c r="B53" s="4015" t="e">
        <f t="array" ref="B53">IF(A53="","",VLOOKUP(A53,'S&amp;U-Timeline'!$P$9:$R$147,3,0))</f>
      </c>
      <c r="C53" s="3322" t="e">
        <f t="array" ref="C53">IF(A53="","",G52)</f>
      </c>
      <c r="D53" s="4016" t="e">
        <f t="array" ref="D53">IF(A53="","",-PMT($C$6/12,$G$4*12,$C$5,0,0))</f>
      </c>
      <c r="E53" s="3322" t="e">
        <f t="array" ref="E53">IF(A53="","",IF(A53&lt;$G$6,0,-PPMT($C$6/12,$O53,$G$4*12,$C53,0,0)))</f>
      </c>
      <c r="F53" s="3322" t="e">
        <f t="array" ref="F53">IF(A53="","",-IPMT($C$6/12,$O53,$G$4*12,$C53,0,0))</f>
      </c>
      <c r="G53" s="3322" t="e">
        <f t="array" ref="G53">IF(A53="","",C53-E53)</f>
      </c>
      <c r="H53" s="26" t="n"/>
      <c r="I53" s="26" t="n"/>
      <c r="J53" s="2100" t="n"/>
      <c r="K53" s="211" t="e">
        <f t="array" ref="K53">IF(A53="","",YEAR(B53))</f>
      </c>
      <c r="L53" s="26" t="n"/>
      <c r="M53" s="26" t="n"/>
      <c r="N53" s="26" t="n"/>
      <c r="O53" s="26" t="n">
        <v>43</v>
      </c>
      <c r="P53" s="26" t="n"/>
      <c r="Q53" s="26" t="n"/>
      <c r="R53" s="26" t="n"/>
      <c r="S53" s="26" t="n"/>
      <c r="T53" s="26" t="n"/>
      <c r="U53" s="27" t="n"/>
    </row>
    <row r="54" s="3154" customFormat="1" ht="13.5" customHeight="1">
      <c r="A54" s="1101" t="e">
        <f t="array" ref="A54">IF(A53="","",IF(A53+1&gt;'Assumptions'!$D$133,"",A53+1))</f>
      </c>
      <c r="B54" s="4015" t="e">
        <f t="array" ref="B54">IF(A54="","",VLOOKUP(A54,'S&amp;U-Timeline'!$P$9:$R$147,3,0))</f>
      </c>
      <c r="C54" s="3322" t="e">
        <f t="array" ref="C54">IF(A54="","",G53)</f>
      </c>
      <c r="D54" s="4016" t="e">
        <f t="array" ref="D54">IF(A54="","",-PMT($C$6/12,$G$4*12,$C$5,0,0))</f>
      </c>
      <c r="E54" s="3322" t="e">
        <f t="array" ref="E54">IF(A54="","",IF(A54&lt;$G$6,0,-PPMT($C$6/12,$O54,$G$4*12,$C54,0,0)))</f>
      </c>
      <c r="F54" s="3322" t="e">
        <f t="array" ref="F54">IF(A54="","",-IPMT($C$6/12,$O54,$G$4*12,$C54,0,0))</f>
      </c>
      <c r="G54" s="3322" t="e">
        <f t="array" ref="G54">IF(A54="","",C54-E54)</f>
      </c>
      <c r="H54" s="26" t="n"/>
      <c r="I54" s="26" t="n"/>
      <c r="J54" s="2100" t="n"/>
      <c r="K54" s="211" t="e">
        <f t="array" ref="K54">IF(A54="","",YEAR(B54))</f>
      </c>
      <c r="L54" s="26" t="n"/>
      <c r="M54" s="26" t="n"/>
      <c r="N54" s="26" t="n"/>
      <c r="O54" s="26" t="n">
        <v>44</v>
      </c>
      <c r="P54" s="26" t="n"/>
      <c r="Q54" s="26" t="n"/>
      <c r="R54" s="26" t="n"/>
      <c r="S54" s="26" t="n"/>
      <c r="T54" s="26" t="n"/>
      <c r="U54" s="27" t="n"/>
    </row>
    <row r="55" s="3154" customFormat="1" ht="13.5" customHeight="1">
      <c r="A55" s="1101" t="e">
        <f t="array" ref="A55">IF(A54="","",IF(A54+1&gt;'Assumptions'!$D$133,"",A54+1))</f>
      </c>
      <c r="B55" s="4015" t="e">
        <f t="array" ref="B55">IF(A55="","",VLOOKUP(A55,'S&amp;U-Timeline'!$P$9:$R$147,3,0))</f>
      </c>
      <c r="C55" s="3322" t="e">
        <f t="array" ref="C55">IF(A55="","",G54)</f>
      </c>
      <c r="D55" s="4016" t="e">
        <f t="array" ref="D55">IF(A55="","",-PMT($C$6/12,$G$4*12,$C$5,0,0))</f>
      </c>
      <c r="E55" s="3322" t="e">
        <f t="array" ref="E55">IF(A55="","",IF(A55&lt;$G$6,0,-PPMT($C$6/12,$O55,$G$4*12,$C55,0,0)))</f>
      </c>
      <c r="F55" s="3322" t="e">
        <f t="array" ref="F55">IF(A55="","",-IPMT($C$6/12,$O55,$G$4*12,$C55,0,0))</f>
      </c>
      <c r="G55" s="3322" t="e">
        <f t="array" ref="G55">IF(A55="","",C55-E55)</f>
      </c>
      <c r="H55" s="26" t="n"/>
      <c r="I55" s="26" t="n"/>
      <c r="J55" s="2100" t="n"/>
      <c r="K55" s="211" t="e">
        <f t="array" ref="K55">IF(A55="","",YEAR(B55))</f>
      </c>
      <c r="L55" s="26" t="n"/>
      <c r="M55" s="26" t="n"/>
      <c r="N55" s="26" t="n"/>
      <c r="O55" s="26" t="n">
        <v>45</v>
      </c>
      <c r="P55" s="26" t="n"/>
      <c r="Q55" s="26" t="n"/>
      <c r="R55" s="26" t="n"/>
      <c r="S55" s="26" t="n"/>
      <c r="T55" s="26" t="n"/>
      <c r="U55" s="27" t="n"/>
    </row>
    <row r="56" s="3154" customFormat="1" ht="13.5" customHeight="1">
      <c r="A56" s="1101" t="e">
        <f t="array" ref="A56">IF(A55="","",IF(A55+1&gt;'Assumptions'!$D$133,"",A55+1))</f>
      </c>
      <c r="B56" s="4015" t="e">
        <f t="array" ref="B56">IF(A56="","",VLOOKUP(A56,'S&amp;U-Timeline'!$P$9:$R$147,3,0))</f>
      </c>
      <c r="C56" s="3322" t="e">
        <f t="array" ref="C56">IF(A56="","",G55)</f>
      </c>
      <c r="D56" s="4016" t="e">
        <f t="array" ref="D56">IF(A56="","",-PMT($C$6/12,$G$4*12,$C$5,0,0))</f>
      </c>
      <c r="E56" s="3322" t="e">
        <f t="array" ref="E56">IF(A56="","",IF(A56&lt;$G$6,0,-PPMT($C$6/12,$O56,$G$4*12,$C56,0,0)))</f>
      </c>
      <c r="F56" s="3322" t="e">
        <f t="array" ref="F56">IF(A56="","",-IPMT($C$6/12,$O56,$G$4*12,$C56,0,0))</f>
      </c>
      <c r="G56" s="3322" t="e">
        <f t="array" ref="G56">IF(A56="","",C56-E56)</f>
      </c>
      <c r="H56" s="26" t="n"/>
      <c r="I56" s="26" t="n"/>
      <c r="J56" s="2100" t="n"/>
      <c r="K56" s="211" t="e">
        <f t="array" ref="K56">IF(A56="","",YEAR(B56))</f>
      </c>
      <c r="L56" s="26" t="n"/>
      <c r="M56" s="26" t="n"/>
      <c r="N56" s="26" t="n"/>
      <c r="O56" s="26" t="n">
        <v>46</v>
      </c>
      <c r="P56" s="26" t="n"/>
      <c r="Q56" s="26" t="n"/>
      <c r="R56" s="26" t="n"/>
      <c r="S56" s="26" t="n"/>
      <c r="T56" s="26" t="n"/>
      <c r="U56" s="27" t="n"/>
    </row>
    <row r="57" s="3154" customFormat="1" ht="13.5" customHeight="1">
      <c r="A57" s="1101" t="e">
        <f t="array" ref="A57">IF(A56="","",IF(A56+1&gt;'Assumptions'!$D$133,"",A56+1))</f>
      </c>
      <c r="B57" s="4015" t="e">
        <f t="array" ref="B57">IF(A57="","",VLOOKUP(A57,'S&amp;U-Timeline'!$P$9:$R$147,3,0))</f>
      </c>
      <c r="C57" s="3322" t="e">
        <f t="array" ref="C57">IF(A57="","",G56)</f>
      </c>
      <c r="D57" s="4016" t="e">
        <f t="array" ref="D57">IF(A57="","",-PMT($C$6/12,$G$4*12,$C$5,0,0))</f>
      </c>
      <c r="E57" s="3322" t="e">
        <f t="array" ref="E57">IF(A57="","",IF(A57&lt;$G$6,0,-PPMT($C$6/12,$O57,$G$4*12,$C57,0,0)))</f>
      </c>
      <c r="F57" s="3322" t="e">
        <f t="array" ref="F57">IF(A57="","",-IPMT($C$6/12,$O57,$G$4*12,$C57,0,0))</f>
      </c>
      <c r="G57" s="3322" t="e">
        <f t="array" ref="G57">IF(A57="","",C57-E57)</f>
      </c>
      <c r="H57" s="26" t="n"/>
      <c r="I57" s="26" t="n"/>
      <c r="J57" s="2100" t="n"/>
      <c r="K57" s="211" t="e">
        <f t="array" ref="K57">IF(A57="","",YEAR(B57))</f>
      </c>
      <c r="L57" s="26" t="n"/>
      <c r="M57" s="26" t="n"/>
      <c r="N57" s="26" t="n"/>
      <c r="O57" s="26" t="n">
        <v>47</v>
      </c>
      <c r="P57" s="26" t="n"/>
      <c r="Q57" s="26" t="n"/>
      <c r="R57" s="26" t="n"/>
      <c r="S57" s="26" t="n"/>
      <c r="T57" s="26" t="n"/>
      <c r="U57" s="27" t="n"/>
    </row>
    <row r="58" s="3154" customFormat="1" ht="13.5" customHeight="1">
      <c r="A58" s="1101" t="e">
        <f t="array" ref="A58">IF(A57="","",IF(A57+1&gt;'Assumptions'!$D$133,"",A57+1))</f>
      </c>
      <c r="B58" s="4015" t="e">
        <f t="array" ref="B58">IF(A58="","",VLOOKUP(A58,'S&amp;U-Timeline'!$P$9:$R$147,3,0))</f>
      </c>
      <c r="C58" s="3322" t="e">
        <f t="array" ref="C58">IF(A58="","",G57)</f>
      </c>
      <c r="D58" s="4016" t="e">
        <f t="array" ref="D58">IF(A58="","",-PMT($C$6/12,$G$4*12,$C$5,0,0))</f>
      </c>
      <c r="E58" s="3322" t="e">
        <f t="array" ref="E58">IF(A58="","",IF(A58&lt;$G$6,0,-PPMT($C$6/12,$O58,$G$4*12,$C58,0,0)))</f>
      </c>
      <c r="F58" s="3322" t="e">
        <f t="array" ref="F58">IF(A58="","",-IPMT($C$6/12,$O58,$G$4*12,$C58,0,0))</f>
      </c>
      <c r="G58" s="3322" t="e">
        <f t="array" ref="G58">IF(A58="","",C58-E58)</f>
      </c>
      <c r="H58" s="26" t="n"/>
      <c r="I58" s="26" t="n"/>
      <c r="J58" s="2100" t="n"/>
      <c r="K58" s="211" t="e">
        <f t="array" ref="K58">IF(A58="","",YEAR(B58))</f>
      </c>
      <c r="L58" s="26" t="n"/>
      <c r="M58" s="26" t="n"/>
      <c r="N58" s="26" t="n"/>
      <c r="O58" s="26" t="n">
        <v>48</v>
      </c>
      <c r="P58" s="26" t="n"/>
      <c r="Q58" s="26" t="n"/>
      <c r="R58" s="26" t="n"/>
      <c r="S58" s="26" t="n"/>
      <c r="T58" s="26" t="n"/>
      <c r="U58" s="27" t="n"/>
    </row>
    <row r="59" s="3154" customFormat="1" ht="13.5" customHeight="1">
      <c r="A59" s="1101" t="e">
        <f t="array" ref="A59">IF(A58="","",IF(A58+1&gt;'Assumptions'!$D$133,"",A58+1))</f>
      </c>
      <c r="B59" s="4015" t="e">
        <f t="array" ref="B59">IF(A59="","",VLOOKUP(A59,'S&amp;U-Timeline'!$P$9:$R$147,3,0))</f>
      </c>
      <c r="C59" s="3322" t="e">
        <f t="array" ref="C59">IF(A59="","",G58)</f>
      </c>
      <c r="D59" s="4016" t="e">
        <f t="array" ref="D59">IF(A59="","",-PMT($C$6/12,$G$4*12,$C$5,0,0))</f>
      </c>
      <c r="E59" s="3322" t="e">
        <f t="array" ref="E59">IF(A59="","",IF(A59&lt;$G$6,0,-PPMT($C$6/12,$O59,$G$4*12,$C59,0,0)))</f>
      </c>
      <c r="F59" s="3322" t="e">
        <f t="array" ref="F59">IF(A59="","",-IPMT($C$6/12,$O59,$G$4*12,$C59,0,0))</f>
      </c>
      <c r="G59" s="3322" t="e">
        <f t="array" ref="G59">IF(A59="","",C59-E59)</f>
      </c>
      <c r="H59" s="26" t="n"/>
      <c r="I59" s="26" t="n"/>
      <c r="J59" s="2100" t="n"/>
      <c r="K59" s="211" t="e">
        <f t="array" ref="K59">IF(A59="","",YEAR(B59))</f>
      </c>
      <c r="L59" s="26" t="n"/>
      <c r="M59" s="26" t="n"/>
      <c r="N59" s="26" t="n"/>
      <c r="O59" s="26" t="n">
        <v>49</v>
      </c>
      <c r="P59" s="26" t="n"/>
      <c r="Q59" s="26" t="n"/>
      <c r="R59" s="26" t="n"/>
      <c r="S59" s="26" t="n"/>
      <c r="T59" s="26" t="n"/>
      <c r="U59" s="27" t="n"/>
    </row>
    <row r="60" s="3154" customFormat="1" ht="13.5" customHeight="1">
      <c r="A60" s="1101" t="e">
        <f t="array" ref="A60">IF(A59="","",IF(A59+1&gt;'Assumptions'!$D$133,"",A59+1))</f>
      </c>
      <c r="B60" s="4015" t="e">
        <f t="array" ref="B60">IF(A60="","",VLOOKUP(A60,'S&amp;U-Timeline'!$P$9:$R$147,3,0))</f>
      </c>
      <c r="C60" s="3322" t="e">
        <f t="array" ref="C60">IF(A60="","",G59)</f>
      </c>
      <c r="D60" s="4016" t="e">
        <f t="array" ref="D60">IF(A60="","",-PMT($C$6/12,$G$4*12,$C$5,0,0))</f>
      </c>
      <c r="E60" s="3322" t="e">
        <f t="array" ref="E60">IF(A60="","",IF(A60&lt;$G$6,0,-PPMT($C$6/12,$O60,$G$4*12,$C60,0,0)))</f>
      </c>
      <c r="F60" s="3322" t="e">
        <f t="array" ref="F60">IF(A60="","",-IPMT($C$6/12,$O60,$G$4*12,$C60,0,0))</f>
      </c>
      <c r="G60" s="3322" t="e">
        <f t="array" ref="G60">IF(A60="","",C60-E60)</f>
      </c>
      <c r="H60" s="26" t="n"/>
      <c r="I60" s="26" t="n"/>
      <c r="J60" s="2100" t="n"/>
      <c r="K60" s="211" t="e">
        <f t="array" ref="K60">IF(A60="","",YEAR(B60))</f>
      </c>
      <c r="L60" s="26" t="n"/>
      <c r="M60" s="26" t="n"/>
      <c r="N60" s="26" t="n"/>
      <c r="O60" s="26" t="n">
        <v>50</v>
      </c>
      <c r="P60" s="26" t="n"/>
      <c r="Q60" s="26" t="n"/>
      <c r="R60" s="26" t="n"/>
      <c r="S60" s="26" t="n"/>
      <c r="T60" s="26" t="n"/>
      <c r="U60" s="27" t="n"/>
    </row>
    <row r="61" s="3154" customFormat="1" ht="13.5" customHeight="1">
      <c r="A61" s="1101" t="e">
        <f t="array" ref="A61">IF(A60="","",IF(A60+1&gt;'Assumptions'!$D$133,"",A60+1))</f>
      </c>
      <c r="B61" s="4015" t="e">
        <f t="array" ref="B61">IF(A61="","",VLOOKUP(A61,'S&amp;U-Timeline'!$P$9:$R$147,3,0))</f>
      </c>
      <c r="C61" s="3322" t="e">
        <f t="array" ref="C61">IF(A61="","",G60)</f>
      </c>
      <c r="D61" s="4016" t="e">
        <f t="array" ref="D61">IF(A61="","",-PMT($C$6/12,$G$4*12,$C$5,0,0))</f>
      </c>
      <c r="E61" s="3322" t="e">
        <f t="array" ref="E61">IF(A61="","",IF(A61&lt;$G$6,0,-PPMT($C$6/12,$O61,$G$4*12,$C61,0,0)))</f>
      </c>
      <c r="F61" s="3322" t="e">
        <f t="array" ref="F61">IF(A61="","",-IPMT($C$6/12,$O61,$G$4*12,$C61,0,0))</f>
      </c>
      <c r="G61" s="3322" t="e">
        <f t="array" ref="G61">IF(A61="","",C61-E61)</f>
      </c>
      <c r="H61" s="26" t="n"/>
      <c r="I61" s="26" t="n"/>
      <c r="J61" s="2100" t="n"/>
      <c r="K61" s="211" t="e">
        <f t="array" ref="K61">IF(A61="","",YEAR(B61))</f>
      </c>
      <c r="L61" s="26" t="n"/>
      <c r="M61" s="26" t="n"/>
      <c r="N61" s="26" t="n"/>
      <c r="O61" s="26" t="n">
        <v>51</v>
      </c>
      <c r="P61" s="26" t="n"/>
      <c r="Q61" s="26" t="n"/>
      <c r="R61" s="26" t="n"/>
      <c r="S61" s="26" t="n"/>
      <c r="T61" s="26" t="n"/>
      <c r="U61" s="27" t="n"/>
    </row>
    <row r="62" s="3154" customFormat="1" ht="13.5" customHeight="1">
      <c r="A62" s="1101" t="e">
        <f t="array" ref="A62">IF(A61="","",IF(A61+1&gt;'Assumptions'!$D$133,"",A61+1))</f>
      </c>
      <c r="B62" s="4015" t="e">
        <f t="array" ref="B62">IF(A62="","",VLOOKUP(A62,'S&amp;U-Timeline'!$P$9:$R$147,3,0))</f>
      </c>
      <c r="C62" s="3322" t="e">
        <f t="array" ref="C62">IF(A62="","",G61)</f>
      </c>
      <c r="D62" s="4016" t="e">
        <f t="array" ref="D62">IF(A62="","",-PMT($C$6/12,$G$4*12,$C$5,0,0))</f>
      </c>
      <c r="E62" s="3322" t="e">
        <f t="array" ref="E62">IF(A62="","",IF(A62&lt;$G$6,0,-PPMT($C$6/12,$O62,$G$4*12,$C62,0,0)))</f>
      </c>
      <c r="F62" s="3322" t="e">
        <f t="array" ref="F62">IF(A62="","",-IPMT($C$6/12,$O62,$G$4*12,$C62,0,0))</f>
      </c>
      <c r="G62" s="3322" t="e">
        <f t="array" ref="G62">IF(A62="","",C62-E62)</f>
      </c>
      <c r="H62" s="26" t="n"/>
      <c r="I62" s="26" t="n"/>
      <c r="J62" s="2100" t="n"/>
      <c r="K62" s="211" t="e">
        <f t="array" ref="K62">IF(A62="","",YEAR(B62))</f>
      </c>
      <c r="L62" s="26" t="n"/>
      <c r="M62" s="26" t="n"/>
      <c r="N62" s="26" t="n"/>
      <c r="O62" s="26" t="n">
        <v>52</v>
      </c>
      <c r="P62" s="26" t="n"/>
      <c r="Q62" s="26" t="n"/>
      <c r="R62" s="26" t="n"/>
      <c r="S62" s="26" t="n"/>
      <c r="T62" s="26" t="n"/>
      <c r="U62" s="27" t="n"/>
    </row>
    <row r="63" s="3154" customFormat="1" ht="13.5" customHeight="1">
      <c r="A63" s="1101" t="e">
        <f t="array" ref="A63">IF(A62="","",IF(A62+1&gt;'Assumptions'!$D$133,"",A62+1))</f>
      </c>
      <c r="B63" s="4015" t="e">
        <f t="array" ref="B63">IF(A63="","",VLOOKUP(A63,'S&amp;U-Timeline'!$P$9:$R$147,3,0))</f>
      </c>
      <c r="C63" s="3322" t="e">
        <f t="array" ref="C63">IF(A63="","",G62)</f>
      </c>
      <c r="D63" s="4016" t="e">
        <f t="array" ref="D63">IF(A63="","",-PMT($C$6/12,$G$4*12,$C$5,0,0))</f>
      </c>
      <c r="E63" s="3322" t="e">
        <f t="array" ref="E63">IF(A63="","",IF(A63&lt;$G$6,0,-PPMT($C$6/12,$O63,$G$4*12,$C63,0,0)))</f>
      </c>
      <c r="F63" s="3322" t="e">
        <f t="array" ref="F63">IF(A63="","",-IPMT($C$6/12,$O63,$G$4*12,$C63,0,0))</f>
      </c>
      <c r="G63" s="3322" t="e">
        <f t="array" ref="G63">IF(A63="","",C63-E63)</f>
      </c>
      <c r="H63" s="26" t="n"/>
      <c r="I63" s="26" t="n"/>
      <c r="J63" s="2100" t="n"/>
      <c r="K63" s="211" t="e">
        <f t="array" ref="K63">IF(A63="","",YEAR(B63))</f>
      </c>
      <c r="L63" s="26" t="n"/>
      <c r="M63" s="26" t="n"/>
      <c r="N63" s="26" t="n"/>
      <c r="O63" s="26" t="n">
        <v>53</v>
      </c>
      <c r="P63" s="26" t="n"/>
      <c r="Q63" s="26" t="n"/>
      <c r="R63" s="26" t="n"/>
      <c r="S63" s="26" t="n"/>
      <c r="T63" s="26" t="n"/>
      <c r="U63" s="27" t="n"/>
    </row>
    <row r="64" s="3154" customFormat="1" ht="13.5" customHeight="1">
      <c r="A64" s="1101" t="e">
        <f t="array" ref="A64">IF(A63="","",IF(A63+1&gt;'Assumptions'!$D$133,"",A63+1))</f>
      </c>
      <c r="B64" s="4015" t="e">
        <f t="array" ref="B64">IF(A64="","",VLOOKUP(A64,'S&amp;U-Timeline'!$P$9:$R$147,3,0))</f>
      </c>
      <c r="C64" s="3322" t="e">
        <f t="array" ref="C64">IF(A64="","",G63)</f>
      </c>
      <c r="D64" s="4016" t="e">
        <f t="array" ref="D64">IF(A64="","",-PMT($C$6/12,$G$4*12,$C$5,0,0))</f>
      </c>
      <c r="E64" s="3322" t="e">
        <f t="array" ref="E64">IF(A64="","",IF(A64&lt;$G$6,0,-PPMT($C$6/12,$O64,$G$4*12,$C64,0,0)))</f>
      </c>
      <c r="F64" s="3322" t="e">
        <f t="array" ref="F64">IF(A64="","",-IPMT($C$6/12,$O64,$G$4*12,$C64,0,0))</f>
      </c>
      <c r="G64" s="3322" t="e">
        <f t="array" ref="G64">IF(A64="","",C64-E64)</f>
      </c>
      <c r="H64" s="26" t="n"/>
      <c r="I64" s="26" t="n"/>
      <c r="J64" s="2100" t="n"/>
      <c r="K64" s="211" t="e">
        <f t="array" ref="K64">IF(A64="","",YEAR(B64))</f>
      </c>
      <c r="L64" s="26" t="n"/>
      <c r="M64" s="26" t="n"/>
      <c r="N64" s="26" t="n"/>
      <c r="O64" s="26" t="n">
        <v>54</v>
      </c>
      <c r="P64" s="26" t="n"/>
      <c r="Q64" s="26" t="n"/>
      <c r="R64" s="26" t="n"/>
      <c r="S64" s="26" t="n"/>
      <c r="T64" s="26" t="n"/>
      <c r="U64" s="27" t="n"/>
    </row>
    <row r="65" s="3154" customFormat="1" ht="13.5" customHeight="1">
      <c r="A65" s="1101" t="e">
        <f t="array" ref="A65">IF(A64="","",IF(A64+1&gt;'Assumptions'!$D$133,"",A64+1))</f>
      </c>
      <c r="B65" s="4015" t="e">
        <f t="array" ref="B65">IF(A65="","",VLOOKUP(A65,'S&amp;U-Timeline'!$P$9:$R$147,3,0))</f>
      </c>
      <c r="C65" s="3322" t="e">
        <f t="array" ref="C65">IF(A65="","",G64)</f>
      </c>
      <c r="D65" s="4016" t="e">
        <f t="array" ref="D65">IF(A65="","",-PMT($C$6/12,$G$4*12,$C$5,0,0))</f>
      </c>
      <c r="E65" s="3322" t="e">
        <f t="array" ref="E65">IF(A65="","",IF(A65&lt;$G$6,0,-PPMT($C$6/12,$O65,$G$4*12,$C65,0,0)))</f>
      </c>
      <c r="F65" s="3322" t="e">
        <f t="array" ref="F65">IF(A65="","",-IPMT($C$6/12,$O65,$G$4*12,$C65,0,0))</f>
      </c>
      <c r="G65" s="3322" t="e">
        <f t="array" ref="G65">IF(A65="","",C65-E65)</f>
      </c>
      <c r="H65" s="26" t="n"/>
      <c r="I65" s="26" t="n"/>
      <c r="J65" s="2100" t="n"/>
      <c r="K65" s="211" t="e">
        <f t="array" ref="K65">IF(A65="","",YEAR(B65))</f>
      </c>
      <c r="L65" s="26" t="n"/>
      <c r="M65" s="26" t="n"/>
      <c r="N65" s="26" t="n"/>
      <c r="O65" s="26" t="n">
        <v>55</v>
      </c>
      <c r="P65" s="26" t="n"/>
      <c r="Q65" s="26" t="n"/>
      <c r="R65" s="26" t="n"/>
      <c r="S65" s="26" t="n"/>
      <c r="T65" s="26" t="n"/>
      <c r="U65" s="27" t="n"/>
    </row>
    <row r="66" s="3154" customFormat="1" ht="13.5" customHeight="1">
      <c r="A66" s="1101" t="e">
        <f t="array" ref="A66">IF(A65="","",IF(A65+1&gt;'Assumptions'!$D$133,"",A65+1))</f>
      </c>
      <c r="B66" s="4015" t="e">
        <f t="array" ref="B66">IF(A66="","",VLOOKUP(A66,'S&amp;U-Timeline'!$P$9:$R$147,3,0))</f>
      </c>
      <c r="C66" s="3322" t="e">
        <f t="array" ref="C66">IF(A66="","",G65)</f>
      </c>
      <c r="D66" s="4016" t="e">
        <f t="array" ref="D66">IF(A66="","",-PMT($C$6/12,$G$4*12,$C$5,0,0))</f>
      </c>
      <c r="E66" s="3322" t="e">
        <f t="array" ref="E66">IF(A66="","",IF(A66&lt;$G$6,0,-PPMT($C$6/12,$O66,$G$4*12,$C66,0,0)))</f>
      </c>
      <c r="F66" s="3322" t="e">
        <f t="array" ref="F66">IF(A66="","",-IPMT($C$6/12,$O66,$G$4*12,$C66,0,0))</f>
      </c>
      <c r="G66" s="3322" t="e">
        <f t="array" ref="G66">IF(A66="","",C66-E66)</f>
      </c>
      <c r="H66" s="26" t="n"/>
      <c r="I66" s="26" t="n"/>
      <c r="J66" s="2100" t="n"/>
      <c r="K66" s="211" t="e">
        <f t="array" ref="K66">IF(A66="","",YEAR(B66))</f>
      </c>
      <c r="L66" s="26" t="n"/>
      <c r="M66" s="26" t="n"/>
      <c r="N66" s="26" t="n"/>
      <c r="O66" s="26" t="n">
        <v>56</v>
      </c>
      <c r="P66" s="26" t="n"/>
      <c r="Q66" s="26" t="n"/>
      <c r="R66" s="26" t="n"/>
      <c r="S66" s="26" t="n"/>
      <c r="T66" s="26" t="n"/>
      <c r="U66" s="27" t="n"/>
    </row>
    <row r="67" s="3154" customFormat="1" ht="13.5" customHeight="1">
      <c r="A67" s="1101" t="e">
        <f t="array" ref="A67">IF(A66="","",IF(A66+1&gt;'Assumptions'!$D$133,"",A66+1))</f>
      </c>
      <c r="B67" s="4015" t="e">
        <f t="array" ref="B67">IF(A67="","",VLOOKUP(A67,'S&amp;U-Timeline'!$P$9:$R$147,3,0))</f>
      </c>
      <c r="C67" s="3322" t="e">
        <f t="array" ref="C67">IF(A67="","",G66)</f>
      </c>
      <c r="D67" s="4016" t="e">
        <f t="array" ref="D67">IF(A67="","",-PMT($C$6/12,$G$4*12,$C$5,0,0))</f>
      </c>
      <c r="E67" s="3322" t="e">
        <f t="array" ref="E67">IF(A67="","",IF(A67&lt;$G$6,0,-PPMT($C$6/12,$O67,$G$4*12,$C67,0,0)))</f>
      </c>
      <c r="F67" s="3322" t="e">
        <f t="array" ref="F67">IF(A67="","",-IPMT($C$6/12,$O67,$G$4*12,$C67,0,0))</f>
      </c>
      <c r="G67" s="3322" t="e">
        <f t="array" ref="G67">IF(A67="","",C67-E67)</f>
      </c>
      <c r="H67" s="26" t="n"/>
      <c r="I67" s="26" t="n"/>
      <c r="J67" s="2100" t="n"/>
      <c r="K67" s="211" t="e">
        <f t="array" ref="K67">IF(A67="","",YEAR(B67))</f>
      </c>
      <c r="L67" s="26" t="n"/>
      <c r="M67" s="26" t="n"/>
      <c r="N67" s="26" t="n"/>
      <c r="O67" s="26" t="n">
        <v>57</v>
      </c>
      <c r="P67" s="26" t="n"/>
      <c r="Q67" s="26" t="n"/>
      <c r="R67" s="26" t="n"/>
      <c r="S67" s="26" t="n"/>
      <c r="T67" s="26" t="n"/>
      <c r="U67" s="27" t="n"/>
    </row>
    <row r="68" s="3154" customFormat="1" ht="13.5" customHeight="1">
      <c r="A68" s="1101" t="e">
        <f t="array" ref="A68">IF(A67="","",IF(A67+1&gt;'Assumptions'!$D$133,"",A67+1))</f>
      </c>
      <c r="B68" s="4015" t="e">
        <f t="array" ref="B68">IF(A68="","",VLOOKUP(A68,'S&amp;U-Timeline'!$P$9:$R$147,3,0))</f>
      </c>
      <c r="C68" s="3322" t="e">
        <f t="array" ref="C68">IF(A68="","",G67)</f>
      </c>
      <c r="D68" s="4016" t="e">
        <f t="array" ref="D68">IF(A68="","",-PMT($C$6/12,$G$4*12,$C$5,0,0))</f>
      </c>
      <c r="E68" s="3322" t="e">
        <f t="array" ref="E68">IF(A68="","",IF(A68&lt;$G$6,0,-PPMT($C$6/12,$O68,$G$4*12,$C68,0,0)))</f>
      </c>
      <c r="F68" s="3322" t="e">
        <f t="array" ref="F68">IF(A68="","",-IPMT($C$6/12,$O68,$G$4*12,$C68,0,0))</f>
      </c>
      <c r="G68" s="3322" t="e">
        <f t="array" ref="G68">IF(A68="","",C68-E68)</f>
      </c>
      <c r="H68" s="26" t="n"/>
      <c r="I68" s="26" t="n"/>
      <c r="J68" s="2100" t="n"/>
      <c r="K68" s="211" t="e">
        <f t="array" ref="K68">IF(A68="","",YEAR(B68))</f>
      </c>
      <c r="L68" s="26" t="n"/>
      <c r="M68" s="26" t="n"/>
      <c r="N68" s="26" t="n"/>
      <c r="O68" s="26" t="n">
        <v>58</v>
      </c>
      <c r="P68" s="26" t="n"/>
      <c r="Q68" s="26" t="n"/>
      <c r="R68" s="26" t="n"/>
      <c r="S68" s="26" t="n"/>
      <c r="T68" s="26" t="n"/>
      <c r="U68" s="27" t="n"/>
    </row>
    <row r="69" s="3154" customFormat="1" ht="13.5" customHeight="1">
      <c r="A69" s="1101" t="e">
        <f t="array" ref="A69">IF(A68="","",IF(A68+1&gt;'Assumptions'!$D$133,"",A68+1))</f>
      </c>
      <c r="B69" s="4015" t="e">
        <f t="array" ref="B69">IF(A69="","",VLOOKUP(A69,'S&amp;U-Timeline'!$P$9:$R$147,3,0))</f>
      </c>
      <c r="C69" s="3322" t="e">
        <f t="array" ref="C69">IF(A69="","",G68)</f>
      </c>
      <c r="D69" s="4016" t="e">
        <f t="array" ref="D69">IF(A69="","",-PMT($C$6/12,$G$4*12,$C$5,0,0))</f>
      </c>
      <c r="E69" s="3322" t="e">
        <f t="array" ref="E69">IF(A69="","",IF(A69&lt;$G$6,0,-PPMT($C$6/12,$O69,$G$4*12,$C69,0,0)))</f>
      </c>
      <c r="F69" s="3322" t="e">
        <f t="array" ref="F69">IF(A69="","",-IPMT($C$6/12,$O69,$G$4*12,$C69,0,0))</f>
      </c>
      <c r="G69" s="3322" t="e">
        <f t="array" ref="G69">IF(A69="","",C69-E69)</f>
      </c>
      <c r="H69" s="26" t="n"/>
      <c r="I69" s="26" t="n"/>
      <c r="J69" s="2100" t="n"/>
      <c r="K69" s="211" t="e">
        <f t="array" ref="K69">IF(A69="","",YEAR(B69))</f>
      </c>
      <c r="L69" s="26" t="n"/>
      <c r="M69" s="26" t="n"/>
      <c r="N69" s="26" t="n"/>
      <c r="O69" s="26" t="n">
        <v>59</v>
      </c>
      <c r="P69" s="26" t="n"/>
      <c r="Q69" s="26" t="n"/>
      <c r="R69" s="26" t="n"/>
      <c r="S69" s="26" t="n"/>
      <c r="T69" s="26" t="n"/>
      <c r="U69" s="27" t="n"/>
    </row>
    <row r="70" s="3154" customFormat="1" ht="13.5" customHeight="1">
      <c r="A70" s="1101" t="e">
        <f t="array" ref="A70">IF(A69="","",IF(A69+1&gt;'Assumptions'!$D$133,"",A69+1))</f>
      </c>
      <c r="B70" s="4015" t="e">
        <f t="array" ref="B70">IF(A70="","",VLOOKUP(A70,'S&amp;U-Timeline'!$P$9:$R$147,3,0))</f>
      </c>
      <c r="C70" s="3322" t="e">
        <f t="array" ref="C70">IF(A70="","",G69)</f>
      </c>
      <c r="D70" s="4016" t="e">
        <f t="array" ref="D70">IF(A70="","",-PMT($C$6/12,$G$4*12,$C$5,0,0))</f>
      </c>
      <c r="E70" s="3322" t="e">
        <f t="array" ref="E70">IF(A70="","",IF(A70&lt;$G$6,0,-PPMT($C$6/12,$O70,$G$4*12,$C70,0,0)))</f>
      </c>
      <c r="F70" s="3322" t="e">
        <f t="array" ref="F70">IF(A70="","",-IPMT($C$6/12,$O70,$G$4*12,$C70,0,0))</f>
      </c>
      <c r="G70" s="3322" t="e">
        <f t="array" ref="G70">IF(A70="","",C70-E70)</f>
      </c>
      <c r="H70" s="26" t="n"/>
      <c r="I70" s="26" t="n"/>
      <c r="J70" s="2100" t="n"/>
      <c r="K70" s="211" t="e">
        <f t="array" ref="K70">IF(A70="","",YEAR(B70))</f>
      </c>
      <c r="L70" s="26" t="n"/>
      <c r="M70" s="26" t="n"/>
      <c r="N70" s="26" t="n"/>
      <c r="O70" s="26" t="n">
        <v>60</v>
      </c>
      <c r="P70" s="26" t="n"/>
      <c r="Q70" s="26" t="n"/>
      <c r="R70" s="26" t="n"/>
      <c r="S70" s="26" t="n"/>
      <c r="T70" s="26" t="n"/>
      <c r="U70" s="27" t="n"/>
    </row>
    <row r="71" s="3154" customFormat="1" ht="13.5" customHeight="1">
      <c r="A71" s="1101" t="e">
        <f t="array" ref="A71">IF(A70="","",IF(A70+1&gt;'Assumptions'!$D$133,"",A70+1))</f>
      </c>
      <c r="B71" s="4015" t="e">
        <f t="array" ref="B71">IF(A71="","",VLOOKUP(A71,'S&amp;U-Timeline'!$P$9:$R$147,3,0))</f>
      </c>
      <c r="C71" s="3322" t="e">
        <f t="array" ref="C71">IF(A71="","",G70)</f>
      </c>
      <c r="D71" s="4016" t="e">
        <f t="array" ref="D71">IF(A71="","",-PMT($C$6/12,$G$4*12,$C$5,0,0))</f>
      </c>
      <c r="E71" s="3322" t="e">
        <f t="array" ref="E71">IF(A71="","",IF(A71&lt;$G$6,0,-PPMT($C$6/12,$O71,$G$4*12,$C71,0,0)))</f>
      </c>
      <c r="F71" s="3322" t="e">
        <f t="array" ref="F71">IF(A71="","",-IPMT($C$6/12,$O71,$G$4*12,$C71,0,0))</f>
      </c>
      <c r="G71" s="3322" t="e">
        <f t="array" ref="G71">IF(A71="","",C71-E71)</f>
      </c>
      <c r="H71" s="26" t="n"/>
      <c r="I71" s="26" t="n"/>
      <c r="J71" s="2100" t="n"/>
      <c r="K71" s="211" t="e">
        <f t="array" ref="K71">IF(A71="","",YEAR(B71))</f>
      </c>
      <c r="L71" s="26" t="n"/>
      <c r="M71" s="26" t="n"/>
      <c r="N71" s="26" t="n"/>
      <c r="O71" s="26" t="n">
        <v>61</v>
      </c>
      <c r="P71" s="26" t="n"/>
      <c r="Q71" s="26" t="n"/>
      <c r="R71" s="26" t="n"/>
      <c r="S71" s="26" t="n"/>
      <c r="T71" s="26" t="n"/>
      <c r="U71" s="27" t="n"/>
    </row>
    <row r="72" s="3154" customFormat="1" ht="13.5" customHeight="1">
      <c r="A72" s="1101" t="e">
        <f t="array" ref="A72">IF(A71="","",IF(A71+1&gt;'Assumptions'!$D$133,"",A71+1))</f>
      </c>
      <c r="B72" s="4015" t="e">
        <f t="array" ref="B72">IF(A72="","",VLOOKUP(A72,'S&amp;U-Timeline'!$P$9:$R$147,3,0))</f>
      </c>
      <c r="C72" s="3322" t="e">
        <f t="array" ref="C72">IF(A72="","",G71)</f>
      </c>
      <c r="D72" s="4016" t="e">
        <f t="array" ref="D72">IF(A72="","",-PMT($C$6/12,$G$4*12,$C$5,0,0))</f>
      </c>
      <c r="E72" s="3322" t="e">
        <f t="array" ref="E72">IF(A72="","",IF(A72&lt;$G$6,0,-PPMT($C$6/12,$O72,$G$4*12,$C72,0,0)))</f>
      </c>
      <c r="F72" s="3322" t="e">
        <f t="array" ref="F72">IF(A72="","",-IPMT($C$6/12,$O72,$G$4*12,$C72,0,0))</f>
      </c>
      <c r="G72" s="3322" t="e">
        <f t="array" ref="G72">IF(A72="","",C72-E72)</f>
      </c>
      <c r="H72" s="26" t="n"/>
      <c r="I72" s="26" t="n"/>
      <c r="J72" s="2100" t="n"/>
      <c r="K72" s="211" t="e">
        <f t="array" ref="K72">IF(A72="","",YEAR(B72))</f>
      </c>
      <c r="L72" s="26" t="n"/>
      <c r="M72" s="26" t="n"/>
      <c r="N72" s="26" t="n"/>
      <c r="O72" s="26" t="n">
        <v>62</v>
      </c>
      <c r="P72" s="26" t="n"/>
      <c r="Q72" s="26" t="n"/>
      <c r="R72" s="26" t="n"/>
      <c r="S72" s="26" t="n"/>
      <c r="T72" s="26" t="n"/>
      <c r="U72" s="27" t="n"/>
    </row>
    <row r="73" s="3154" customFormat="1" ht="13.5" customHeight="1">
      <c r="A73" s="1101" t="e">
        <f t="array" ref="A73">IF(A72="","",IF(A72+1&gt;'Assumptions'!$D$133,"",A72+1))</f>
      </c>
      <c r="B73" s="4015" t="e">
        <f t="array" ref="B73">IF(A73="","",VLOOKUP(A73,'S&amp;U-Timeline'!$P$9:$R$147,3,0))</f>
      </c>
      <c r="C73" s="3322" t="e">
        <f t="array" ref="C73">IF(A73="","",G72)</f>
      </c>
      <c r="D73" s="4016" t="e">
        <f t="array" ref="D73">IF(A73="","",-PMT($C$6/12,$G$4*12,$C$5,0,0))</f>
      </c>
      <c r="E73" s="3322" t="e">
        <f t="array" ref="E73">IF(A73="","",IF(A73&lt;$G$6,0,-PPMT($C$6/12,$O73,$G$4*12,$C73,0,0)))</f>
      </c>
      <c r="F73" s="3322" t="e">
        <f t="array" ref="F73">IF(A73="","",-IPMT($C$6/12,$O73,$G$4*12,$C73,0,0))</f>
      </c>
      <c r="G73" s="3322" t="e">
        <f t="array" ref="G73">IF(A73="","",C73-E73)</f>
      </c>
      <c r="H73" s="26" t="n"/>
      <c r="I73" s="26" t="n"/>
      <c r="J73" s="2100" t="n"/>
      <c r="K73" s="211" t="e">
        <f t="array" ref="K73">IF(A73="","",YEAR(B73))</f>
      </c>
      <c r="L73" s="26" t="n"/>
      <c r="M73" s="26" t="n"/>
      <c r="N73" s="26" t="n"/>
      <c r="O73" s="26" t="n">
        <v>63</v>
      </c>
      <c r="P73" s="26" t="n"/>
      <c r="Q73" s="26" t="n"/>
      <c r="R73" s="26" t="n"/>
      <c r="S73" s="26" t="n"/>
      <c r="T73" s="26" t="n"/>
      <c r="U73" s="27" t="n"/>
    </row>
    <row r="74" s="3154" customFormat="1" ht="13.5" customHeight="1">
      <c r="A74" s="1101" t="e">
        <f t="array" ref="A74">IF(A73="","",IF(A73+1&gt;'Assumptions'!$D$133,"",A73+1))</f>
      </c>
      <c r="B74" s="4015" t="e">
        <f t="array" ref="B74">IF(A74="","",VLOOKUP(A74,'S&amp;U-Timeline'!$P$9:$R$147,3,0))</f>
      </c>
      <c r="C74" s="3322" t="e">
        <f t="array" ref="C74">IF(A74="","",G73)</f>
      </c>
      <c r="D74" s="4016" t="e">
        <f t="array" ref="D74">IF(A74="","",-PMT($C$6/12,$G$4*12,$C$5,0,0))</f>
      </c>
      <c r="E74" s="3322" t="e">
        <f t="array" ref="E74">IF(A74="","",IF(A74&lt;$G$6,0,-PPMT($C$6/12,$O74,$G$4*12,$C74,0,0)))</f>
      </c>
      <c r="F74" s="3322" t="e">
        <f t="array" ref="F74">IF(A74="","",-IPMT($C$6/12,$O74,$G$4*12,$C74,0,0))</f>
      </c>
      <c r="G74" s="3322" t="e">
        <f t="array" ref="G74">IF(A74="","",C74-E74)</f>
      </c>
      <c r="H74" s="26" t="n"/>
      <c r="I74" s="26" t="n"/>
      <c r="J74" s="2100" t="n"/>
      <c r="K74" s="211" t="e">
        <f t="array" ref="K74">IF(A74="","",YEAR(B74))</f>
      </c>
      <c r="L74" s="26" t="n"/>
      <c r="M74" s="26" t="n"/>
      <c r="N74" s="26" t="n"/>
      <c r="O74" s="26" t="n">
        <v>64</v>
      </c>
      <c r="P74" s="26" t="n"/>
      <c r="Q74" s="26" t="n"/>
      <c r="R74" s="26" t="n"/>
      <c r="S74" s="26" t="n"/>
      <c r="T74" s="26" t="n"/>
      <c r="U74" s="27" t="n"/>
    </row>
    <row r="75" s="3154" customFormat="1" ht="13.5" customHeight="1">
      <c r="A75" s="1101" t="e">
        <f t="array" ref="A75">IF(A74="","",IF(A74+1&gt;'Assumptions'!$D$133,"",A74+1))</f>
      </c>
      <c r="B75" s="4015" t="e">
        <f t="array" ref="B75">IF(A75="","",VLOOKUP(A75,'S&amp;U-Timeline'!$P$9:$R$147,3,0))</f>
      </c>
      <c r="C75" s="3322" t="e">
        <f t="array" ref="C75">IF(A75="","",G74)</f>
      </c>
      <c r="D75" s="4016" t="e">
        <f t="array" ref="D75">IF(A75="","",-PMT($C$6/12,$G$4*12,$C$5,0,0))</f>
      </c>
      <c r="E75" s="3322" t="e">
        <f t="array" ref="E75">IF(A75="","",IF(A75&lt;$G$6,0,-PPMT($C$6/12,$O75,$G$4*12,$C75,0,0)))</f>
      </c>
      <c r="F75" s="3322" t="e">
        <f t="array" ref="F75">IF(A75="","",-IPMT($C$6/12,$O75,$G$4*12,$C75,0,0))</f>
      </c>
      <c r="G75" s="3322" t="e">
        <f t="array" ref="G75">IF(A75="","",C75-E75)</f>
      </c>
      <c r="H75" s="26" t="n"/>
      <c r="I75" s="26" t="n"/>
      <c r="J75" s="2100" t="n"/>
      <c r="K75" s="211" t="e">
        <f t="array" ref="K75">IF(A75="","",YEAR(B75))</f>
      </c>
      <c r="L75" s="26" t="n"/>
      <c r="M75" s="26" t="n"/>
      <c r="N75" s="26" t="n"/>
      <c r="O75" s="26" t="n">
        <v>65</v>
      </c>
      <c r="P75" s="26" t="n"/>
      <c r="Q75" s="26" t="n"/>
      <c r="R75" s="26" t="n"/>
      <c r="S75" s="26" t="n"/>
      <c r="T75" s="26" t="n"/>
      <c r="U75" s="27" t="n"/>
    </row>
    <row r="76" s="3154" customFormat="1" ht="13.5" customHeight="1">
      <c r="A76" s="1101" t="e">
        <f t="array" ref="A76">IF(A75="","",IF(A75+1&gt;'Assumptions'!$D$133,"",A75+1))</f>
      </c>
      <c r="B76" s="4015" t="e">
        <f t="array" ref="B76">IF(A76="","",VLOOKUP(A76,'S&amp;U-Timeline'!$P$9:$R$147,3,0))</f>
      </c>
      <c r="C76" s="3322" t="e">
        <f t="array" ref="C76">IF(A76="","",G75)</f>
      </c>
      <c r="D76" s="4016" t="e">
        <f t="array" ref="D76">IF(A76="","",-PMT($C$6/12,$G$4*12,$C$5,0,0))</f>
      </c>
      <c r="E76" s="3322" t="e">
        <f t="array" ref="E76">IF(A76="","",IF(A76&lt;$G$6,0,-PPMT($C$6/12,$O76,$G$4*12,$C76,0,0)))</f>
      </c>
      <c r="F76" s="3322" t="e">
        <f t="array" ref="F76">IF(A76="","",-IPMT($C$6/12,$O76,$G$4*12,$C76,0,0))</f>
      </c>
      <c r="G76" s="3322" t="e">
        <f t="array" ref="G76">IF(A76="","",C76-E76)</f>
      </c>
      <c r="H76" s="26" t="n"/>
      <c r="I76" s="26" t="n"/>
      <c r="J76" s="2100" t="n"/>
      <c r="K76" s="211" t="e">
        <f t="array" ref="K76">IF(A76="","",YEAR(B76))</f>
      </c>
      <c r="L76" s="26" t="n"/>
      <c r="M76" s="26" t="n"/>
      <c r="N76" s="26" t="n"/>
      <c r="O76" s="26" t="n">
        <v>66</v>
      </c>
      <c r="P76" s="26" t="n"/>
      <c r="Q76" s="26" t="n"/>
      <c r="R76" s="26" t="n"/>
      <c r="S76" s="26" t="n"/>
      <c r="T76" s="26" t="n"/>
      <c r="U76" s="27" t="n"/>
    </row>
    <row r="77" s="3154" customFormat="1" ht="13.5" customHeight="1">
      <c r="A77" s="1101" t="e">
        <f t="array" ref="A77">IF(A76="","",IF(A76+1&gt;'Assumptions'!$D$133,"",A76+1))</f>
      </c>
      <c r="B77" s="4015" t="e">
        <f t="array" ref="B77">IF(A77="","",VLOOKUP(A77,'S&amp;U-Timeline'!$P$9:$R$147,3,0))</f>
      </c>
      <c r="C77" s="3322" t="e">
        <f t="array" ref="C77">IF(A77="","",G76)</f>
      </c>
      <c r="D77" s="4016" t="e">
        <f t="array" ref="D77">IF(A77="","",-PMT($C$6/12,$G$4*12,$C$5,0,0))</f>
      </c>
      <c r="E77" s="3322" t="e">
        <f t="array" ref="E77">IF(A77="","",IF(A77&lt;$G$6,0,-PPMT($C$6/12,$O77,$G$4*12,$C77,0,0)))</f>
      </c>
      <c r="F77" s="3322" t="e">
        <f t="array" ref="F77">IF(A77="","",-IPMT($C$6/12,$O77,$G$4*12,$C77,0,0))</f>
      </c>
      <c r="G77" s="3322" t="e">
        <f t="array" ref="G77">IF(A77="","",C77-E77)</f>
      </c>
      <c r="H77" s="26" t="n"/>
      <c r="I77" s="26" t="n"/>
      <c r="J77" s="2100" t="n"/>
      <c r="K77" s="211" t="e">
        <f t="array" ref="K77">IF(A77="","",YEAR(B77))</f>
      </c>
      <c r="L77" s="26" t="n"/>
      <c r="M77" s="26" t="n"/>
      <c r="N77" s="26" t="n"/>
      <c r="O77" s="26" t="n">
        <v>67</v>
      </c>
      <c r="P77" s="26" t="n"/>
      <c r="Q77" s="26" t="n"/>
      <c r="R77" s="26" t="n"/>
      <c r="S77" s="26" t="n"/>
      <c r="T77" s="26" t="n"/>
      <c r="U77" s="27" t="n"/>
    </row>
    <row r="78" s="3154" customFormat="1" ht="13.5" customHeight="1">
      <c r="A78" s="1101" t="e">
        <f t="array" ref="A78">IF(A77="","",IF(A77+1&gt;'Assumptions'!$D$133,"",A77+1))</f>
      </c>
      <c r="B78" s="4015" t="e">
        <f t="array" ref="B78">IF(A78="","",VLOOKUP(A78,'S&amp;U-Timeline'!$P$9:$R$147,3,0))</f>
      </c>
      <c r="C78" s="3322" t="e">
        <f t="array" ref="C78">IF(A78="","",G77)</f>
      </c>
      <c r="D78" s="4016" t="e">
        <f t="array" ref="D78">IF(A78="","",-PMT($C$6/12,$G$4*12,$C$5,0,0))</f>
      </c>
      <c r="E78" s="3322" t="e">
        <f t="array" ref="E78">IF(A78="","",IF(A78&lt;$G$6,0,-PPMT($C$6/12,$O78,$G$4*12,$C78,0,0)))</f>
      </c>
      <c r="F78" s="3322" t="e">
        <f t="array" ref="F78">IF(A78="","",-IPMT($C$6/12,$O78,$G$4*12,$C78,0,0))</f>
      </c>
      <c r="G78" s="3322" t="e">
        <f t="array" ref="G78">IF(A78="","",C78-E78)</f>
      </c>
      <c r="H78" s="26" t="n"/>
      <c r="I78" s="26" t="n"/>
      <c r="J78" s="2100" t="n"/>
      <c r="K78" s="211" t="e">
        <f t="array" ref="K78">IF(A78="","",YEAR(B78))</f>
      </c>
      <c r="L78" s="26" t="n"/>
      <c r="M78" s="26" t="n"/>
      <c r="N78" s="26" t="n"/>
      <c r="O78" s="26" t="n">
        <v>68</v>
      </c>
      <c r="P78" s="26" t="n"/>
      <c r="Q78" s="26" t="n"/>
      <c r="R78" s="26" t="n"/>
      <c r="S78" s="26" t="n"/>
      <c r="T78" s="26" t="n"/>
      <c r="U78" s="27" t="n"/>
    </row>
    <row r="79" s="3154" customFormat="1" ht="13.5" customHeight="1">
      <c r="A79" s="1101" t="e">
        <f t="array" ref="A79">IF(A78="","",IF(A78+1&gt;'Assumptions'!$D$133,"",A78+1))</f>
      </c>
      <c r="B79" s="4015" t="e">
        <f t="array" ref="B79">IF(A79="","",VLOOKUP(A79,'S&amp;U-Timeline'!$P$9:$R$147,3,0))</f>
      </c>
      <c r="C79" s="3322" t="e">
        <f t="array" ref="C79">IF(A79="","",G78)</f>
      </c>
      <c r="D79" s="4016" t="e">
        <f t="array" ref="D79">IF(A79="","",-PMT($C$6/12,$G$4*12,$C$5,0,0))</f>
      </c>
      <c r="E79" s="3322" t="e">
        <f t="array" ref="E79">IF(A79="","",IF(A79&lt;$G$6,0,-PPMT($C$6/12,$O79,$G$4*12,$C79,0,0)))</f>
      </c>
      <c r="F79" s="3322" t="e">
        <f t="array" ref="F79">IF(A79="","",-IPMT($C$6/12,$O79,$G$4*12,$C79,0,0))</f>
      </c>
      <c r="G79" s="3322" t="e">
        <f t="array" ref="G79">IF(A79="","",C79-E79)</f>
      </c>
      <c r="H79" s="26" t="n"/>
      <c r="I79" s="26" t="n"/>
      <c r="J79" s="2100" t="n"/>
      <c r="K79" s="211" t="e">
        <f t="array" ref="K79">IF(A79="","",YEAR(B79))</f>
      </c>
      <c r="L79" s="26" t="n"/>
      <c r="M79" s="26" t="n"/>
      <c r="N79" s="26" t="n"/>
      <c r="O79" s="26" t="n">
        <v>69</v>
      </c>
      <c r="P79" s="26" t="n"/>
      <c r="Q79" s="26" t="n"/>
      <c r="R79" s="26" t="n"/>
      <c r="S79" s="26" t="n"/>
      <c r="T79" s="26" t="n"/>
      <c r="U79" s="27" t="n"/>
    </row>
    <row r="80" s="3154" customFormat="1" ht="13.5" customHeight="1">
      <c r="A80" s="1101" t="e">
        <f t="array" ref="A80">IF(A79="","",IF(A79+1&gt;'Assumptions'!$D$133,"",A79+1))</f>
      </c>
      <c r="B80" s="4015" t="e">
        <f t="array" ref="B80">IF(A80="","",VLOOKUP(A80,'S&amp;U-Timeline'!$P$9:$R$147,3,0))</f>
      </c>
      <c r="C80" s="3322" t="e">
        <f t="array" ref="C80">IF(A80="","",G79)</f>
      </c>
      <c r="D80" s="4016" t="e">
        <f t="array" ref="D80">IF(A80="","",-PMT($C$6/12,$G$4*12,$C$5,0,0))</f>
      </c>
      <c r="E80" s="3322" t="e">
        <f t="array" ref="E80">IF(A80="","",IF(A80&lt;$G$6,0,-PPMT($C$6/12,$O80,$G$4*12,$C80,0,0)))</f>
      </c>
      <c r="F80" s="3322" t="e">
        <f t="array" ref="F80">IF(A80="","",-IPMT($C$6/12,$O80,$G$4*12,$C80,0,0))</f>
      </c>
      <c r="G80" s="3322" t="e">
        <f t="array" ref="G80">IF(A80="","",C80-E80)</f>
      </c>
      <c r="H80" s="26" t="n"/>
      <c r="I80" s="26" t="n"/>
      <c r="J80" s="2100" t="n"/>
      <c r="K80" s="211" t="e">
        <f t="array" ref="K80">IF(A80="","",YEAR(B80))</f>
      </c>
      <c r="L80" s="26" t="n"/>
      <c r="M80" s="26" t="n"/>
      <c r="N80" s="26" t="n"/>
      <c r="O80" s="26" t="n">
        <v>70</v>
      </c>
      <c r="P80" s="26" t="n"/>
      <c r="Q80" s="26" t="n"/>
      <c r="R80" s="26" t="n"/>
      <c r="S80" s="26" t="n"/>
      <c r="T80" s="26" t="n"/>
      <c r="U80" s="27" t="n"/>
    </row>
    <row r="81" s="3154" customFormat="1" ht="13.5" customHeight="1">
      <c r="A81" s="1101" t="e">
        <f t="array" ref="A81">IF(A80="","",IF(A80+1&gt;'Assumptions'!$D$133,"",A80+1))</f>
      </c>
      <c r="B81" s="4015" t="e">
        <f t="array" ref="B81">IF(A81="","",VLOOKUP(A81,'S&amp;U-Timeline'!$P$9:$R$147,3,0))</f>
      </c>
      <c r="C81" s="3322" t="e">
        <f t="array" ref="C81">IF(A81="","",G80)</f>
      </c>
      <c r="D81" s="4016" t="e">
        <f t="array" ref="D81">IF(A81="","",-PMT($C$6/12,$G$4*12,$C$5,0,0))</f>
      </c>
      <c r="E81" s="3322" t="e">
        <f t="array" ref="E81">IF(A81="","",IF(A81&lt;$G$6,0,-PPMT($C$6/12,$O81,$G$4*12,$C81,0,0)))</f>
      </c>
      <c r="F81" s="3322" t="e">
        <f t="array" ref="F81">IF(A81="","",-IPMT($C$6/12,$O81,$G$4*12,$C81,0,0))</f>
      </c>
      <c r="G81" s="3322" t="e">
        <f t="array" ref="G81">IF(A81="","",C81-E81)</f>
      </c>
      <c r="H81" s="26" t="n"/>
      <c r="I81" s="26" t="n"/>
      <c r="J81" s="2100" t="n"/>
      <c r="K81" s="211" t="e">
        <f t="array" ref="K81">IF(A81="","",YEAR(B81))</f>
      </c>
      <c r="L81" s="26" t="n"/>
      <c r="M81" s="26" t="n"/>
      <c r="N81" s="26" t="n"/>
      <c r="O81" s="26" t="n">
        <v>71</v>
      </c>
      <c r="P81" s="26" t="n"/>
      <c r="Q81" s="26" t="n"/>
      <c r="R81" s="26" t="n"/>
      <c r="S81" s="26" t="n"/>
      <c r="T81" s="26" t="n"/>
      <c r="U81" s="27" t="n"/>
    </row>
    <row r="82" s="3154" customFormat="1" ht="13.5" customHeight="1">
      <c r="A82" s="1101" t="e">
        <f t="array" ref="A82">IF(A81="","",IF(A81+1&gt;'Assumptions'!$D$133,"",A81+1))</f>
      </c>
      <c r="B82" s="4015" t="e">
        <f t="array" ref="B82">IF(A82="","",VLOOKUP(A82,'S&amp;U-Timeline'!$P$9:$R$147,3,0))</f>
      </c>
      <c r="C82" s="3322" t="e">
        <f t="array" ref="C82">IF(A82="","",G81)</f>
      </c>
      <c r="D82" s="4016" t="e">
        <f t="array" ref="D82">IF(A82="","",-PMT($C$6/12,$G$4*12,$C$5,0,0))</f>
      </c>
      <c r="E82" s="3322" t="e">
        <f t="array" ref="E82">IF(A82="","",IF(A82&lt;$G$6,0,-PPMT($C$6/12,$O82,$G$4*12,$C82,0,0)))</f>
      </c>
      <c r="F82" s="3322" t="e">
        <f t="array" ref="F82">IF(A82="","",-IPMT($C$6/12,$O82,$G$4*12,$C82,0,0))</f>
      </c>
      <c r="G82" s="3322" t="e">
        <f t="array" ref="G82">IF(A82="","",C82-E82)</f>
      </c>
      <c r="H82" s="26" t="n"/>
      <c r="I82" s="26" t="n"/>
      <c r="J82" s="2100" t="n"/>
      <c r="K82" s="211" t="e">
        <f t="array" ref="K82">IF(A82="","",YEAR(B82))</f>
      </c>
      <c r="L82" s="26" t="n"/>
      <c r="M82" s="26" t="n"/>
      <c r="N82" s="26" t="n"/>
      <c r="O82" s="26" t="n">
        <v>72</v>
      </c>
      <c r="P82" s="26" t="n"/>
      <c r="Q82" s="26" t="n"/>
      <c r="R82" s="26" t="n"/>
      <c r="S82" s="26" t="n"/>
      <c r="T82" s="26" t="n"/>
      <c r="U82" s="27" t="n"/>
    </row>
    <row r="83" s="3154" customFormat="1" ht="13.5" customHeight="1">
      <c r="A83" s="1101" t="e">
        <f t="array" ref="A83">IF(A82="","",IF(A82+1&gt;'Assumptions'!$D$133,"",A82+1))</f>
      </c>
      <c r="B83" s="4015" t="e">
        <f t="array" ref="B83">IF(A83="","",VLOOKUP(A83,'S&amp;U-Timeline'!$P$9:$R$147,3,0))</f>
      </c>
      <c r="C83" s="3322" t="e">
        <f t="array" ref="C83">IF(A83="","",G82)</f>
      </c>
      <c r="D83" s="4016" t="e">
        <f t="array" ref="D83">IF(A83="","",-PMT($C$6/12,$G$4*12,$C$5,0,0))</f>
      </c>
      <c r="E83" s="3322" t="e">
        <f t="array" ref="E83">IF(A83="","",IF(A83&lt;$G$6,0,-PPMT($C$6/12,$O83,$G$4*12,$C83,0,0)))</f>
      </c>
      <c r="F83" s="3322" t="e">
        <f t="array" ref="F83">IF(A83="","",-IPMT($C$6/12,$O83,$G$4*12,$C83,0,0))</f>
      </c>
      <c r="G83" s="3322" t="e">
        <f t="array" ref="G83">IF(A83="","",C83-E83)</f>
      </c>
      <c r="H83" s="26" t="n"/>
      <c r="I83" s="26" t="n"/>
      <c r="J83" s="2100" t="n"/>
      <c r="K83" s="211" t="e">
        <f t="array" ref="K83">IF(A83="","",YEAR(B83))</f>
      </c>
      <c r="L83" s="26" t="n"/>
      <c r="M83" s="26" t="n"/>
      <c r="N83" s="26" t="n"/>
      <c r="O83" s="26" t="n">
        <v>73</v>
      </c>
      <c r="P83" s="26" t="n"/>
      <c r="Q83" s="26" t="n"/>
      <c r="R83" s="26" t="n"/>
      <c r="S83" s="26" t="n"/>
      <c r="T83" s="26" t="n"/>
      <c r="U83" s="27" t="n"/>
    </row>
    <row r="84" s="3154" customFormat="1" ht="13.5" customHeight="1">
      <c r="A84" s="1101" t="e">
        <f t="array" ref="A84">IF(A83="","",IF(A83+1&gt;'Assumptions'!$D$133,"",A83+1))</f>
      </c>
      <c r="B84" s="4015" t="e">
        <f t="array" ref="B84">IF(A84="","",VLOOKUP(A84,'S&amp;U-Timeline'!$P$9:$R$147,3,0))</f>
      </c>
      <c r="C84" s="3322" t="e">
        <f t="array" ref="C84">IF(A84="","",G83)</f>
      </c>
      <c r="D84" s="4016" t="e">
        <f t="array" ref="D84">IF(A84="","",-PMT($C$6/12,$G$4*12,$C$5,0,0))</f>
      </c>
      <c r="E84" s="3322" t="e">
        <f t="array" ref="E84">IF(A84="","",IF(A84&lt;$G$6,0,-PPMT($C$6/12,$O84,$G$4*12,$C84,0,0)))</f>
      </c>
      <c r="F84" s="3322" t="e">
        <f t="array" ref="F84">IF(A84="","",-IPMT($C$6/12,$O84,$G$4*12,$C84,0,0))</f>
      </c>
      <c r="G84" s="3322" t="e">
        <f t="array" ref="G84">IF(A84="","",C84-E84)</f>
      </c>
      <c r="H84" s="26" t="n"/>
      <c r="I84" s="26" t="n"/>
      <c r="J84" s="2100" t="n"/>
      <c r="K84" s="211" t="e">
        <f t="array" ref="K84">IF(A84="","",YEAR(B84))</f>
      </c>
      <c r="L84" s="26" t="n"/>
      <c r="M84" s="26" t="n"/>
      <c r="N84" s="26" t="n"/>
      <c r="O84" s="26" t="n">
        <v>74</v>
      </c>
      <c r="P84" s="26" t="n"/>
      <c r="Q84" s="26" t="n"/>
      <c r="R84" s="26" t="n"/>
      <c r="S84" s="26" t="n"/>
      <c r="T84" s="26" t="n"/>
      <c r="U84" s="27" t="n"/>
    </row>
    <row r="85" s="3154" customFormat="1" ht="13.5" customHeight="1">
      <c r="A85" s="1101" t="e">
        <f t="array" ref="A85">IF(A84="","",IF(A84+1&gt;'Assumptions'!$D$133,"",A84+1))</f>
      </c>
      <c r="B85" s="4015" t="e">
        <f t="array" ref="B85">IF(A85="","",VLOOKUP(A85,'S&amp;U-Timeline'!$P$9:$R$147,3,0))</f>
      </c>
      <c r="C85" s="3322" t="e">
        <f t="array" ref="C85">IF(A85="","",G84)</f>
      </c>
      <c r="D85" s="4016" t="e">
        <f t="array" ref="D85">IF(A85="","",-PMT($C$6/12,$G$4*12,$C$5,0,0))</f>
      </c>
      <c r="E85" s="3322" t="e">
        <f t="array" ref="E85">IF(A85="","",IF(A85&lt;$G$6,0,-PPMT($C$6/12,$O85,$G$4*12,$C85,0,0)))</f>
      </c>
      <c r="F85" s="3322" t="e">
        <f t="array" ref="F85">IF(A85="","",-IPMT($C$6/12,$O85,$G$4*12,$C85,0,0))</f>
      </c>
      <c r="G85" s="3322" t="e">
        <f t="array" ref="G85">IF(A85="","",C85-E85)</f>
      </c>
      <c r="H85" s="26" t="n"/>
      <c r="I85" s="26" t="n"/>
      <c r="J85" s="2100" t="n"/>
      <c r="K85" s="211" t="e">
        <f t="array" ref="K85">IF(A85="","",YEAR(B85))</f>
      </c>
      <c r="L85" s="26" t="n"/>
      <c r="M85" s="26" t="n"/>
      <c r="N85" s="26" t="n"/>
      <c r="O85" s="26" t="n">
        <v>75</v>
      </c>
      <c r="P85" s="26" t="n"/>
      <c r="Q85" s="26" t="n"/>
      <c r="R85" s="26" t="n"/>
      <c r="S85" s="26" t="n"/>
      <c r="T85" s="26" t="n"/>
      <c r="U85" s="27" t="n"/>
    </row>
    <row r="86" s="3154" customFormat="1" ht="13.5" customHeight="1">
      <c r="A86" s="1101" t="e">
        <f t="array" ref="A86">IF(A85="","",IF(A85+1&gt;'Assumptions'!$D$133,"",A85+1))</f>
      </c>
      <c r="B86" s="4015" t="e">
        <f t="array" ref="B86">IF(A86="","",VLOOKUP(A86,'S&amp;U-Timeline'!$P$9:$R$147,3,0))</f>
      </c>
      <c r="C86" s="3322" t="e">
        <f t="array" ref="C86">IF(A86="","",G85)</f>
      </c>
      <c r="D86" s="4016" t="e">
        <f t="array" ref="D86">IF(A86="","",-PMT($C$6/12,$G$4*12,$C$5,0,0))</f>
      </c>
      <c r="E86" s="3322" t="e">
        <f t="array" ref="E86">IF(A86="","",IF(A86&lt;$G$6,0,-PPMT($C$6/12,$O86,$G$4*12,$C86,0,0)))</f>
      </c>
      <c r="F86" s="3322" t="e">
        <f t="array" ref="F86">IF(A86="","",-IPMT($C$6/12,$O86,$G$4*12,$C86,0,0))</f>
      </c>
      <c r="G86" s="3322" t="e">
        <f t="array" ref="G86">IF(A86="","",C86-E86)</f>
      </c>
      <c r="H86" s="26" t="n"/>
      <c r="I86" s="26" t="n"/>
      <c r="J86" s="2100" t="n"/>
      <c r="K86" s="211" t="e">
        <f t="array" ref="K86">IF(A86="","",YEAR(B86))</f>
      </c>
      <c r="L86" s="26" t="n"/>
      <c r="M86" s="26" t="n"/>
      <c r="N86" s="26" t="n"/>
      <c r="O86" s="26" t="n">
        <v>76</v>
      </c>
      <c r="P86" s="26" t="n"/>
      <c r="Q86" s="26" t="n"/>
      <c r="R86" s="26" t="n"/>
      <c r="S86" s="26" t="n"/>
      <c r="T86" s="26" t="n"/>
      <c r="U86" s="27" t="n"/>
    </row>
    <row r="87" s="3154" customFormat="1" ht="13.5" customHeight="1">
      <c r="A87" s="1101" t="e">
        <f t="array" ref="A87">IF(A86="","",IF(A86+1&gt;'Assumptions'!$D$133,"",A86+1))</f>
      </c>
      <c r="B87" s="4015" t="e">
        <f t="array" ref="B87">IF(A87="","",VLOOKUP(A87,'S&amp;U-Timeline'!$P$9:$R$147,3,0))</f>
      </c>
      <c r="C87" s="3322" t="e">
        <f t="array" ref="C87">IF(A87="","",G86)</f>
      </c>
      <c r="D87" s="4016" t="e">
        <f t="array" ref="D87">IF(A87="","",-PMT($C$6/12,$G$4*12,$C$5,0,0))</f>
      </c>
      <c r="E87" s="3322" t="e">
        <f t="array" ref="E87">IF(A87="","",IF(A87&lt;$G$6,0,-PPMT($C$6/12,$O87,$G$4*12,$C87,0,0)))</f>
      </c>
      <c r="F87" s="3322" t="e">
        <f t="array" ref="F87">IF(A87="","",-IPMT($C$6/12,$O87,$G$4*12,$C87,0,0))</f>
      </c>
      <c r="G87" s="3322" t="e">
        <f t="array" ref="G87">IF(A87="","",C87-E87)</f>
      </c>
      <c r="H87" s="26" t="n"/>
      <c r="I87" s="26" t="n"/>
      <c r="J87" s="2100" t="n"/>
      <c r="K87" s="211" t="e">
        <f t="array" ref="K87">IF(A87="","",YEAR(B87))</f>
      </c>
      <c r="L87" s="26" t="n"/>
      <c r="M87" s="26" t="n"/>
      <c r="N87" s="26" t="n"/>
      <c r="O87" s="26" t="n">
        <v>77</v>
      </c>
      <c r="P87" s="26" t="n"/>
      <c r="Q87" s="26" t="n"/>
      <c r="R87" s="26" t="n"/>
      <c r="S87" s="26" t="n"/>
      <c r="T87" s="26" t="n"/>
      <c r="U87" s="27" t="n"/>
    </row>
    <row r="88" s="3154" customFormat="1" ht="13.5" customHeight="1">
      <c r="A88" s="1101" t="e">
        <f t="array" ref="A88">IF(A87="","",IF(A87+1&gt;'Assumptions'!$D$133,"",A87+1))</f>
      </c>
      <c r="B88" s="4015" t="e">
        <f t="array" ref="B88">IF(A88="","",VLOOKUP(A88,'S&amp;U-Timeline'!$P$9:$R$147,3,0))</f>
      </c>
      <c r="C88" s="3322" t="e">
        <f t="array" ref="C88">IF(A88="","",G87)</f>
      </c>
      <c r="D88" s="4016" t="e">
        <f t="array" ref="D88">IF(A88="","",-PMT($C$6/12,$G$4*12,$C$5,0,0))</f>
      </c>
      <c r="E88" s="3322" t="e">
        <f t="array" ref="E88">IF(A88="","",IF(A88&lt;$G$6,0,-PPMT($C$6/12,$O88,$G$4*12,$C88,0,0)))</f>
      </c>
      <c r="F88" s="3322" t="e">
        <f t="array" ref="F88">IF(A88="","",-IPMT($C$6/12,$O88,$G$4*12,$C88,0,0))</f>
      </c>
      <c r="G88" s="3322" t="e">
        <f t="array" ref="G88">IF(A88="","",C88-E88)</f>
      </c>
      <c r="H88" s="26" t="n"/>
      <c r="I88" s="26" t="n"/>
      <c r="J88" s="2100" t="n"/>
      <c r="K88" s="211" t="e">
        <f t="array" ref="K88">IF(A88="","",YEAR(B88))</f>
      </c>
      <c r="L88" s="26" t="n"/>
      <c r="M88" s="26" t="n"/>
      <c r="N88" s="26" t="n"/>
      <c r="O88" s="26" t="n">
        <v>78</v>
      </c>
      <c r="P88" s="26" t="n"/>
      <c r="Q88" s="26" t="n"/>
      <c r="R88" s="26" t="n"/>
      <c r="S88" s="26" t="n"/>
      <c r="T88" s="26" t="n"/>
      <c r="U88" s="27" t="n"/>
    </row>
    <row r="89" s="3154" customFormat="1" ht="13.5" customHeight="1">
      <c r="A89" s="1101" t="e">
        <f t="array" ref="A89">IF(A88="","",IF(A88+1&gt;'Assumptions'!$D$133,"",A88+1))</f>
      </c>
      <c r="B89" s="4015" t="e">
        <f t="array" ref="B89">IF(A89="","",VLOOKUP(A89,'S&amp;U-Timeline'!$P$9:$R$147,3,0))</f>
      </c>
      <c r="C89" s="3322" t="e">
        <f t="array" ref="C89">IF(A89="","",G88)</f>
      </c>
      <c r="D89" s="4016" t="e">
        <f t="array" ref="D89">IF(A89="","",-PMT($C$6/12,$G$4*12,$C$5,0,0))</f>
      </c>
      <c r="E89" s="3322" t="e">
        <f t="array" ref="E89">IF(A89="","",IF(A89&lt;$G$6,0,-PPMT($C$6/12,$O89,$G$4*12,$C89,0,0)))</f>
      </c>
      <c r="F89" s="3322" t="e">
        <f t="array" ref="F89">IF(A89="","",-IPMT($C$6/12,$O89,$G$4*12,$C89,0,0))</f>
      </c>
      <c r="G89" s="3322" t="e">
        <f t="array" ref="G89">IF(A89="","",C89-E89)</f>
      </c>
      <c r="H89" s="26" t="n"/>
      <c r="I89" s="26" t="n"/>
      <c r="J89" s="2100" t="n"/>
      <c r="K89" s="211" t="e">
        <f t="array" ref="K89">IF(A89="","",YEAR(B89))</f>
      </c>
      <c r="L89" s="26" t="n"/>
      <c r="M89" s="26" t="n"/>
      <c r="N89" s="26" t="n"/>
      <c r="O89" s="26" t="n">
        <v>79</v>
      </c>
      <c r="P89" s="26" t="n"/>
      <c r="Q89" s="26" t="n"/>
      <c r="R89" s="26" t="n"/>
      <c r="S89" s="26" t="n"/>
      <c r="T89" s="26" t="n"/>
      <c r="U89" s="27" t="n"/>
    </row>
    <row r="90" s="3154" customFormat="1" ht="13.5" customHeight="1">
      <c r="A90" s="1101" t="e">
        <f t="array" ref="A90">IF(A89="","",IF(A89+1&gt;'Assumptions'!$D$133,"",A89+1))</f>
      </c>
      <c r="B90" s="4015" t="e">
        <f t="array" ref="B90">IF(A90="","",VLOOKUP(A90,'S&amp;U-Timeline'!$P$9:$R$147,3,0))</f>
      </c>
      <c r="C90" s="3322" t="e">
        <f t="array" ref="C90">IF(A90="","",G89)</f>
      </c>
      <c r="D90" s="4016" t="e">
        <f t="array" ref="D90">IF(A90="","",-PMT($C$6/12,$G$4*12,$C$5,0,0))</f>
      </c>
      <c r="E90" s="3322" t="e">
        <f t="array" ref="E90">IF(A90="","",IF(A90&lt;$G$6,0,-PPMT($C$6/12,$O90,$G$4*12,$C90,0,0)))</f>
      </c>
      <c r="F90" s="3322" t="e">
        <f t="array" ref="F90">IF(A90="","",-IPMT($C$6/12,$O90,$G$4*12,$C90,0,0))</f>
      </c>
      <c r="G90" s="3322" t="e">
        <f t="array" ref="G90">IF(A90="","",C90-E90)</f>
      </c>
      <c r="H90" s="26" t="n"/>
      <c r="I90" s="26" t="n"/>
      <c r="J90" s="2100" t="n"/>
      <c r="K90" s="211" t="e">
        <f t="array" ref="K90">IF(A90="","",YEAR(B90))</f>
      </c>
      <c r="L90" s="26" t="n"/>
      <c r="M90" s="26" t="n"/>
      <c r="N90" s="26" t="n"/>
      <c r="O90" s="26" t="n">
        <v>80</v>
      </c>
      <c r="P90" s="26" t="n"/>
      <c r="Q90" s="26" t="n"/>
      <c r="R90" s="26" t="n"/>
      <c r="S90" s="26" t="n"/>
      <c r="T90" s="26" t="n"/>
      <c r="U90" s="27" t="n"/>
    </row>
    <row r="91" s="3154" customFormat="1" ht="13.5" customHeight="1">
      <c r="A91" s="1101" t="e">
        <f t="array" ref="A91">IF(A90="","",IF(A90+1&gt;'Assumptions'!$D$133,"",A90+1))</f>
      </c>
      <c r="B91" s="4015" t="e">
        <f t="array" ref="B91">IF(A91="","",VLOOKUP(A91,'S&amp;U-Timeline'!$P$9:$R$147,3,0))</f>
      </c>
      <c r="C91" s="3322" t="e">
        <f t="array" ref="C91">IF(A91="","",G90)</f>
      </c>
      <c r="D91" s="4016" t="e">
        <f t="array" ref="D91">IF(A91="","",-PMT($C$6/12,$G$4*12,$C$5,0,0))</f>
      </c>
      <c r="E91" s="3322" t="e">
        <f t="array" ref="E91">IF(A91="","",IF(A91&lt;$G$6,0,-PPMT($C$6/12,$O91,$G$4*12,$C91,0,0)))</f>
      </c>
      <c r="F91" s="3322" t="e">
        <f t="array" ref="F91">IF(A91="","",-IPMT($C$6/12,$O91,$G$4*12,$C91,0,0))</f>
      </c>
      <c r="G91" s="3322" t="e">
        <f t="array" ref="G91">IF(A91="","",C91-E91)</f>
      </c>
      <c r="H91" s="26" t="n"/>
      <c r="I91" s="26" t="n"/>
      <c r="J91" s="2100" t="n"/>
      <c r="K91" s="211" t="e">
        <f t="array" ref="K91">IF(A91="","",YEAR(B91))</f>
      </c>
      <c r="L91" s="26" t="n"/>
      <c r="M91" s="26" t="n"/>
      <c r="N91" s="26" t="n"/>
      <c r="O91" s="26" t="n">
        <v>81</v>
      </c>
      <c r="P91" s="26" t="n"/>
      <c r="Q91" s="26" t="n"/>
      <c r="R91" s="26" t="n"/>
      <c r="S91" s="26" t="n"/>
      <c r="T91" s="26" t="n"/>
      <c r="U91" s="27" t="n"/>
    </row>
    <row r="92" s="3154" customFormat="1" ht="13.5" customHeight="1">
      <c r="A92" s="1101" t="e">
        <f t="array" ref="A92">IF(A91="","",IF(A91+1&gt;'Assumptions'!$D$133,"",A91+1))</f>
      </c>
      <c r="B92" s="4015" t="e">
        <f t="array" ref="B92">IF(A92="","",VLOOKUP(A92,'S&amp;U-Timeline'!$P$9:$R$147,3,0))</f>
      </c>
      <c r="C92" s="3322" t="e">
        <f t="array" ref="C92">IF(A92="","",G91)</f>
      </c>
      <c r="D92" s="4016" t="e">
        <f t="array" ref="D92">IF(A92="","",-PMT($C$6/12,$G$4*12,$C$5,0,0))</f>
      </c>
      <c r="E92" s="3322" t="e">
        <f t="array" ref="E92">IF(A92="","",IF(A92&lt;$G$6,0,-PPMT($C$6/12,$O92,$G$4*12,$C92,0,0)))</f>
      </c>
      <c r="F92" s="3322" t="e">
        <f t="array" ref="F92">IF(A92="","",-IPMT($C$6/12,$O92,$G$4*12,$C92,0,0))</f>
      </c>
      <c r="G92" s="3322" t="e">
        <f t="array" ref="G92">IF(A92="","",C92-E92)</f>
      </c>
      <c r="H92" s="26" t="n"/>
      <c r="I92" s="26" t="n"/>
      <c r="J92" s="2100" t="n"/>
      <c r="K92" s="211" t="e">
        <f t="array" ref="K92">IF(A92="","",YEAR(B92))</f>
      </c>
      <c r="L92" s="26" t="n"/>
      <c r="M92" s="26" t="n"/>
      <c r="N92" s="26" t="n"/>
      <c r="O92" s="26" t="n">
        <v>82</v>
      </c>
      <c r="P92" s="26" t="n"/>
      <c r="Q92" s="26" t="n"/>
      <c r="R92" s="26" t="n"/>
      <c r="S92" s="26" t="n"/>
      <c r="T92" s="26" t="n"/>
      <c r="U92" s="27" t="n"/>
    </row>
    <row r="93" s="3154" customFormat="1" ht="13.5" customHeight="1">
      <c r="A93" s="1101" t="e">
        <f t="array" ref="A93">IF(A92="","",IF(A92+1&gt;'Assumptions'!$D$133,"",A92+1))</f>
      </c>
      <c r="B93" s="4015" t="e">
        <f t="array" ref="B93">IF(A93="","",VLOOKUP(A93,'S&amp;U-Timeline'!$P$9:$R$147,3,0))</f>
      </c>
      <c r="C93" s="3322" t="e">
        <f t="array" ref="C93">IF(A93="","",G92)</f>
      </c>
      <c r="D93" s="4016" t="e">
        <f t="array" ref="D93">IF(A93="","",-PMT($C$6/12,$G$4*12,$C$5,0,0))</f>
      </c>
      <c r="E93" s="3322" t="e">
        <f t="array" ref="E93">IF(A93="","",IF(A93&lt;$G$6,0,-PPMT($C$6/12,$O93,$G$4*12,$C93,0,0)))</f>
      </c>
      <c r="F93" s="3322" t="e">
        <f t="array" ref="F93">IF(A93="","",-IPMT($C$6/12,$O93,$G$4*12,$C93,0,0))</f>
      </c>
      <c r="G93" s="3322" t="e">
        <f t="array" ref="G93">IF(A93="","",C93-E93)</f>
      </c>
      <c r="H93" s="26" t="n"/>
      <c r="I93" s="26" t="n"/>
      <c r="J93" s="2100" t="n"/>
      <c r="K93" s="211" t="e">
        <f t="array" ref="K93">IF(A93="","",YEAR(B93))</f>
      </c>
      <c r="L93" s="26" t="n"/>
      <c r="M93" s="26" t="n"/>
      <c r="N93" s="26" t="n"/>
      <c r="O93" s="26" t="n">
        <v>83</v>
      </c>
      <c r="P93" s="26" t="n"/>
      <c r="Q93" s="26" t="n"/>
      <c r="R93" s="26" t="n"/>
      <c r="S93" s="26" t="n"/>
      <c r="T93" s="26" t="n"/>
      <c r="U93" s="27" t="n"/>
    </row>
    <row r="94" s="3154" customFormat="1" ht="13.5" customHeight="1">
      <c r="A94" s="1101" t="e">
        <f t="array" ref="A94">IF(A93="","",IF(A93+1&gt;'Assumptions'!$D$133,"",A93+1))</f>
      </c>
      <c r="B94" s="4015" t="e">
        <f t="array" ref="B94">IF(A94="","",VLOOKUP(A94,'S&amp;U-Timeline'!$P$9:$R$147,3,0))</f>
      </c>
      <c r="C94" s="3322" t="e">
        <f t="array" ref="C94">IF(A94="","",G93)</f>
      </c>
      <c r="D94" s="4016" t="e">
        <f t="array" ref="D94">IF(A94="","",-PMT($C$6/12,$G$4*12,$C$5,0,0))</f>
      </c>
      <c r="E94" s="3322" t="e">
        <f t="array" ref="E94">IF(A94="","",IF(A94&lt;$G$6,0,-PPMT($C$6/12,$O94,$G$4*12,$C94,0,0)))</f>
      </c>
      <c r="F94" s="3322" t="e">
        <f t="array" ref="F94">IF(A94="","",-IPMT($C$6/12,$O94,$G$4*12,$C94,0,0))</f>
      </c>
      <c r="G94" s="3322" t="e">
        <f t="array" ref="G94">IF(A94="","",C94-E94)</f>
      </c>
      <c r="H94" s="26" t="n"/>
      <c r="I94" s="26" t="n"/>
      <c r="J94" s="2100" t="n"/>
      <c r="K94" s="211" t="e">
        <f t="array" ref="K94">IF(A94="","",YEAR(B94))</f>
      </c>
      <c r="L94" s="26" t="n"/>
      <c r="M94" s="26" t="n"/>
      <c r="N94" s="26" t="n"/>
      <c r="O94" s="26" t="n">
        <v>84</v>
      </c>
      <c r="P94" s="26" t="n"/>
      <c r="Q94" s="26" t="n"/>
      <c r="R94" s="26" t="n"/>
      <c r="S94" s="26" t="n"/>
      <c r="T94" s="26" t="n"/>
      <c r="U94" s="27" t="n"/>
    </row>
    <row r="95" s="3154" customFormat="1" ht="13.5" customHeight="1">
      <c r="A95" s="1101" t="e">
        <f t="array" ref="A95">IF(A94="","",IF(A94+1&gt;'Assumptions'!$D$133,"",A94+1))</f>
      </c>
      <c r="B95" s="4015" t="e">
        <f t="array" ref="B95">IF(A95="","",VLOOKUP(A95,'S&amp;U-Timeline'!$P$9:$R$147,3,0))</f>
      </c>
      <c r="C95" s="3322" t="e">
        <f t="array" ref="C95">IF(A95="","",G94)</f>
      </c>
      <c r="D95" s="4016" t="e">
        <f t="array" ref="D95">IF(A95="","",-PMT($C$6/12,$G$4*12,$C$5,0,0))</f>
      </c>
      <c r="E95" s="3322" t="e">
        <f t="array" ref="E95">IF(A95="","",IF(A95&lt;$G$6,0,-PPMT($C$6/12,$O95,$G$4*12,$C95,0,0)))</f>
      </c>
      <c r="F95" s="3322" t="e">
        <f t="array" ref="F95">IF(A95="","",-IPMT($C$6/12,$O95,$G$4*12,$C95,0,0))</f>
      </c>
      <c r="G95" s="3322" t="e">
        <f t="array" ref="G95">IF(A95="","",C95-E95)</f>
      </c>
      <c r="H95" s="26" t="n"/>
      <c r="I95" s="26" t="n"/>
      <c r="J95" s="2100" t="n"/>
      <c r="K95" s="211" t="e">
        <f t="array" ref="K95">IF(A95="","",YEAR(B95))</f>
      </c>
      <c r="L95" s="26" t="n"/>
      <c r="M95" s="26" t="n"/>
      <c r="N95" s="26" t="n"/>
      <c r="O95" s="26" t="n">
        <v>85</v>
      </c>
      <c r="P95" s="26" t="n"/>
      <c r="Q95" s="26" t="n"/>
      <c r="R95" s="26" t="n"/>
      <c r="S95" s="26" t="n"/>
      <c r="T95" s="26" t="n"/>
      <c r="U95" s="27" t="n"/>
    </row>
    <row r="96" s="3154" customFormat="1" ht="13.5" customHeight="1">
      <c r="A96" s="1101" t="e">
        <f t="array" ref="A96">IF(A95="","",IF(A95+1&gt;'Assumptions'!$D$133,"",A95+1))</f>
      </c>
      <c r="B96" s="4015" t="e">
        <f t="array" ref="B96">IF(A96="","",VLOOKUP(A96,'S&amp;U-Timeline'!$P$9:$R$147,3,0))</f>
      </c>
      <c r="C96" s="3322" t="e">
        <f t="array" ref="C96">IF(A96="","",G95)</f>
      </c>
      <c r="D96" s="4016" t="e">
        <f t="array" ref="D96">IF(A96="","",-PMT($C$6/12,$G$4*12,$C$5,0,0))</f>
      </c>
      <c r="E96" s="3322" t="e">
        <f t="array" ref="E96">IF(A96="","",IF(A96&lt;$G$6,0,-PPMT($C$6/12,$O96,$G$4*12,$C96,0,0)))</f>
      </c>
      <c r="F96" s="3322" t="e">
        <f t="array" ref="F96">IF(A96="","",-IPMT($C$6/12,$O96,$G$4*12,$C96,0,0))</f>
      </c>
      <c r="G96" s="3322" t="e">
        <f t="array" ref="G96">IF(A96="","",C96-E96)</f>
      </c>
      <c r="H96" s="26" t="n"/>
      <c r="I96" s="26" t="n"/>
      <c r="J96" s="2100" t="n"/>
      <c r="K96" s="211" t="e">
        <f t="array" ref="K96">IF(A96="","",YEAR(B96))</f>
      </c>
      <c r="L96" s="26" t="n"/>
      <c r="M96" s="26" t="n"/>
      <c r="N96" s="26" t="n"/>
      <c r="O96" s="26" t="n">
        <v>86</v>
      </c>
      <c r="P96" s="26" t="n"/>
      <c r="Q96" s="26" t="n"/>
      <c r="R96" s="26" t="n"/>
      <c r="S96" s="26" t="n"/>
      <c r="T96" s="26" t="n"/>
      <c r="U96" s="27" t="n"/>
    </row>
    <row r="97" s="3154" customFormat="1" ht="13.5" customHeight="1">
      <c r="A97" s="1101" t="e">
        <f t="array" ref="A97">IF(A96="","",IF(A96+1&gt;'Assumptions'!$D$133,"",A96+1))</f>
      </c>
      <c r="B97" s="4015" t="e">
        <f t="array" ref="B97">IF(A97="","",VLOOKUP(A97,'S&amp;U-Timeline'!$P$9:$R$147,3,0))</f>
      </c>
      <c r="C97" s="3322" t="e">
        <f t="array" ref="C97">IF(A97="","",G96)</f>
      </c>
      <c r="D97" s="4016" t="e">
        <f t="array" ref="D97">IF(A97="","",-PMT($C$6/12,$G$4*12,$C$5,0,0))</f>
      </c>
      <c r="E97" s="3322" t="e">
        <f t="array" ref="E97">IF(A97="","",IF(A97&lt;$G$6,0,-PPMT($C$6/12,$O97,$G$4*12,$C97,0,0)))</f>
      </c>
      <c r="F97" s="3322" t="e">
        <f t="array" ref="F97">IF(A97="","",-IPMT($C$6/12,$O97,$G$4*12,$C97,0,0))</f>
      </c>
      <c r="G97" s="3322" t="e">
        <f t="array" ref="G97">IF(A97="","",C97-E97)</f>
      </c>
      <c r="H97" s="26" t="n"/>
      <c r="I97" s="26" t="n"/>
      <c r="J97" s="2100" t="n"/>
      <c r="K97" s="211" t="e">
        <f t="array" ref="K97">IF(A97="","",YEAR(B97))</f>
      </c>
      <c r="L97" s="26" t="n"/>
      <c r="M97" s="26" t="n"/>
      <c r="N97" s="26" t="n"/>
      <c r="O97" s="26" t="n">
        <v>87</v>
      </c>
      <c r="P97" s="26" t="n"/>
      <c r="Q97" s="26" t="n"/>
      <c r="R97" s="26" t="n"/>
      <c r="S97" s="26" t="n"/>
      <c r="T97" s="26" t="n"/>
      <c r="U97" s="27" t="n"/>
    </row>
    <row r="98" s="3154" customFormat="1" ht="13.5" customHeight="1">
      <c r="A98" s="1101" t="e">
        <f t="array" ref="A98">IF(A97="","",IF(A97+1&gt;'Assumptions'!$D$133,"",A97+1))</f>
      </c>
      <c r="B98" s="4015" t="e">
        <f t="array" ref="B98">IF(A98="","",VLOOKUP(A98,'S&amp;U-Timeline'!$P$9:$R$147,3,0))</f>
      </c>
      <c r="C98" s="3322" t="e">
        <f t="array" ref="C98">IF(A98="","",G97)</f>
      </c>
      <c r="D98" s="4016" t="e">
        <f t="array" ref="D98">IF(A98="","",-PMT($C$6/12,$G$4*12,$C$5,0,0))</f>
      </c>
      <c r="E98" s="3322" t="e">
        <f t="array" ref="E98">IF(A98="","",IF(A98&lt;$G$6,0,-PPMT($C$6/12,$O98,$G$4*12,$C98,0,0)))</f>
      </c>
      <c r="F98" s="3322" t="e">
        <f t="array" ref="F98">IF(A98="","",-IPMT($C$6/12,$O98,$G$4*12,$C98,0,0))</f>
      </c>
      <c r="G98" s="3322" t="e">
        <f t="array" ref="G98">IF(A98="","",C98-E98)</f>
      </c>
      <c r="H98" s="26" t="n"/>
      <c r="I98" s="26" t="n"/>
      <c r="J98" s="2100" t="n"/>
      <c r="K98" s="211" t="e">
        <f t="array" ref="K98">IF(A98="","",YEAR(B98))</f>
      </c>
      <c r="L98" s="26" t="n"/>
      <c r="M98" s="26" t="n"/>
      <c r="N98" s="26" t="n"/>
      <c r="O98" s="26" t="n">
        <v>88</v>
      </c>
      <c r="P98" s="26" t="n"/>
      <c r="Q98" s="26" t="n"/>
      <c r="R98" s="26" t="n"/>
      <c r="S98" s="26" t="n"/>
      <c r="T98" s="26" t="n"/>
      <c r="U98" s="27" t="n"/>
    </row>
    <row r="99" s="3154" customFormat="1" ht="13.5" customHeight="1">
      <c r="A99" s="1101" t="e">
        <f t="array" ref="A99">IF(A98="","",IF(A98+1&gt;'Assumptions'!$D$133,"",A98+1))</f>
      </c>
      <c r="B99" s="4015" t="e">
        <f t="array" ref="B99">IF(A99="","",VLOOKUP(A99,'S&amp;U-Timeline'!$P$9:$R$147,3,0))</f>
      </c>
      <c r="C99" s="3322" t="e">
        <f t="array" ref="C99">IF(A99="","",G98)</f>
      </c>
      <c r="D99" s="4016" t="e">
        <f t="array" ref="D99">IF(A99="","",-PMT($C$6/12,$G$4*12,$C$5,0,0))</f>
      </c>
      <c r="E99" s="3322" t="e">
        <f t="array" ref="E99">IF(A99="","",IF(A99&lt;$G$6,0,-PPMT($C$6/12,$O99,$G$4*12,$C99,0,0)))</f>
      </c>
      <c r="F99" s="3322" t="e">
        <f t="array" ref="F99">IF(A99="","",-IPMT($C$6/12,$O99,$G$4*12,$C99,0,0))</f>
      </c>
      <c r="G99" s="3322" t="e">
        <f t="array" ref="G99">IF(A99="","",C99-E99)</f>
      </c>
      <c r="H99" s="26" t="n"/>
      <c r="I99" s="26" t="n"/>
      <c r="J99" s="2100" t="n"/>
      <c r="K99" s="211" t="e">
        <f t="array" ref="K99">IF(A99="","",YEAR(B99))</f>
      </c>
      <c r="L99" s="26" t="n"/>
      <c r="M99" s="26" t="n"/>
      <c r="N99" s="26" t="n"/>
      <c r="O99" s="26" t="n">
        <v>89</v>
      </c>
      <c r="P99" s="26" t="n"/>
      <c r="Q99" s="26" t="n"/>
      <c r="R99" s="26" t="n"/>
      <c r="S99" s="26" t="n"/>
      <c r="T99" s="26" t="n"/>
      <c r="U99" s="27" t="n"/>
    </row>
    <row r="100" s="3154" customFormat="1" ht="13.5" customHeight="1">
      <c r="A100" s="1101" t="e">
        <f t="array" ref="A100">IF(A99="","",IF(A99+1&gt;'Assumptions'!$D$133,"",A99+1))</f>
      </c>
      <c r="B100" s="4015" t="e">
        <f t="array" ref="B100">IF(A100="","",VLOOKUP(A100,'S&amp;U-Timeline'!$P$9:$R$147,3,0))</f>
      </c>
      <c r="C100" s="3322" t="e">
        <f t="array" ref="C100">IF(A100="","",G99)</f>
      </c>
      <c r="D100" s="4016" t="e">
        <f t="array" ref="D100">IF(A100="","",-PMT($C$6/12,$G$4*12,$C$5,0,0))</f>
      </c>
      <c r="E100" s="3322" t="e">
        <f t="array" ref="E100">IF(A100="","",IF(A100&lt;$G$6,0,-PPMT($C$6/12,$O100,$G$4*12,$C100,0,0)))</f>
      </c>
      <c r="F100" s="3322" t="e">
        <f t="array" ref="F100">IF(A100="","",-IPMT($C$6/12,$O100,$G$4*12,$C100,0,0))</f>
      </c>
      <c r="G100" s="3322" t="e">
        <f t="array" ref="G100">IF(A100="","",C100-E100)</f>
      </c>
      <c r="H100" s="26" t="n"/>
      <c r="I100" s="26" t="n"/>
      <c r="J100" s="2100" t="n"/>
      <c r="K100" s="211" t="e">
        <f t="array" ref="K100">IF(A100="","",YEAR(B100))</f>
      </c>
      <c r="L100" s="26" t="n"/>
      <c r="M100" s="26" t="n"/>
      <c r="N100" s="26" t="n"/>
      <c r="O100" s="26" t="n">
        <v>90</v>
      </c>
      <c r="P100" s="26" t="n"/>
      <c r="Q100" s="26" t="n"/>
      <c r="R100" s="26" t="n"/>
      <c r="S100" s="26" t="n"/>
      <c r="T100" s="26" t="n"/>
      <c r="U100" s="27" t="n"/>
    </row>
    <row r="101" s="3154" customFormat="1" ht="13.5" customHeight="1">
      <c r="A101" s="1101" t="e">
        <f t="array" ref="A101">IF(A100="","",IF(A100+1&gt;'Assumptions'!$D$133,"",A100+1))</f>
      </c>
      <c r="B101" s="4015" t="e">
        <f t="array" ref="B101">IF(A101="","",VLOOKUP(A101,'S&amp;U-Timeline'!$P$9:$R$147,3,0))</f>
      </c>
      <c r="C101" s="3322" t="e">
        <f t="array" ref="C101">IF(A101="","",G100)</f>
      </c>
      <c r="D101" s="4016" t="e">
        <f t="array" ref="D101">IF(A101="","",-PMT($C$6/12,$G$4*12,$C$5,0,0))</f>
      </c>
      <c r="E101" s="3322" t="e">
        <f t="array" ref="E101">IF(A101="","",IF(A101&lt;$G$6,0,-PPMT($C$6/12,$O101,$G$4*12,$C101,0,0)))</f>
      </c>
      <c r="F101" s="3322" t="e">
        <f t="array" ref="F101">IF(A101="","",-IPMT($C$6/12,$O101,$G$4*12,$C101,0,0))</f>
      </c>
      <c r="G101" s="3322" t="e">
        <f t="array" ref="G101">IF(A101="","",C101-E101)</f>
      </c>
      <c r="H101" s="26" t="n"/>
      <c r="I101" s="26" t="n"/>
      <c r="J101" s="2100" t="n"/>
      <c r="K101" s="211" t="e">
        <f t="array" ref="K101">IF(A101="","",YEAR(B101))</f>
      </c>
      <c r="L101" s="26" t="n"/>
      <c r="M101" s="26" t="n"/>
      <c r="N101" s="26" t="n"/>
      <c r="O101" s="26" t="n">
        <v>91</v>
      </c>
      <c r="P101" s="26" t="n"/>
      <c r="Q101" s="26" t="n"/>
      <c r="R101" s="26" t="n"/>
      <c r="S101" s="26" t="n"/>
      <c r="T101" s="26" t="n"/>
      <c r="U101" s="27" t="n"/>
    </row>
    <row r="102" s="3154" customFormat="1" ht="13.5" customHeight="1">
      <c r="A102" s="1101" t="e">
        <f t="array" ref="A102">IF(A101="","",IF(A101+1&gt;'Assumptions'!$D$133,"",A101+1))</f>
      </c>
      <c r="B102" s="4015" t="e">
        <f t="array" ref="B102">IF(A102="","",VLOOKUP(A102,'S&amp;U-Timeline'!$P$9:$R$147,3,0))</f>
      </c>
      <c r="C102" s="3322" t="e">
        <f t="array" ref="C102">IF(A102="","",G101)</f>
      </c>
      <c r="D102" s="4016" t="e">
        <f t="array" ref="D102">IF(A102="","",-PMT($C$6/12,$G$4*12,$C$5,0,0))</f>
      </c>
      <c r="E102" s="3322" t="e">
        <f t="array" ref="E102">IF(A102="","",IF(A102&lt;$G$6,0,-PPMT($C$6/12,$O102,$G$4*12,$C102,0,0)))</f>
      </c>
      <c r="F102" s="3322" t="e">
        <f t="array" ref="F102">IF(A102="","",-IPMT($C$6/12,$O102,$G$4*12,$C102,0,0))</f>
      </c>
      <c r="G102" s="3322" t="e">
        <f t="array" ref="G102">IF(A102="","",C102-E102)</f>
      </c>
      <c r="H102" s="26" t="n"/>
      <c r="I102" s="26" t="n"/>
      <c r="J102" s="2100" t="n"/>
      <c r="K102" s="211" t="e">
        <f t="array" ref="K102">IF(A102="","",YEAR(B102))</f>
      </c>
      <c r="L102" s="26" t="n"/>
      <c r="M102" s="26" t="n"/>
      <c r="N102" s="26" t="n"/>
      <c r="O102" s="26" t="n">
        <v>92</v>
      </c>
      <c r="P102" s="26" t="n"/>
      <c r="Q102" s="26" t="n"/>
      <c r="R102" s="26" t="n"/>
      <c r="S102" s="26" t="n"/>
      <c r="T102" s="26" t="n"/>
      <c r="U102" s="27" t="n"/>
    </row>
    <row r="103" s="3154" customFormat="1" ht="13.5" customHeight="1">
      <c r="A103" s="1101" t="e">
        <f t="array" ref="A103">IF(A102="","",IF(A102+1&gt;'Assumptions'!$D$133,"",A102+1))</f>
      </c>
      <c r="B103" s="4015" t="e">
        <f t="array" ref="B103">IF(A103="","",VLOOKUP(A103,'S&amp;U-Timeline'!$P$9:$R$147,3,0))</f>
      </c>
      <c r="C103" s="3322" t="e">
        <f t="array" ref="C103">IF(A103="","",G102)</f>
      </c>
      <c r="D103" s="4016" t="e">
        <f t="array" ref="D103">IF(A103="","",-PMT($C$6/12,$G$4*12,$C$5,0,0))</f>
      </c>
      <c r="E103" s="3322" t="e">
        <f t="array" ref="E103">IF(A103="","",IF(A103&lt;$G$6,0,-PPMT($C$6/12,$O103,$G$4*12,$C103,0,0)))</f>
      </c>
      <c r="F103" s="3322" t="e">
        <f t="array" ref="F103">IF(A103="","",-IPMT($C$6/12,$O103,$G$4*12,$C103,0,0))</f>
      </c>
      <c r="G103" s="3322" t="e">
        <f t="array" ref="G103">IF(A103="","",C103-E103)</f>
      </c>
      <c r="H103" s="26" t="n"/>
      <c r="I103" s="26" t="n"/>
      <c r="J103" s="2100" t="n"/>
      <c r="K103" s="211" t="e">
        <f t="array" ref="K103">IF(A103="","",YEAR(B103))</f>
      </c>
      <c r="L103" s="26" t="n"/>
      <c r="M103" s="26" t="n"/>
      <c r="N103" s="26" t="n"/>
      <c r="O103" s="26" t="n">
        <v>93</v>
      </c>
      <c r="P103" s="26" t="n"/>
      <c r="Q103" s="26" t="n"/>
      <c r="R103" s="26" t="n"/>
      <c r="S103" s="26" t="n"/>
      <c r="T103" s="26" t="n"/>
      <c r="U103" s="27" t="n"/>
    </row>
    <row r="104" s="3154" customFormat="1" ht="13.5" customHeight="1">
      <c r="A104" s="1101" t="e">
        <f t="array" ref="A104">IF(A103="","",IF(A103+1&gt;'Assumptions'!$D$133,"",A103+1))</f>
      </c>
      <c r="B104" s="4015" t="e">
        <f t="array" ref="B104">IF(A104="","",VLOOKUP(A104,'S&amp;U-Timeline'!$P$9:$R$147,3,0))</f>
      </c>
      <c r="C104" s="3322" t="e">
        <f t="array" ref="C104">IF(A104="","",G103)</f>
      </c>
      <c r="D104" s="4016" t="e">
        <f t="array" ref="D104">IF(A104="","",-PMT($C$6/12,$G$4*12,$C$5,0,0))</f>
      </c>
      <c r="E104" s="3322" t="e">
        <f t="array" ref="E104">IF(A104="","",IF(A104&lt;$G$6,0,-PPMT($C$6/12,$O104,$G$4*12,$C104,0,0)))</f>
      </c>
      <c r="F104" s="3322" t="e">
        <f t="array" ref="F104">IF(A104="","",-IPMT($C$6/12,$O104,$G$4*12,$C104,0,0))</f>
      </c>
      <c r="G104" s="3322" t="e">
        <f t="array" ref="G104">IF(A104="","",C104-E104)</f>
      </c>
      <c r="H104" s="26" t="n"/>
      <c r="I104" s="26" t="n"/>
      <c r="J104" s="2100" t="n"/>
      <c r="K104" s="211" t="e">
        <f t="array" ref="K104">IF(A104="","",YEAR(B104))</f>
      </c>
      <c r="L104" s="26" t="n"/>
      <c r="M104" s="26" t="n"/>
      <c r="N104" s="26" t="n"/>
      <c r="O104" s="26" t="n">
        <v>94</v>
      </c>
      <c r="P104" s="26" t="n"/>
      <c r="Q104" s="26" t="n"/>
      <c r="R104" s="26" t="n"/>
      <c r="S104" s="26" t="n"/>
      <c r="T104" s="26" t="n"/>
      <c r="U104" s="27" t="n"/>
    </row>
    <row r="105" s="3154" customFormat="1" ht="13.5" customHeight="1">
      <c r="A105" s="1101" t="e">
        <f t="array" ref="A105">IF(A104="","",IF(A104+1&gt;'Assumptions'!$D$133,"",A104+1))</f>
      </c>
      <c r="B105" s="4015" t="e">
        <f t="array" ref="B105">IF(A105="","",VLOOKUP(A105,'S&amp;U-Timeline'!$P$9:$R$147,3,0))</f>
      </c>
      <c r="C105" s="3322" t="e">
        <f t="array" ref="C105">IF(A105="","",G104)</f>
      </c>
      <c r="D105" s="4016" t="e">
        <f t="array" ref="D105">IF(A105="","",-PMT($C$6/12,$G$4*12,$C$5,0,0))</f>
      </c>
      <c r="E105" s="3322" t="e">
        <f t="array" ref="E105">IF(A105="","",IF(A105&lt;$G$6,0,-PPMT($C$6/12,$O105,$G$4*12,$C105,0,0)))</f>
      </c>
      <c r="F105" s="3322" t="e">
        <f t="array" ref="F105">IF(A105="","",-IPMT($C$6/12,$O105,$G$4*12,$C105,0,0))</f>
      </c>
      <c r="G105" s="3322" t="e">
        <f t="array" ref="G105">IF(A105="","",C105-E105)</f>
      </c>
      <c r="H105" s="26" t="n"/>
      <c r="I105" s="26" t="n"/>
      <c r="J105" s="2100" t="n"/>
      <c r="K105" s="211" t="e">
        <f t="array" ref="K105">IF(A105="","",YEAR(B105))</f>
      </c>
      <c r="L105" s="26" t="n"/>
      <c r="M105" s="26" t="n"/>
      <c r="N105" s="26" t="n"/>
      <c r="O105" s="26" t="n">
        <v>95</v>
      </c>
      <c r="P105" s="26" t="n"/>
      <c r="Q105" s="26" t="n"/>
      <c r="R105" s="26" t="n"/>
      <c r="S105" s="26" t="n"/>
      <c r="T105" s="26" t="n"/>
      <c r="U105" s="27" t="n"/>
    </row>
    <row r="106" s="3154" customFormat="1" ht="13.5" customHeight="1">
      <c r="A106" s="1101" t="e">
        <f t="array" ref="A106">IF(A105="","",IF(A105+1&gt;'Assumptions'!$D$133,"",A105+1))</f>
      </c>
      <c r="B106" s="4015" t="e">
        <f t="array" ref="B106">IF(A106="","",VLOOKUP(A106,'S&amp;U-Timeline'!$P$9:$R$147,3,0))</f>
      </c>
      <c r="C106" s="3322" t="e">
        <f t="array" ref="C106">IF(A106="","",G105)</f>
      </c>
      <c r="D106" s="4016" t="e">
        <f t="array" ref="D106">IF(A106="","",-PMT($C$6/12,$G$4*12,$C$5,0,0))</f>
      </c>
      <c r="E106" s="3322" t="e">
        <f t="array" ref="E106">IF(A106="","",IF(A106&lt;$G$6,0,-PPMT($C$6/12,$O106,$G$4*12,$C106,0,0)))</f>
      </c>
      <c r="F106" s="3322" t="e">
        <f t="array" ref="F106">IF(A106="","",-IPMT($C$6/12,$O106,$G$4*12,$C106,0,0))</f>
      </c>
      <c r="G106" s="3322" t="e">
        <f t="array" ref="G106">IF(A106="","",C106-E106)</f>
      </c>
      <c r="H106" s="26" t="n"/>
      <c r="I106" s="26" t="n"/>
      <c r="J106" s="2100" t="n"/>
      <c r="K106" s="211" t="e">
        <f t="array" ref="K106">IF(A106="","",YEAR(B106))</f>
      </c>
      <c r="L106" s="26" t="n"/>
      <c r="M106" s="26" t="n"/>
      <c r="N106" s="26" t="n"/>
      <c r="O106" s="26" t="n">
        <v>96</v>
      </c>
      <c r="P106" s="26" t="n"/>
      <c r="Q106" s="26" t="n"/>
      <c r="R106" s="26" t="n"/>
      <c r="S106" s="26" t="n"/>
      <c r="T106" s="26" t="n"/>
      <c r="U106" s="27" t="n"/>
    </row>
    <row r="107" s="3154" customFormat="1" ht="13.5" customHeight="1">
      <c r="A107" s="1101" t="e">
        <f t="array" ref="A107">IF(A106="","",IF(A106+1&gt;'Assumptions'!$D$133,"",A106+1))</f>
      </c>
      <c r="B107" s="4015" t="e">
        <f t="array" ref="B107">IF(A107="","",VLOOKUP(A107,'S&amp;U-Timeline'!$P$9:$R$147,3,0))</f>
      </c>
      <c r="C107" s="3322" t="e">
        <f t="array" ref="C107">IF(A107="","",G106)</f>
      </c>
      <c r="D107" s="4016" t="e">
        <f t="array" ref="D107">IF(A107="","",-PMT($C$6/12,$G$4*12,$C$5,0,0))</f>
      </c>
      <c r="E107" s="3322" t="e">
        <f t="array" ref="E107">IF(A107="","",IF(A107&lt;$G$6,0,-PPMT($C$6/12,$O107,$G$4*12,$C107,0,0)))</f>
      </c>
      <c r="F107" s="3322" t="e">
        <f t="array" ref="F107">IF(A107="","",-IPMT($C$6/12,$O107,$G$4*12,$C107,0,0))</f>
      </c>
      <c r="G107" s="3322" t="e">
        <f t="array" ref="G107">IF(A107="","",C107-E107)</f>
      </c>
      <c r="H107" s="26" t="n"/>
      <c r="I107" s="26" t="n"/>
      <c r="J107" s="2100" t="n"/>
      <c r="K107" s="211" t="e">
        <f t="array" ref="K107">IF(A107="","",YEAR(B107))</f>
      </c>
      <c r="L107" s="26" t="n"/>
      <c r="M107" s="26" t="n"/>
      <c r="N107" s="26" t="n"/>
      <c r="O107" s="26" t="n">
        <v>97</v>
      </c>
      <c r="P107" s="26" t="n"/>
      <c r="Q107" s="26" t="n"/>
      <c r="R107" s="26" t="n"/>
      <c r="S107" s="26" t="n"/>
      <c r="T107" s="26" t="n"/>
      <c r="U107" s="27" t="n"/>
    </row>
    <row r="108" s="3154" customFormat="1" ht="13.5" customHeight="1">
      <c r="A108" s="1101" t="e">
        <f t="array" ref="A108">IF(A107="","",IF(A107+1&gt;'Assumptions'!$D$133,"",A107+1))</f>
      </c>
      <c r="B108" s="4015" t="e">
        <f t="array" ref="B108">IF(A108="","",VLOOKUP(A108,'S&amp;U-Timeline'!$P$9:$R$147,3,0))</f>
      </c>
      <c r="C108" s="3322" t="e">
        <f t="array" ref="C108">IF(A108="","",G107)</f>
      </c>
      <c r="D108" s="4016" t="e">
        <f t="array" ref="D108">IF(A108="","",-PMT($C$6/12,$G$4*12,$C$5,0,0))</f>
      </c>
      <c r="E108" s="3322" t="e">
        <f t="array" ref="E108">IF(A108="","",IF(A108&lt;$G$6,0,-PPMT($C$6/12,$O108,$G$4*12,$C108,0,0)))</f>
      </c>
      <c r="F108" s="3322" t="e">
        <f t="array" ref="F108">IF(A108="","",-IPMT($C$6/12,$O108,$G$4*12,$C108,0,0))</f>
      </c>
      <c r="G108" s="3322" t="e">
        <f t="array" ref="G108">IF(A108="","",C108-E108)</f>
      </c>
      <c r="H108" s="26" t="n"/>
      <c r="I108" s="26" t="n"/>
      <c r="J108" s="2100" t="n"/>
      <c r="K108" s="211" t="e">
        <f t="array" ref="K108">IF(A108="","",YEAR(B108))</f>
      </c>
      <c r="L108" s="26" t="n"/>
      <c r="M108" s="26" t="n"/>
      <c r="N108" s="26" t="n"/>
      <c r="O108" s="26" t="n">
        <v>98</v>
      </c>
      <c r="P108" s="26" t="n"/>
      <c r="Q108" s="26" t="n"/>
      <c r="R108" s="26" t="n"/>
      <c r="S108" s="26" t="n"/>
      <c r="T108" s="26" t="n"/>
      <c r="U108" s="27" t="n"/>
    </row>
    <row r="109" s="3154" customFormat="1" ht="13.5" customHeight="1">
      <c r="A109" s="1101" t="e">
        <f t="array" ref="A109">IF(A108="","",IF(A108+1&gt;'Assumptions'!$D$133,"",A108+1))</f>
      </c>
      <c r="B109" s="4015" t="e">
        <f t="array" ref="B109">IF(A109="","",VLOOKUP(A109,'S&amp;U-Timeline'!$P$9:$R$147,3,0))</f>
      </c>
      <c r="C109" s="3322" t="e">
        <f t="array" ref="C109">IF(A109="","",G108)</f>
      </c>
      <c r="D109" s="4016" t="e">
        <f t="array" ref="D109">IF(A109="","",-PMT($C$6/12,$G$4*12,$C$5,0,0))</f>
      </c>
      <c r="E109" s="3322" t="e">
        <f t="array" ref="E109">IF(A109="","",IF(A109&lt;$G$6,0,-PPMT($C$6/12,$O109,$G$4*12,$C109,0,0)))</f>
      </c>
      <c r="F109" s="3322" t="e">
        <f t="array" ref="F109">IF(A109="","",-IPMT($C$6/12,$O109,$G$4*12,$C109,0,0))</f>
      </c>
      <c r="G109" s="3322" t="e">
        <f t="array" ref="G109">IF(A109="","",C109-E109)</f>
      </c>
      <c r="H109" s="26" t="n"/>
      <c r="I109" s="26" t="n"/>
      <c r="J109" s="2100" t="n"/>
      <c r="K109" s="211" t="e">
        <f t="array" ref="K109">IF(A109="","",YEAR(B109))</f>
      </c>
      <c r="L109" s="26" t="n"/>
      <c r="M109" s="26" t="n"/>
      <c r="N109" s="26" t="n"/>
      <c r="O109" s="26" t="n">
        <v>99</v>
      </c>
      <c r="P109" s="26" t="n"/>
      <c r="Q109" s="26" t="n"/>
      <c r="R109" s="26" t="n"/>
      <c r="S109" s="26" t="n"/>
      <c r="T109" s="26" t="n"/>
      <c r="U109" s="27" t="n"/>
    </row>
    <row r="110" s="3154" customFormat="1" ht="13.5" customHeight="1">
      <c r="A110" s="1101" t="e">
        <f t="array" ref="A110">IF(A109="","",IF(A109+1&gt;'Assumptions'!$D$133,"",A109+1))</f>
      </c>
      <c r="B110" s="4015" t="e">
        <f t="array" ref="B110">IF(A110="","",VLOOKUP(A110,'S&amp;U-Timeline'!$P$9:$R$147,3,0))</f>
      </c>
      <c r="C110" s="3322" t="e">
        <f t="array" ref="C110">IF(A110="","",G109)</f>
      </c>
      <c r="D110" s="4016" t="e">
        <f t="array" ref="D110">IF(A110="","",-PMT($C$6/12,$G$4*12,$C$5,0,0))</f>
      </c>
      <c r="E110" s="3322" t="e">
        <f t="array" ref="E110">IF(A110="","",IF(A110&lt;$G$6,0,-PPMT($C$6/12,$O110,$G$4*12,$C110,0,0)))</f>
      </c>
      <c r="F110" s="3322" t="e">
        <f t="array" ref="F110">IF(A110="","",-IPMT($C$6/12,$O110,$G$4*12,$C110,0,0))</f>
      </c>
      <c r="G110" s="3322" t="e">
        <f t="array" ref="G110">IF(A110="","",C110-E110)</f>
      </c>
      <c r="H110" s="26" t="n"/>
      <c r="I110" s="26" t="n"/>
      <c r="J110" s="2100" t="n"/>
      <c r="K110" s="211" t="e">
        <f t="array" ref="K110">IF(A110="","",YEAR(B110))</f>
      </c>
      <c r="L110" s="26" t="n"/>
      <c r="M110" s="26" t="n"/>
      <c r="N110" s="26" t="n"/>
      <c r="O110" s="26" t="n">
        <v>100</v>
      </c>
      <c r="P110" s="26" t="n"/>
      <c r="Q110" s="26" t="n"/>
      <c r="R110" s="26" t="n"/>
      <c r="S110" s="26" t="n"/>
      <c r="T110" s="26" t="n"/>
      <c r="U110" s="27" t="n"/>
    </row>
    <row r="111" s="3154" customFormat="1" ht="13.5" customHeight="1">
      <c r="A111" s="1101" t="e">
        <f t="array" ref="A111">IF(A110="","",IF(A110+1&gt;'Assumptions'!$D$133,"",A110+1))</f>
      </c>
      <c r="B111" s="4015" t="e">
        <f t="array" ref="B111">IF(A111="","",VLOOKUP(A111,'S&amp;U-Timeline'!$P$9:$R$147,3,0))</f>
      </c>
      <c r="C111" s="3322" t="e">
        <f t="array" ref="C111">IF(A111="","",G110)</f>
      </c>
      <c r="D111" s="4016" t="e">
        <f t="array" ref="D111">IF(A111="","",-PMT($C$6/12,$G$4*12,$C$5,0,0))</f>
      </c>
      <c r="E111" s="3322" t="e">
        <f t="array" ref="E111">IF(A111="","",IF(A111&lt;$G$6,0,-PPMT($C$6/12,$O111,$G$4*12,$C111,0,0)))</f>
      </c>
      <c r="F111" s="3322" t="e">
        <f t="array" ref="F111">IF(A111="","",-IPMT($C$6/12,$O111,$G$4*12,$C111,0,0))</f>
      </c>
      <c r="G111" s="3322" t="e">
        <f t="array" ref="G111">IF(A111="","",C111-E111)</f>
      </c>
      <c r="H111" s="26" t="n"/>
      <c r="I111" s="26" t="n"/>
      <c r="J111" s="2100" t="n"/>
      <c r="K111" s="211" t="e">
        <f t="array" ref="K111">IF(A111="","",YEAR(B111))</f>
      </c>
      <c r="L111" s="26" t="n"/>
      <c r="M111" s="26" t="n"/>
      <c r="N111" s="26" t="n"/>
      <c r="O111" s="26" t="n">
        <v>101</v>
      </c>
      <c r="P111" s="26" t="n"/>
      <c r="Q111" s="26" t="n"/>
      <c r="R111" s="26" t="n"/>
      <c r="S111" s="26" t="n"/>
      <c r="T111" s="26" t="n"/>
      <c r="U111" s="27" t="n"/>
    </row>
    <row r="112" s="3154" customFormat="1" ht="13.5" customHeight="1">
      <c r="A112" s="1101" t="e">
        <f t="array" ref="A112">IF(A111="","",IF(A111+1&gt;'Assumptions'!$D$133,"",A111+1))</f>
      </c>
      <c r="B112" s="4015" t="e">
        <f t="array" ref="B112">IF(A112="","",VLOOKUP(A112,'S&amp;U-Timeline'!$P$9:$R$147,3,0))</f>
      </c>
      <c r="C112" s="3322" t="e">
        <f t="array" ref="C112">IF(A112="","",G111)</f>
      </c>
      <c r="D112" s="4016" t="e">
        <f t="array" ref="D112">IF(A112="","",-PMT($C$6/12,$G$4*12,$C$5,0,0))</f>
      </c>
      <c r="E112" s="3322" t="e">
        <f t="array" ref="E112">IF(A112="","",IF(A112&lt;$G$6,0,-PPMT($C$6/12,$O112,$G$4*12,$C112,0,0)))</f>
      </c>
      <c r="F112" s="3322" t="e">
        <f t="array" ref="F112">IF(A112="","",-IPMT($C$6/12,$O112,$G$4*12,$C112,0,0))</f>
      </c>
      <c r="G112" s="3322" t="e">
        <f t="array" ref="G112">IF(A112="","",C112-E112)</f>
      </c>
      <c r="H112" s="26" t="n"/>
      <c r="I112" s="26" t="n"/>
      <c r="J112" s="2100" t="n"/>
      <c r="K112" s="211" t="e">
        <f t="array" ref="K112">IF(A112="","",YEAR(B112))</f>
      </c>
      <c r="L112" s="26" t="n"/>
      <c r="M112" s="26" t="n"/>
      <c r="N112" s="26" t="n"/>
      <c r="O112" s="26" t="n">
        <v>102</v>
      </c>
      <c r="P112" s="26" t="n"/>
      <c r="Q112" s="26" t="n"/>
      <c r="R112" s="26" t="n"/>
      <c r="S112" s="26" t="n"/>
      <c r="T112" s="26" t="n"/>
      <c r="U112" s="27" t="n"/>
    </row>
    <row r="113" s="3154" customFormat="1" ht="13.5" customHeight="1">
      <c r="A113" s="1101" t="e">
        <f t="array" ref="A113">IF(A112="","",IF(A112+1&gt;'Assumptions'!$D$133,"",A112+1))</f>
      </c>
      <c r="B113" s="4015" t="e">
        <f t="array" ref="B113">IF(A113="","",VLOOKUP(A113,'S&amp;U-Timeline'!$P$9:$R$147,3,0))</f>
      </c>
      <c r="C113" s="3322" t="e">
        <f t="array" ref="C113">IF(A113="","",G112)</f>
      </c>
      <c r="D113" s="4016" t="e">
        <f t="array" ref="D113">IF(A113="","",-PMT($C$6/12,$G$4*12,$C$5,0,0))</f>
      </c>
      <c r="E113" s="3322" t="e">
        <f t="array" ref="E113">IF(A113="","",IF(A113&lt;$G$6,0,-PPMT($C$6/12,$O113,$G$4*12,$C113,0,0)))</f>
      </c>
      <c r="F113" s="3322" t="e">
        <f t="array" ref="F113">IF(A113="","",-IPMT($C$6/12,$O113,$G$4*12,$C113,0,0))</f>
      </c>
      <c r="G113" s="3322" t="e">
        <f t="array" ref="G113">IF(A113="","",C113-E113)</f>
      </c>
      <c r="H113" s="26" t="n"/>
      <c r="I113" s="26" t="n"/>
      <c r="J113" s="2100" t="n"/>
      <c r="K113" s="211" t="e">
        <f t="array" ref="K113">IF(A113="","",YEAR(B113))</f>
      </c>
      <c r="L113" s="26" t="n"/>
      <c r="M113" s="26" t="n"/>
      <c r="N113" s="26" t="n"/>
      <c r="O113" s="26" t="n">
        <v>103</v>
      </c>
      <c r="P113" s="26" t="n"/>
      <c r="Q113" s="26" t="n"/>
      <c r="R113" s="26" t="n"/>
      <c r="S113" s="26" t="n"/>
      <c r="T113" s="26" t="n"/>
      <c r="U113" s="27" t="n"/>
    </row>
    <row r="114" s="3154" customFormat="1" ht="13.5" customHeight="1">
      <c r="A114" s="1101" t="e">
        <f t="array" ref="A114">IF(A113="","",IF(A113+1&gt;'Assumptions'!$D$133,"",A113+1))</f>
      </c>
      <c r="B114" s="4015" t="e">
        <f t="array" ref="B114">IF(A114="","",VLOOKUP(A114,'S&amp;U-Timeline'!$P$9:$R$147,3,0))</f>
      </c>
      <c r="C114" s="3322" t="e">
        <f t="array" ref="C114">IF(A114="","",G113)</f>
      </c>
      <c r="D114" s="4016" t="e">
        <f t="array" ref="D114">IF(A114="","",-PMT($C$6/12,$G$4*12,$C$5,0,0))</f>
      </c>
      <c r="E114" s="3322" t="e">
        <f t="array" ref="E114">IF(A114="","",IF(A114&lt;$G$6,0,-PPMT($C$6/12,$O114,$G$4*12,$C114,0,0)))</f>
      </c>
      <c r="F114" s="3322" t="e">
        <f t="array" ref="F114">IF(A114="","",-IPMT($C$6/12,$O114,$G$4*12,$C114,0,0))</f>
      </c>
      <c r="G114" s="3322" t="e">
        <f t="array" ref="G114">IF(A114="","",C114-E114)</f>
      </c>
      <c r="H114" s="26" t="n"/>
      <c r="I114" s="26" t="n"/>
      <c r="J114" s="2100" t="n"/>
      <c r="K114" s="211" t="e">
        <f t="array" ref="K114">IF(A114="","",YEAR(B114))</f>
      </c>
      <c r="L114" s="26" t="n"/>
      <c r="M114" s="26" t="n"/>
      <c r="N114" s="26" t="n"/>
      <c r="O114" s="26" t="n">
        <v>104</v>
      </c>
      <c r="P114" s="26" t="n"/>
      <c r="Q114" s="26" t="n"/>
      <c r="R114" s="26" t="n"/>
      <c r="S114" s="26" t="n"/>
      <c r="T114" s="26" t="n"/>
      <c r="U114" s="27" t="n"/>
    </row>
    <row r="115" s="3154" customFormat="1" ht="13.5" customHeight="1">
      <c r="A115" s="2111" t="e">
        <f t="array" ref="A115">IF(A114="","",IF(A114+1&gt;'Assumptions'!$D$133,"",A114+1))</f>
      </c>
      <c r="B115" s="2159" t="e">
        <f t="array" ref="B115">IF(A115="","",VLOOKUP(A115,'S&amp;U-Timeline'!$P$9:$R$147,3,0))</f>
      </c>
      <c r="C115" s="38" t="e">
        <f t="array" ref="C115">IF(A115="","",G114)</f>
      </c>
      <c r="D115" s="38" t="e">
        <f t="array" ref="D115">IF(A115="","",-PMT($C$6/12,$G$4*12,$C$5,0,0))</f>
      </c>
      <c r="E115" s="38" t="e">
        <f t="array" ref="E115">IF(A115="","",IF(A115&lt;$G$6,0,-PPMT($C$6/12,$O115,$G$4*12,$C115,0,0)))</f>
      </c>
      <c r="F115" s="38" t="e">
        <f t="array" ref="F115">IF(A115="","",-IPMT($C$6/12,$O115,$G$4*12,$C115,0,0))</f>
      </c>
      <c r="G115" s="38" t="e">
        <f t="array" ref="G115">IF(A115="","",C115-E115)</f>
      </c>
      <c r="H115" s="26" t="n"/>
      <c r="I115" s="26" t="n"/>
      <c r="J115" s="2100" t="n"/>
      <c r="K115" s="2160" t="e">
        <f t="array" ref="K115">IF(A115="","",YEAR(B115))</f>
      </c>
      <c r="L115" s="26" t="n"/>
      <c r="M115" s="26" t="n"/>
      <c r="N115" s="26" t="n"/>
      <c r="O115" s="26" t="n">
        <v>105</v>
      </c>
      <c r="P115" s="26" t="n"/>
      <c r="Q115" s="26" t="n"/>
      <c r="R115" s="26" t="n"/>
      <c r="S115" s="26" t="n"/>
      <c r="T115" s="26" t="n"/>
      <c r="U115" s="27" t="n"/>
    </row>
    <row r="116" s="3154" customFormat="1" ht="13.5" customHeight="1">
      <c r="A116" s="2111" t="e">
        <f t="array" ref="A116">IF(A115="","",IF(A115+1&gt;'Assumptions'!$D$133,"",A115+1))</f>
      </c>
      <c r="B116" s="2159" t="e">
        <f t="array" ref="B116">IF(A116="","",VLOOKUP(A116,'S&amp;U-Timeline'!$P$9:$R$147,3,0))</f>
      </c>
      <c r="C116" s="38" t="e">
        <f t="array" ref="C116">IF(A116="","",G115)</f>
      </c>
      <c r="D116" s="38" t="e">
        <f t="array" ref="D116">IF(A116="","",-PMT($C$6/12,$G$4*12,$C$5,0,0))</f>
      </c>
      <c r="E116" s="38" t="e">
        <f t="array" ref="E116">IF(A116="","",IF(A116&lt;$G$6,0,-PPMT($C$6/12,$O116,$G$4*12,$C116,0,0)))</f>
      </c>
      <c r="F116" s="38" t="e">
        <f t="array" ref="F116">IF(A116="","",-IPMT($C$6/12,$O116,$G$4*12,$C116,0,0))</f>
      </c>
      <c r="G116" s="38" t="e">
        <f t="array" ref="G116">IF(A116="","",C116-E116)</f>
      </c>
      <c r="H116" s="26" t="n"/>
      <c r="I116" s="26" t="n"/>
      <c r="J116" s="2100" t="n"/>
      <c r="K116" s="2160" t="e">
        <f t="array" ref="K116">IF(A116="","",YEAR(B116))</f>
      </c>
      <c r="L116" s="26" t="n"/>
      <c r="M116" s="26" t="n"/>
      <c r="N116" s="26" t="n"/>
      <c r="O116" s="26" t="n">
        <v>106</v>
      </c>
      <c r="P116" s="26" t="n"/>
      <c r="Q116" s="26" t="n"/>
      <c r="R116" s="26" t="n"/>
      <c r="S116" s="26" t="n"/>
      <c r="T116" s="26" t="n"/>
      <c r="U116" s="27" t="n"/>
    </row>
    <row r="117" s="3154" customFormat="1" ht="13.5" customHeight="1">
      <c r="A117" s="2111" t="e">
        <f t="array" ref="A117">IF(A116="","",IF(A116+1&gt;'Assumptions'!$D$133,"",A116+1))</f>
      </c>
      <c r="B117" s="2159" t="e">
        <f t="array" ref="B117">IF(A117="","",VLOOKUP(A117,'S&amp;U-Timeline'!$P$9:$R$147,3,0))</f>
      </c>
      <c r="C117" s="38" t="e">
        <f t="array" ref="C117">IF(A117="","",G116)</f>
      </c>
      <c r="D117" s="38" t="e">
        <f t="array" ref="D117">IF(A117="","",-PMT($C$6/12,$G$4*12,$C$5,0,0))</f>
      </c>
      <c r="E117" s="38" t="e">
        <f t="array" ref="E117">IF(A117="","",IF(A117&lt;$G$6,0,-PPMT($C$6/12,$O117,$G$4*12,$C117,0,0)))</f>
      </c>
      <c r="F117" s="38" t="e">
        <f t="array" ref="F117">IF(A117="","",-IPMT($C$6/12,$O117,$G$4*12,$C117,0,0))</f>
      </c>
      <c r="G117" s="38" t="e">
        <f t="array" ref="G117">IF(A117="","",C117-E117)</f>
      </c>
      <c r="H117" s="26" t="n"/>
      <c r="I117" s="26" t="n"/>
      <c r="J117" s="2100" t="n"/>
      <c r="K117" s="2160" t="e">
        <f t="array" ref="K117">IF(A117="","",YEAR(B117))</f>
      </c>
      <c r="L117" s="26" t="n"/>
      <c r="M117" s="26" t="n"/>
      <c r="N117" s="26" t="n"/>
      <c r="O117" s="26" t="n">
        <v>107</v>
      </c>
      <c r="P117" s="26" t="n"/>
      <c r="Q117" s="26" t="n"/>
      <c r="R117" s="26" t="n"/>
      <c r="S117" s="26" t="n"/>
      <c r="T117" s="26" t="n"/>
      <c r="U117" s="27" t="n"/>
    </row>
    <row r="118" s="3154" customFormat="1" ht="13.5" customHeight="1">
      <c r="A118" s="2111" t="e">
        <f t="array" ref="A118">IF(A117="","",IF(A117+1&gt;'Assumptions'!$D$133,"",A117+1))</f>
      </c>
      <c r="B118" s="2159" t="e">
        <f t="array" ref="B118">IF(A118="","",VLOOKUP(A118,'S&amp;U-Timeline'!$P$9:$R$147,3,0))</f>
      </c>
      <c r="C118" s="38" t="e">
        <f t="array" ref="C118">IF(A118="","",G117)</f>
      </c>
      <c r="D118" s="38" t="e">
        <f t="array" ref="D118">IF(A118="","",-PMT($C$6/12,$G$4*12,$C$5,0,0))</f>
      </c>
      <c r="E118" s="38" t="e">
        <f t="array" ref="E118">IF(A118="","",IF(A118&lt;$G$6,0,-PPMT($C$6/12,$O118,$G$4*12,$C118,0,0)))</f>
      </c>
      <c r="F118" s="38" t="e">
        <f t="array" ref="F118">IF(A118="","",-IPMT($C$6/12,$O118,$G$4*12,$C118,0,0))</f>
      </c>
      <c r="G118" s="38" t="e">
        <f t="array" ref="G118">IF(A118="","",C118-E118)</f>
      </c>
      <c r="H118" s="26" t="n"/>
      <c r="I118" s="26" t="n"/>
      <c r="J118" s="2100" t="n"/>
      <c r="K118" s="2160" t="e">
        <f t="array" ref="K118">IF(A118="","",YEAR(B118))</f>
      </c>
      <c r="L118" s="26" t="n"/>
      <c r="M118" s="26" t="n"/>
      <c r="N118" s="26" t="n"/>
      <c r="O118" s="26" t="n">
        <v>108</v>
      </c>
      <c r="P118" s="26" t="n"/>
      <c r="Q118" s="26" t="n"/>
      <c r="R118" s="26" t="n"/>
      <c r="S118" s="26" t="n"/>
      <c r="T118" s="26" t="n"/>
      <c r="U118" s="27" t="n"/>
    </row>
    <row r="119" s="3154" customFormat="1" ht="13.5" customHeight="1">
      <c r="A119" s="2111" t="e">
        <f t="array" ref="A119">IF(A118="","",IF(A118+1&gt;'Assumptions'!$D$133,"",A118+1))</f>
      </c>
      <c r="B119" s="2159" t="e">
        <f t="array" ref="B119">IF(A119="","",VLOOKUP(A119,'S&amp;U-Timeline'!$P$9:$R$147,3,0))</f>
      </c>
      <c r="C119" s="38" t="e">
        <f t="array" ref="C119">IF(A119="","",G118)</f>
      </c>
      <c r="D119" s="38" t="e">
        <f t="array" ref="D119">IF(A119="","",-PMT($C$6/12,$G$4*12,$C$5,0,0))</f>
      </c>
      <c r="E119" s="38" t="e">
        <f t="array" ref="E119">IF(A119="","",IF(A119&lt;$G$6,0,-PPMT($C$6/12,$O119,$G$4*12,$C119,0,0)))</f>
      </c>
      <c r="F119" s="38" t="e">
        <f t="array" ref="F119">IF(A119="","",-IPMT($C$6/12,$O119,$G$4*12,$C119,0,0))</f>
      </c>
      <c r="G119" s="38" t="e">
        <f t="array" ref="G119">IF(A119="","",C119-E119)</f>
      </c>
      <c r="H119" s="26" t="n"/>
      <c r="I119" s="26" t="n"/>
      <c r="J119" s="2100" t="n"/>
      <c r="K119" s="2160" t="e">
        <f t="array" ref="K119">IF(A119="","",YEAR(B119))</f>
      </c>
      <c r="L119" s="26" t="n"/>
      <c r="M119" s="26" t="n"/>
      <c r="N119" s="26" t="n"/>
      <c r="O119" s="26" t="n">
        <v>109</v>
      </c>
      <c r="P119" s="26" t="n"/>
      <c r="Q119" s="26" t="n"/>
      <c r="R119" s="26" t="n"/>
      <c r="S119" s="26" t="n"/>
      <c r="T119" s="26" t="n"/>
      <c r="U119" s="27" t="n"/>
    </row>
    <row r="120" s="3154" customFormat="1" ht="13.5" customHeight="1">
      <c r="A120" s="2111" t="e">
        <f t="array" ref="A120">IF(A119="","",IF(A119+1&gt;'Assumptions'!$D$133,"",A119+1))</f>
      </c>
      <c r="B120" s="2159" t="e">
        <f t="array" ref="B120">IF(A120="","",VLOOKUP(A120,'S&amp;U-Timeline'!$P$9:$R$147,3,0))</f>
      </c>
      <c r="C120" s="38" t="e">
        <f t="array" ref="C120">IF(A120="","",G119)</f>
      </c>
      <c r="D120" s="38" t="e">
        <f t="array" ref="D120">IF(A120="","",-PMT($C$6/12,$G$4*12,$C$5,0,0))</f>
      </c>
      <c r="E120" s="38" t="e">
        <f t="array" ref="E120">IF(A120="","",IF(A120&lt;$G$6,0,-PPMT($C$6/12,$O120,$G$4*12,$C120,0,0)))</f>
      </c>
      <c r="F120" s="38" t="e">
        <f t="array" ref="F120">IF(A120="","",-IPMT($C$6/12,$O120,$G$4*12,$C120,0,0))</f>
      </c>
      <c r="G120" s="38" t="e">
        <f t="array" ref="G120">IF(A120="","",C120-E120)</f>
      </c>
      <c r="H120" s="26" t="n"/>
      <c r="I120" s="26" t="n"/>
      <c r="J120" s="2100" t="n"/>
      <c r="K120" s="2160" t="e">
        <f t="array" ref="K120">IF(A120="","",YEAR(B120))</f>
      </c>
      <c r="L120" s="26" t="n"/>
      <c r="M120" s="26" t="n"/>
      <c r="N120" s="26" t="n"/>
      <c r="O120" s="26" t="n">
        <v>110</v>
      </c>
      <c r="P120" s="26" t="n"/>
      <c r="Q120" s="26" t="n"/>
      <c r="R120" s="26" t="n"/>
      <c r="S120" s="26" t="n"/>
      <c r="T120" s="26" t="n"/>
      <c r="U120" s="27" t="n"/>
    </row>
    <row r="121" s="3154" customFormat="1" ht="13.5" customHeight="1">
      <c r="A121" s="2111" t="e">
        <f t="array" ref="A121">IF(A120="","",IF(A120+1&gt;'Assumptions'!$D$133,"",A120+1))</f>
      </c>
      <c r="B121" s="2159" t="e">
        <f t="array" ref="B121">IF(A121="","",VLOOKUP(A121,'S&amp;U-Timeline'!$P$9:$R$147,3,0))</f>
      </c>
      <c r="C121" s="38" t="e">
        <f t="array" ref="C121">IF(A121="","",G120)</f>
      </c>
      <c r="D121" s="38" t="e">
        <f t="array" ref="D121">IF(A121="","",-PMT($C$6/12,$G$4*12,$C$5,0,0))</f>
      </c>
      <c r="E121" s="38" t="e">
        <f t="array" ref="E121">IF(A121="","",IF(A121&lt;$G$6,0,-PPMT($C$6/12,$O121,$G$4*12,$C121,0,0)))</f>
      </c>
      <c r="F121" s="38" t="e">
        <f t="array" ref="F121">IF(A121="","",-IPMT($C$6/12,$O121,$G$4*12,$C121,0,0))</f>
      </c>
      <c r="G121" s="38" t="e">
        <f t="array" ref="G121">IF(A121="","",C121-E121)</f>
      </c>
      <c r="H121" s="26" t="n"/>
      <c r="I121" s="26" t="n"/>
      <c r="J121" s="2100" t="n"/>
      <c r="K121" s="2160" t="e">
        <f t="array" ref="K121">IF(A121="","",YEAR(B121))</f>
      </c>
      <c r="L121" s="26" t="n"/>
      <c r="M121" s="26" t="n"/>
      <c r="N121" s="26" t="n"/>
      <c r="O121" s="26" t="n">
        <v>111</v>
      </c>
      <c r="P121" s="26" t="n"/>
      <c r="Q121" s="26" t="n"/>
      <c r="R121" s="26" t="n"/>
      <c r="S121" s="26" t="n"/>
      <c r="T121" s="26" t="n"/>
      <c r="U121" s="27" t="n"/>
    </row>
    <row r="122" s="3154" customFormat="1" ht="13.5" customHeight="1">
      <c r="A122" s="627" t="n"/>
      <c r="B122" s="26" t="n"/>
      <c r="C122" s="3322" t="n"/>
      <c r="D122" s="26" t="n"/>
      <c r="E122" s="26" t="n"/>
      <c r="F122" s="26" t="n"/>
      <c r="G122" s="26" t="n"/>
      <c r="H122" s="26" t="n"/>
      <c r="I122" s="26" t="n"/>
      <c r="J122" s="26" t="n"/>
      <c r="K122" s="26" t="n"/>
      <c r="L122" s="26" t="n"/>
      <c r="M122" s="26" t="n"/>
      <c r="N122" s="26" t="n"/>
      <c r="O122" s="26" t="n"/>
      <c r="P122" s="26" t="n"/>
      <c r="Q122" s="26" t="n"/>
      <c r="R122" s="26" t="n"/>
      <c r="S122" s="26" t="n"/>
      <c r="T122" s="26" t="n"/>
      <c r="U122" s="27" t="n"/>
    </row>
    <row r="123" s="3154" customFormat="1" ht="13.5" customHeight="1">
      <c r="A123" s="627" t="n"/>
      <c r="B123" s="26" t="n"/>
      <c r="C123" s="3322" t="n"/>
      <c r="D123" s="26" t="n"/>
      <c r="E123" s="26" t="n"/>
      <c r="F123" s="26" t="n"/>
      <c r="G123" s="26" t="n"/>
      <c r="H123" s="26" t="n"/>
      <c r="I123" s="26" t="n"/>
      <c r="J123" s="26" t="n"/>
      <c r="K123" s="26" t="n"/>
      <c r="L123" s="26" t="n"/>
      <c r="M123" s="26" t="n"/>
      <c r="N123" s="26" t="n"/>
      <c r="O123" s="26" t="n"/>
      <c r="P123" s="26" t="n"/>
      <c r="Q123" s="26" t="n"/>
      <c r="R123" s="26" t="n"/>
      <c r="S123" s="26" t="n"/>
      <c r="T123" s="26" t="n"/>
      <c r="U123" s="27" t="n"/>
    </row>
    <row r="124" s="3154" customFormat="1" ht="13.5" customHeight="1">
      <c r="A124" s="627" t="n"/>
      <c r="B124" s="26" t="n"/>
      <c r="C124" s="3322" t="n"/>
      <c r="D124" s="26" t="n"/>
      <c r="E124" s="26" t="n"/>
      <c r="F124" s="26" t="n"/>
      <c r="G124" s="26" t="n"/>
      <c r="H124" s="26" t="n"/>
      <c r="I124" s="26" t="n"/>
      <c r="J124" s="26" t="n"/>
      <c r="K124" s="26" t="n"/>
      <c r="L124" s="26" t="n"/>
      <c r="M124" s="26" t="n"/>
      <c r="N124" s="26" t="n"/>
      <c r="O124" s="26" t="n"/>
      <c r="P124" s="26" t="n"/>
      <c r="Q124" s="26" t="n"/>
      <c r="R124" s="26" t="n"/>
      <c r="S124" s="26" t="n"/>
      <c r="T124" s="26" t="n"/>
      <c r="U124" s="27" t="n"/>
    </row>
    <row r="125" s="3154" customFormat="1" ht="13.5" customHeight="1">
      <c r="A125" s="627" t="n"/>
      <c r="B125" s="26" t="n"/>
      <c r="C125" s="3322" t="n"/>
      <c r="D125" s="26" t="n"/>
      <c r="E125" s="26" t="n"/>
      <c r="F125" s="26" t="n"/>
      <c r="G125" s="26" t="n"/>
      <c r="H125" s="26" t="n"/>
      <c r="I125" s="26" t="n"/>
      <c r="J125" s="26" t="n"/>
      <c r="K125" s="26" t="n"/>
      <c r="L125" s="26" t="n"/>
      <c r="M125" s="26" t="n"/>
      <c r="N125" s="26" t="n"/>
      <c r="O125" s="26" t="n"/>
      <c r="P125" s="26" t="n"/>
      <c r="Q125" s="26" t="n"/>
      <c r="R125" s="26" t="n"/>
      <c r="S125" s="26" t="n"/>
      <c r="T125" s="26" t="n"/>
      <c r="U125" s="27" t="n"/>
    </row>
    <row r="126" s="3154" customFormat="1" ht="13.5" customHeight="1">
      <c r="A126" s="627" t="n"/>
      <c r="B126" s="26" t="n"/>
      <c r="C126" s="3322" t="n"/>
      <c r="D126" s="26" t="n"/>
      <c r="E126" s="26" t="n"/>
      <c r="F126" s="26" t="n"/>
      <c r="G126" s="26" t="n"/>
      <c r="H126" s="26" t="n"/>
      <c r="I126" s="26" t="n"/>
      <c r="J126" s="26" t="n"/>
      <c r="K126" s="26" t="n"/>
      <c r="L126" s="26" t="n"/>
      <c r="M126" s="26" t="n"/>
      <c r="N126" s="26" t="n"/>
      <c r="O126" s="26" t="n"/>
      <c r="P126" s="26" t="n"/>
      <c r="Q126" s="26" t="n"/>
      <c r="R126" s="26" t="n"/>
      <c r="S126" s="26" t="n"/>
      <c r="T126" s="26" t="n"/>
      <c r="U126" s="27" t="n"/>
    </row>
    <row r="127" s="3154" customFormat="1" ht="13.5" customHeight="1">
      <c r="A127" s="627" t="n"/>
      <c r="B127" s="26" t="n"/>
      <c r="C127" s="38" t="str">
        <f t="array" ref="C127">IF(A127="","",G126)</f>
      </c>
      <c r="D127" s="26" t="n"/>
      <c r="E127" s="26" t="n"/>
      <c r="F127" s="26" t="n"/>
      <c r="G127" s="26" t="n"/>
      <c r="H127" s="26" t="n"/>
      <c r="I127" s="26" t="n"/>
      <c r="J127" s="26" t="n"/>
      <c r="K127" s="26" t="n"/>
      <c r="L127" s="26" t="n"/>
      <c r="M127" s="26" t="n"/>
      <c r="N127" s="26" t="n"/>
      <c r="O127" s="26" t="n"/>
      <c r="P127" s="26" t="n"/>
      <c r="Q127" s="26" t="n"/>
      <c r="R127" s="26" t="n"/>
      <c r="S127" s="26" t="n"/>
      <c r="T127" s="26" t="n"/>
      <c r="U127" s="27" t="n"/>
    </row>
    <row r="128" s="3154" customFormat="1" ht="13.5" customHeight="1">
      <c r="A128" s="633" t="n"/>
      <c r="B128" s="634" t="n"/>
      <c r="C128" s="42" t="str">
        <f t="array" ref="C128">IF(A128="","",G127)</f>
      </c>
      <c r="D128" s="634" t="n"/>
      <c r="E128" s="634" t="n"/>
      <c r="F128" s="634" t="n"/>
      <c r="G128" s="634" t="n"/>
      <c r="H128" s="634" t="n"/>
      <c r="I128" s="634" t="n"/>
      <c r="J128" s="634" t="n"/>
      <c r="K128" s="634" t="n"/>
      <c r="L128" s="634" t="n"/>
      <c r="M128" s="634" t="n"/>
      <c r="N128" s="634" t="n"/>
      <c r="O128" s="634" t="n"/>
      <c r="P128" s="634" t="n"/>
      <c r="Q128" s="634" t="n"/>
      <c r="R128" s="634" t="n"/>
      <c r="S128" s="634" t="n"/>
      <c r="T128" s="634" t="n"/>
      <c r="U128" s="635" t="n"/>
    </row>
  </sheetData>
  <pageMargins left="0.7" right="0.7" top="0.75" bottom="0.75" header="0.3" footer="0.3"/>
</worksheet>
</file>

<file path=xl/worksheets/sheet17.xml><?xml version="1.0" encoding="utf-8"?>
<worksheet xmlns="http://schemas.openxmlformats.org/spreadsheetml/2006/main">
  <sheetViews>
    <sheetView showGridLines="0" workbookViewId="0"/>
  </sheetViews>
  <sheetFormatPr baseColWidth="8" defaultColWidth="12.83329963684082" defaultRowHeight="13.5"/>
  <cols>
    <col min="1" max="2" width="11.671899795532227" style="3136" customWidth="1"/>
    <col min="3" max="3" width="13.5" style="3136" customWidth="1"/>
    <col min="4" max="4" width="11.35159969329834" style="3136" customWidth="1"/>
    <col min="5" max="13" width="10.85159969329834" style="3136" customWidth="1"/>
    <col min="14" max="15" width="12.85159969329834" style="3136" customWidth="1"/>
    <col min="16" max="16384" width="12.85159969329834" style="3136" customWidth="1"/>
  </cols>
  <sheetData>
    <row r="1" s="3154" customFormat="1" ht="19.5" customHeight="1">
      <c r="A1" s="152" t="inlineStr">
        <is>
          <t xml:space="preserve">WATERFALL &amp; PROMOTE</t>
        </is>
      </c>
      <c r="B1" s="537" t="n"/>
      <c r="C1" s="536" t="n"/>
      <c r="D1" s="2162" t="n"/>
      <c r="E1" s="2162" t="n"/>
      <c r="F1" s="2162" t="n"/>
      <c r="G1" s="2162" t="n"/>
      <c r="H1" s="2162" t="n"/>
      <c r="I1" s="2163" t="n"/>
      <c r="J1" s="2162" t="n"/>
      <c r="K1" s="2162" t="n"/>
      <c r="L1" s="2164" t="n"/>
      <c r="M1" s="2165" t="str">
        <f t="array" ref="M1">'Project Summary'!M1</f>
        <v>MODEL REVISED: Mar 25, 2025</v>
      </c>
      <c r="N1" s="11" t="n"/>
      <c r="O1" s="13" t="n"/>
    </row>
    <row r="2" s="3154" customFormat="1" ht="17.25" customHeight="1">
      <c r="A2" s="2166" t="str">
        <f t="array" ref="A2">'Assumptions'!A2</f>
        <v>INDEPENDENT (No Flag) / SLEEP SPACE — 100-KEY PREFAB (50 EP + 50 E) / Austin, TX</v>
      </c>
      <c r="B2" s="403" t="n"/>
      <c r="C2" s="403" t="n"/>
      <c r="D2" s="2167" t="n"/>
      <c r="E2" s="2167" t="n"/>
      <c r="F2" s="2167" t="n"/>
      <c r="G2" s="2167" t="n"/>
      <c r="H2" s="2167" t="n"/>
      <c r="I2" s="2167" t="n"/>
      <c r="J2" s="158" t="n"/>
      <c r="K2" s="158" t="n"/>
      <c r="L2" s="2168" t="n"/>
      <c r="M2" s="158" t="n"/>
      <c r="N2" s="26" t="n"/>
      <c r="O2" s="27" t="n"/>
    </row>
    <row r="3" s="3154" customFormat="1" ht="13.5" customHeight="1">
      <c r="A3" s="40" t="str">
        <f t="array" ref="A3">'Assumptions'!A3</f>
        <v>Version Notes: Added 1st round of GPM Costs from Pinkerton and Laws. We anticipate further cost savings. </v>
      </c>
      <c r="B3" s="405" t="n"/>
      <c r="C3" s="548" t="n"/>
      <c r="D3" s="26" t="n"/>
      <c r="E3" s="26" t="n"/>
      <c r="F3" s="26" t="n"/>
      <c r="G3" s="26" t="n"/>
      <c r="H3" s="26" t="n"/>
      <c r="I3" s="26" t="n"/>
      <c r="J3" s="26" t="n"/>
      <c r="K3" s="26" t="n"/>
      <c r="L3" s="26" t="n"/>
      <c r="M3" s="26" t="n"/>
      <c r="N3" s="26" t="n"/>
      <c r="O3" s="27" t="n"/>
    </row>
    <row r="4" s="3154" customFormat="1" ht="13.5" customHeight="1">
      <c r="A4" s="162" t="n"/>
      <c r="B4" s="163" t="n"/>
      <c r="C4" s="163" t="n"/>
      <c r="D4" s="163" t="n"/>
      <c r="E4" s="163" t="n"/>
      <c r="F4" s="26" t="n"/>
      <c r="G4" s="26" t="n"/>
      <c r="H4" s="26" t="n"/>
      <c r="I4" s="163" t="n"/>
      <c r="J4" s="163" t="n"/>
      <c r="K4" s="163" t="n"/>
      <c r="L4" s="163" t="n"/>
      <c r="M4" s="163" t="n"/>
      <c r="N4" s="26" t="n"/>
      <c r="O4" s="27" t="n"/>
    </row>
    <row r="5" s="3154" customFormat="1" ht="13.5" customHeight="1">
      <c r="A5" s="2169" t="inlineStr">
        <is>
          <t xml:space="preserve">WATERFALL DISTRIBUTION</t>
        </is>
      </c>
      <c r="B5" s="4002" t="n"/>
      <c r="C5" s="4017" t="n"/>
      <c r="D5" s="2172" t="inlineStr">
        <is>
          <t xml:space="preserve">Splits</t>
        </is>
      </c>
      <c r="E5" s="4017" t="n"/>
      <c r="F5" s="25" t="n"/>
      <c r="G5" s="26" t="n"/>
      <c r="H5" s="177" t="n"/>
      <c r="I5" s="2174" t="inlineStr">
        <is>
          <t xml:space="preserve">GP/LP RETURN SUMMARY</t>
        </is>
      </c>
      <c r="J5" s="2175" t="n"/>
      <c r="K5" s="2175" t="n"/>
      <c r="L5" s="2175" t="n"/>
      <c r="M5" s="2176" t="n"/>
      <c r="N5" s="25" t="n"/>
      <c r="O5" s="27" t="n"/>
    </row>
    <row r="6" s="3154" customFormat="1" ht="13.5" customHeight="1">
      <c r="A6" s="2177" t="n"/>
      <c r="B6" s="2178" t="n"/>
      <c r="C6" s="2179" t="inlineStr">
        <is>
          <t xml:space="preserve">Hurdle</t>
        </is>
      </c>
      <c r="D6" s="2179" t="inlineStr">
        <is>
          <t xml:space="preserve">LP</t>
        </is>
      </c>
      <c r="E6" s="2180" t="inlineStr">
        <is>
          <t xml:space="preserve">GP</t>
        </is>
      </c>
      <c r="F6" s="25" t="n"/>
      <c r="G6" s="26" t="n"/>
      <c r="H6" s="177" t="n"/>
      <c r="I6" s="2181" t="n"/>
      <c r="J6" s="2182" t="n"/>
      <c r="K6" s="2179" t="inlineStr">
        <is>
          <t xml:space="preserve">LP</t>
        </is>
      </c>
      <c r="L6" s="2179" t="inlineStr">
        <is>
          <t xml:space="preserve">GP</t>
        </is>
      </c>
      <c r="M6" s="2180" t="inlineStr">
        <is>
          <t xml:space="preserve">PROJECT</t>
        </is>
      </c>
      <c r="N6" s="25" t="n"/>
      <c r="O6" s="27" t="n"/>
    </row>
    <row r="7" s="3154" customFormat="1" ht="13.5" customHeight="1">
      <c r="A7" s="254" t="inlineStr">
        <is>
          <t xml:space="preserve">Preferred Return</t>
        </is>
      </c>
      <c r="B7" s="26" t="n"/>
      <c r="C7" s="2183" t="n">
        <v>0.08</v>
      </c>
      <c r="D7" s="4018" t="n">
        <v>1</v>
      </c>
      <c r="E7" s="4019" t="n">
        <f t="array" ref="E7">1-D7</f>
        <v>0</v>
      </c>
      <c r="F7" s="25" t="n"/>
      <c r="G7" s="1099" t="n"/>
      <c r="H7" s="2186" t="n"/>
      <c r="I7" s="283" t="inlineStr">
        <is>
          <t xml:space="preserve">IRR</t>
        </is>
      </c>
      <c r="J7" s="26" t="n"/>
      <c r="K7" s="4020" t="e">
        <f t="array" ref="K7">C88</f>
      </c>
      <c r="L7" s="2188" t="n"/>
      <c r="M7" s="4019" t="e">
        <f t="array" ref="M7">C25</f>
      </c>
      <c r="N7" s="25" t="n"/>
      <c r="O7" s="27" t="n"/>
    </row>
    <row r="8" s="3154" customFormat="1" ht="13.5" customHeight="1">
      <c r="A8" s="254" t="inlineStr">
        <is>
          <t xml:space="preserve">Tier 1 Split</t>
        </is>
      </c>
      <c r="B8" s="26" t="n"/>
      <c r="C8" s="2183" t="n">
        <v>0.12</v>
      </c>
      <c r="D8" s="4018" t="n">
        <v>0.8</v>
      </c>
      <c r="E8" s="4019" t="n">
        <f t="array" ref="E8">1-D8</f>
        <v>0.2</v>
      </c>
      <c r="F8" s="25" t="n"/>
      <c r="G8" s="1099" t="n"/>
      <c r="H8" s="2186" t="n"/>
      <c r="I8" s="283" t="inlineStr">
        <is>
          <t xml:space="preserve">Equity Invested</t>
        </is>
      </c>
      <c r="J8" s="26" t="n"/>
      <c r="K8" s="3322" t="n">
        <f t="array" ref="K8">-C30</f>
        <v>0</v>
      </c>
      <c r="L8" s="3322" t="n">
        <f t="array" ref="L8">C37</f>
        <v>0</v>
      </c>
      <c r="M8" s="4021" t="n">
        <f t="array" ref="M8">K8+L8</f>
        <v>0</v>
      </c>
      <c r="N8" s="25" t="n"/>
      <c r="O8" s="27" t="n"/>
    </row>
    <row r="9" s="3154" customFormat="1" ht="13.5" customHeight="1">
      <c r="A9" s="254" t="inlineStr">
        <is>
          <t xml:space="preserve">Tier 2 Split</t>
        </is>
      </c>
      <c r="B9" s="26" t="n"/>
      <c r="C9" s="2183" t="n">
        <v>0.15</v>
      </c>
      <c r="D9" s="4018" t="n">
        <v>0.7</v>
      </c>
      <c r="E9" s="4019" t="n">
        <f t="array" ref="E9">1-D9</f>
        <v>0.3</v>
      </c>
      <c r="F9" s="25" t="n"/>
      <c r="G9" s="1099" t="n"/>
      <c r="H9" s="2186" t="n"/>
      <c r="I9" s="283" t="inlineStr">
        <is>
          <t xml:space="preserve">Preferred Return</t>
        </is>
      </c>
      <c r="J9" s="26" t="n"/>
      <c r="K9" s="3322" t="e">
        <f t="array" ref="K9">C29-K8</f>
      </c>
      <c r="L9" s="3322" t="e">
        <f t="array" ref="L9">C36</f>
      </c>
      <c r="M9" s="4021" t="e">
        <f t="array" ref="M9">K9+L9</f>
      </c>
      <c r="N9" s="25" t="n"/>
      <c r="O9" s="27" t="n"/>
    </row>
    <row r="10" s="3154" customFormat="1" ht="13.5" hidden="1" customHeight="1">
      <c r="A10" s="254" t="inlineStr">
        <is>
          <t xml:space="preserve">Catch Up on Profits</t>
        </is>
      </c>
      <c r="B10" s="26" t="n"/>
      <c r="C10" s="2183" t="n">
        <v>0</v>
      </c>
      <c r="D10" s="4018" t="n">
        <v>0</v>
      </c>
      <c r="E10" s="4019" t="n">
        <f t="array" ref="E10">1-D10</f>
        <v>1</v>
      </c>
      <c r="F10" s="25" t="n"/>
      <c r="G10" s="1099" t="n"/>
      <c r="H10" s="2186" t="n"/>
      <c r="I10" s="25" t="n"/>
      <c r="J10" s="26" t="n"/>
      <c r="K10" s="26" t="n"/>
      <c r="L10" s="26" t="n"/>
      <c r="M10" s="177" t="n"/>
      <c r="N10" s="25" t="n"/>
      <c r="O10" s="27" t="n"/>
    </row>
    <row r="11" s="3154" customFormat="1" ht="13.5" customHeight="1">
      <c r="A11" s="254" t="inlineStr">
        <is>
          <t xml:space="preserve">Final Split</t>
        </is>
      </c>
      <c r="B11" s="26" t="n"/>
      <c r="C11" s="2190" t="n"/>
      <c r="D11" s="4018" t="n">
        <v>0.5</v>
      </c>
      <c r="E11" s="4019" t="n">
        <f t="array" ref="E11">1-D11</f>
        <v>0.5</v>
      </c>
      <c r="F11" s="25" t="n"/>
      <c r="G11" s="1099" t="n"/>
      <c r="H11" s="2186" t="n"/>
      <c r="I11" s="283" t="inlineStr">
        <is>
          <t xml:space="preserve">First Tier Return</t>
        </is>
      </c>
      <c r="J11" s="26" t="n"/>
      <c r="K11" s="3322" t="e">
        <f t="array" ref="K11">C43</f>
      </c>
      <c r="L11" s="3322" t="e">
        <f t="array" ref="L11">C50</f>
      </c>
      <c r="M11" s="4021" t="e">
        <f t="array" ref="M11">K11+L11</f>
      </c>
      <c r="N11" s="25" t="n"/>
      <c r="O11" s="4022" t="n"/>
    </row>
    <row r="12" s="3154" customFormat="1" ht="13.5" customHeight="1">
      <c r="A12" s="194" t="n"/>
      <c r="B12" s="163" t="n"/>
      <c r="C12" s="2192" t="n"/>
      <c r="D12" s="2193" t="n"/>
      <c r="E12" s="2194" t="n"/>
      <c r="F12" s="25" t="n"/>
      <c r="G12" s="1099" t="n"/>
      <c r="H12" s="2186" t="n"/>
      <c r="I12" s="283" t="inlineStr">
        <is>
          <t xml:space="preserve">Second Tier Return</t>
        </is>
      </c>
      <c r="J12" s="26" t="n"/>
      <c r="K12" s="3322" t="e">
        <f t="array" ref="K12">C57</f>
      </c>
      <c r="L12" s="3322" t="e">
        <f t="array" ref="L12">C64</f>
      </c>
      <c r="M12" s="4021" t="e">
        <f t="array" ref="M12">K12+L12</f>
      </c>
      <c r="N12" s="25" t="n"/>
      <c r="O12" s="4022" t="n"/>
    </row>
    <row r="13" s="3154" customFormat="1" ht="13.5" customHeight="1">
      <c r="A13" s="443" t="n"/>
      <c r="B13" s="158" t="n"/>
      <c r="C13" s="2195" t="n"/>
      <c r="D13" s="2196" t="n"/>
      <c r="E13" s="2197" t="n"/>
      <c r="F13" s="26" t="n"/>
      <c r="G13" s="26" t="n"/>
      <c r="H13" s="177" t="n"/>
      <c r="I13" s="283" t="inlineStr">
        <is>
          <t xml:space="preserve">Profits b/f Catch Up</t>
        </is>
      </c>
      <c r="J13" s="26" t="n"/>
      <c r="K13" s="3322" t="e">
        <f t="array" ref="K13">SUM(K9:K12)</f>
      </c>
      <c r="L13" s="3322" t="e">
        <f t="array" ref="L13">SUM(L9:L12)</f>
      </c>
      <c r="M13" s="4021" t="e">
        <f t="array" ref="M13">K13+L13</f>
      </c>
      <c r="N13" s="25" t="n"/>
      <c r="O13" s="27" t="n"/>
    </row>
    <row r="14" s="3154" customFormat="1" ht="13.5" customHeight="1">
      <c r="A14" s="627" t="n"/>
      <c r="B14" s="26" t="n"/>
      <c r="C14" s="26" t="n"/>
      <c r="D14" s="26" t="n"/>
      <c r="E14" s="26" t="n"/>
      <c r="F14" s="26" t="n"/>
      <c r="G14" s="1099" t="n"/>
      <c r="H14" s="2186" t="n"/>
      <c r="I14" s="283" t="inlineStr">
        <is>
          <t xml:space="preserve">% Profit b/f Catch Up</t>
        </is>
      </c>
      <c r="J14" s="26" t="n"/>
      <c r="K14" s="1922" t="e">
        <f t="array" ref="K14">K13/$M$13</f>
      </c>
      <c r="L14" s="1922" t="e">
        <f t="array" ref="L14">L13/$M$13</f>
      </c>
      <c r="M14" s="2198" t="e">
        <f t="array" ref="M14">K14+L14</f>
      </c>
      <c r="N14" s="25" t="n"/>
      <c r="O14" s="27" t="n"/>
    </row>
    <row r="15" s="3154" customFormat="1" ht="13.5" hidden="1" customHeight="1">
      <c r="A15" s="627" t="n"/>
      <c r="B15" s="26" t="n"/>
      <c r="C15" s="26" t="n"/>
      <c r="D15" s="26" t="n"/>
      <c r="E15" s="26" t="n"/>
      <c r="F15" s="26" t="n"/>
      <c r="G15" s="1099" t="n"/>
      <c r="H15" s="2186" t="n"/>
      <c r="I15" s="283" t="inlineStr">
        <is>
          <t xml:space="preserve">Profits Catch Up</t>
        </is>
      </c>
      <c r="J15" s="26" t="n"/>
      <c r="K15" s="3322" t="e">
        <f t="array" ref="K15">C71</f>
      </c>
      <c r="L15" s="3322" t="e">
        <f t="array" ref="L15">C78</f>
      </c>
      <c r="M15" s="4021" t="e">
        <f t="array" ref="M15">K15+L15</f>
      </c>
      <c r="N15" s="25" t="n"/>
      <c r="O15" s="27" t="n"/>
    </row>
    <row r="16" s="3154" customFormat="1" ht="13.5" customHeight="1">
      <c r="A16" s="627" t="n"/>
      <c r="B16" s="26" t="n"/>
      <c r="C16" s="26" t="n"/>
      <c r="D16" s="26" t="n"/>
      <c r="E16" s="26" t="n"/>
      <c r="F16" s="26" t="n"/>
      <c r="G16" s="1099" t="n"/>
      <c r="H16" s="2186" t="n"/>
      <c r="I16" s="283" t="inlineStr">
        <is>
          <t xml:space="preserve">Final Split</t>
        </is>
      </c>
      <c r="J16" s="26" t="n"/>
      <c r="K16" s="3322" t="e">
        <f t="array" ref="K16">C85</f>
      </c>
      <c r="L16" s="3322" t="e">
        <f t="array" ref="L16">C92</f>
      </c>
      <c r="M16" s="4021" t="e">
        <f t="array" ref="M16">K16+L16</f>
      </c>
      <c r="N16" s="25" t="n"/>
      <c r="O16" s="27" t="n"/>
    </row>
    <row r="17" s="3154" customFormat="1" ht="13.5" customHeight="1">
      <c r="A17" s="627" t="n"/>
      <c r="B17" s="26" t="n"/>
      <c r="C17" s="26" t="n"/>
      <c r="D17" s="26" t="n"/>
      <c r="E17" s="26" t="n"/>
      <c r="F17" s="26" t="n"/>
      <c r="G17" s="1099" t="n"/>
      <c r="H17" s="2186" t="n"/>
      <c r="I17" s="283" t="inlineStr">
        <is>
          <t xml:space="preserve">Total Profits</t>
        </is>
      </c>
      <c r="J17" s="26" t="n"/>
      <c r="K17" s="3322" t="e">
        <f t="array" ref="K17">K13+K15+K16</f>
      </c>
      <c r="L17" s="3322" t="e">
        <f t="array" ref="L17">L13+L15+L16</f>
      </c>
      <c r="M17" s="4021" t="e">
        <f t="array" ref="M17">K17+L17</f>
      </c>
      <c r="N17" s="25" t="n"/>
      <c r="O17" s="27" t="n"/>
    </row>
    <row r="18" s="3154" customFormat="1" ht="13.5" customHeight="1">
      <c r="A18" s="627" t="n"/>
      <c r="B18" s="26" t="n"/>
      <c r="C18" s="26" t="n"/>
      <c r="D18" s="26" t="n"/>
      <c r="E18" s="26" t="n"/>
      <c r="F18" s="26" t="n"/>
      <c r="G18" s="1099" t="n"/>
      <c r="H18" s="2186" t="n"/>
      <c r="I18" s="283" t="inlineStr">
        <is>
          <t xml:space="preserve">% Share of Total Profits</t>
        </is>
      </c>
      <c r="J18" s="26" t="n"/>
      <c r="K18" s="4020" t="e">
        <f t="array" ref="K18">K17/M17</f>
      </c>
      <c r="L18" s="4020" t="e">
        <f t="array" ref="L18">L17/M17</f>
      </c>
      <c r="M18" s="4019" t="e">
        <f t="array" ref="M18">K18+L18</f>
      </c>
      <c r="N18" s="25" t="n"/>
      <c r="O18" s="27" t="n"/>
    </row>
    <row r="19" s="3154" customFormat="1" ht="13.5" customHeight="1">
      <c r="A19" s="627" t="n"/>
      <c r="B19" s="26" t="n"/>
      <c r="C19" s="26" t="n"/>
      <c r="D19" s="26" t="n"/>
      <c r="E19" s="26" t="n"/>
      <c r="F19" s="26" t="n"/>
      <c r="G19" s="1099" t="n"/>
      <c r="H19" s="2186" t="n"/>
      <c r="I19" s="283" t="inlineStr">
        <is>
          <t xml:space="preserve">Multiple on Capital</t>
        </is>
      </c>
      <c r="J19" s="26" t="n"/>
      <c r="K19" s="4023" t="e">
        <f t="array" ref="K19">K17/K8+1</f>
      </c>
      <c r="L19" s="2188" t="n"/>
      <c r="M19" s="4024" t="e">
        <f t="array" ref="M19">M17/M8+1</f>
      </c>
      <c r="N19" s="25" t="n"/>
      <c r="O19" s="27" t="n"/>
    </row>
    <row r="20" s="3154" customFormat="1" ht="13.5" customHeight="1">
      <c r="A20" s="627" t="n"/>
      <c r="B20" s="26" t="n"/>
      <c r="C20" s="26" t="n"/>
      <c r="D20" s="26" t="n"/>
      <c r="E20" s="26" t="n"/>
      <c r="F20" s="26" t="n"/>
      <c r="G20" s="26" t="n"/>
      <c r="H20" s="26" t="n"/>
      <c r="I20" s="3322" t="n"/>
      <c r="J20" s="3322" t="n"/>
      <c r="K20" s="3322" t="n"/>
      <c r="L20" s="4025" t="n"/>
      <c r="M20" s="4026" t="n"/>
      <c r="N20" s="26" t="n"/>
      <c r="O20" s="27" t="n"/>
    </row>
    <row r="21" s="3154" customFormat="1" ht="13.5" customHeight="1">
      <c r="A21" s="2154" t="inlineStr">
        <is>
          <t xml:space="preserve">LEVERAGED CASH FLOWS</t>
        </is>
      </c>
      <c r="B21" s="2178" t="n"/>
      <c r="C21" s="2179" t="inlineStr">
        <is>
          <t xml:space="preserve">TOTAL</t>
        </is>
      </c>
      <c r="D21" s="2182" t="n">
        <f t="array" ref="D21">'Annual CF'!B6</f>
        <v>2026</v>
      </c>
      <c r="E21" s="2182" t="n">
        <f t="array" ref="E21">D21+1</f>
        <v>2027</v>
      </c>
      <c r="F21" s="2182" t="n">
        <f t="array" ref="F21">E21+1</f>
        <v>2028</v>
      </c>
      <c r="G21" s="2182" t="n">
        <f t="array" ref="G21">F21+1</f>
        <v>2029</v>
      </c>
      <c r="H21" s="2182" t="n">
        <f t="array" ref="H21">G21+1</f>
        <v>2030</v>
      </c>
      <c r="I21" s="2182" t="n">
        <f t="array" ref="I21">H21+1</f>
        <v>2031</v>
      </c>
      <c r="J21" s="2182" t="n">
        <f t="array" ref="J21">I21+1</f>
        <v>2032</v>
      </c>
      <c r="K21" s="2182" t="n">
        <f t="array" ref="K21">J21+1</f>
        <v>2033</v>
      </c>
      <c r="L21" s="2182" t="n">
        <f t="array" ref="L21">K21+1</f>
        <v>2034</v>
      </c>
      <c r="M21" s="2182" t="n">
        <f t="array" ref="M21">L21+1</f>
        <v>2035</v>
      </c>
      <c r="N21" s="2182" t="n">
        <f t="array" ref="N21">M21+1</f>
        <v>2036</v>
      </c>
      <c r="O21" s="27" t="n"/>
    </row>
    <row r="22" s="3154" customFormat="1" ht="13.5" customHeight="1">
      <c r="A22" s="161" t="inlineStr">
        <is>
          <t xml:space="preserve">Leveraged CF's</t>
        </is>
      </c>
      <c r="B22" s="26" t="n"/>
      <c r="C22" s="4027" t="e">
        <f t="array" ref="C22">SUM(D22:N22)</f>
      </c>
      <c r="D22" s="4027" t="e">
        <f t="array" ref="D22">'Annual CF'!B21+'Annual CF'!B27</f>
      </c>
      <c r="E22" s="4027" t="e">
        <f t="array" ref="E22">'Annual CF'!C21+'Annual CF'!C27</f>
      </c>
      <c r="F22" s="4027" t="e">
        <f t="array" ref="F22">'Annual CF'!D21+'Annual CF'!D27</f>
      </c>
      <c r="G22" s="4027" t="e">
        <f t="array" ref="G22">'Annual CF'!E21+'Annual CF'!E27</f>
      </c>
      <c r="H22" s="4027" t="e">
        <f t="array" ref="H22">'Annual CF'!F21+'Annual CF'!F27</f>
      </c>
      <c r="I22" s="4027" t="e">
        <f t="array" ref="I22">'Annual CF'!G21+'Annual CF'!G27</f>
      </c>
      <c r="J22" s="4027" t="e">
        <f t="array" ref="J22">'Annual CF'!H21+'Annual CF'!H27</f>
      </c>
      <c r="K22" s="4027" t="e">
        <f t="array" ref="K22">'Annual CF'!I21+'Annual CF'!I27</f>
      </c>
      <c r="L22" s="4027" t="e">
        <f t="array" ref="L22">'Annual CF'!J21+'Annual CF'!J27</f>
      </c>
      <c r="M22" s="4027" t="e">
        <f t="array" ref="M22">'Annual CF'!K21+'Annual CF'!K27</f>
      </c>
      <c r="N22" s="4027" t="e">
        <f t="array" ref="N22">'Annual CF'!L21+'Annual CF'!L27</f>
      </c>
      <c r="O22" s="27" t="n"/>
    </row>
    <row r="23" s="3154" customFormat="1" ht="13.5" customHeight="1">
      <c r="A23" s="161" t="inlineStr">
        <is>
          <t xml:space="preserve">Equity Contributions</t>
        </is>
      </c>
      <c r="B23" s="26" t="n"/>
      <c r="C23" s="4027" t="n">
        <f t="array" ref="C23">SUM(D23:N23)</f>
        <v>0</v>
      </c>
      <c r="D23" s="4027" t="n">
        <f t="array" ref="D23">'Annual CF'!B12</f>
        <v>0</v>
      </c>
      <c r="E23" s="4027" t="n">
        <f t="array" ref="E23">'Annual CF'!C12</f>
        <v>0</v>
      </c>
      <c r="F23" s="4027" t="n">
        <f t="array" ref="F23">'Annual CF'!D12</f>
        <v>0</v>
      </c>
      <c r="G23" s="4027" t="n">
        <f t="array" ref="G23">'Annual CF'!E12</f>
        <v>0</v>
      </c>
      <c r="H23" s="4027" t="n">
        <f t="array" ref="H23">'Annual CF'!F12</f>
        <v>0</v>
      </c>
      <c r="I23" s="4027" t="n">
        <f t="array" ref="I23">'Annual CF'!G12</f>
        <v>0</v>
      </c>
      <c r="J23" s="4027" t="n">
        <f t="array" ref="J23">'Annual CF'!H12</f>
        <v>0</v>
      </c>
      <c r="K23" s="4027" t="n">
        <f t="array" ref="K23">'Annual CF'!I12</f>
        <v>0</v>
      </c>
      <c r="L23" s="4027" t="n">
        <f t="array" ref="L23">'Annual CF'!J12</f>
        <v>0</v>
      </c>
      <c r="M23" s="4027" t="n">
        <f t="array" ref="M23">'Annual CF'!K12</f>
        <v>0</v>
      </c>
      <c r="N23" s="4027" t="n">
        <f t="array" ref="N23">'Annual CF'!L12</f>
        <v>0</v>
      </c>
      <c r="O23" s="27" t="n"/>
    </row>
    <row r="24" s="3154" customFormat="1" ht="13.5" customHeight="1">
      <c r="A24" s="2204" t="inlineStr">
        <is>
          <t xml:space="preserve">TOTAL</t>
        </is>
      </c>
      <c r="B24" s="2205" t="n"/>
      <c r="C24" s="4006" t="e">
        <f t="array" ref="C24">SUM(D24:N24)</f>
      </c>
      <c r="D24" s="4006" t="e">
        <f t="array" ref="D24">D23+D22</f>
      </c>
      <c r="E24" s="4006" t="e">
        <f t="array" ref="E24">E23+E22</f>
      </c>
      <c r="F24" s="4006" t="e">
        <f t="array" ref="F24">F23+F22</f>
      </c>
      <c r="G24" s="4006" t="e">
        <f t="array" ref="G24">G23+G22</f>
      </c>
      <c r="H24" s="4006" t="e">
        <f t="array" ref="H24">H23+H22</f>
      </c>
      <c r="I24" s="4006" t="e">
        <f t="array" ref="I24">I23+I22</f>
      </c>
      <c r="J24" s="4006" t="e">
        <f t="array" ref="J24">J23+J22</f>
      </c>
      <c r="K24" s="4006" t="e">
        <f t="array" ref="K24">K23+K22</f>
      </c>
      <c r="L24" s="4006" t="e">
        <f t="array" ref="L24">L23+L22</f>
      </c>
      <c r="M24" s="4006" t="e">
        <f t="array" ref="M24">M23+M22</f>
      </c>
      <c r="N24" s="4028" t="e">
        <f t="array" ref="N24">N23+N22</f>
      </c>
      <c r="O24" s="27" t="n"/>
    </row>
    <row r="25" s="3154" customFormat="1" ht="13.5" customHeight="1">
      <c r="A25" s="627" t="n"/>
      <c r="B25" s="26" t="n"/>
      <c r="C25" s="4029" t="e">
        <f t="array" ref="C25">IRR(D24:N24,0.15)</f>
      </c>
      <c r="D25" s="3322" t="n"/>
      <c r="E25" s="3322" t="n"/>
      <c r="F25" s="3322" t="n"/>
      <c r="G25" s="3322" t="n"/>
      <c r="H25" s="3322" t="n"/>
      <c r="I25" s="3322" t="n"/>
      <c r="J25" s="3322" t="n"/>
      <c r="K25" s="3322" t="n"/>
      <c r="L25" s="3322" t="n"/>
      <c r="M25" s="3322" t="n"/>
      <c r="N25" s="3322" t="n"/>
      <c r="O25" s="27" t="n"/>
    </row>
    <row r="26" s="3154" customFormat="1" ht="13.5" customHeight="1">
      <c r="A26" s="627" t="n"/>
      <c r="B26" s="26" t="n"/>
      <c r="C26" s="2121" t="n"/>
      <c r="D26" s="26" t="n"/>
      <c r="E26" s="26" t="n"/>
      <c r="F26" s="26" t="n"/>
      <c r="G26" s="26" t="n"/>
      <c r="H26" s="26" t="n"/>
      <c r="I26" s="26" t="n"/>
      <c r="J26" s="26" t="n"/>
      <c r="K26" s="26" t="n"/>
      <c r="L26" s="26" t="n"/>
      <c r="M26" s="26" t="n"/>
      <c r="N26" s="2208" t="n"/>
      <c r="O26" s="27" t="n"/>
    </row>
    <row r="27" s="3154" customFormat="1" ht="13.5" hidden="1" customHeight="1">
      <c r="A27" s="2209" t="n"/>
      <c r="B27" s="2210" t="n"/>
      <c r="C27" s="2211" t="n"/>
      <c r="D27" s="2211" t="n">
        <v>0</v>
      </c>
      <c r="E27" s="2211" t="n">
        <v>1</v>
      </c>
      <c r="F27" s="2211" t="n">
        <f t="array" ref="F27">E27+1</f>
        <v>2</v>
      </c>
      <c r="G27" s="2211" t="n">
        <f t="array" ref="G27">F27+1</f>
        <v>3</v>
      </c>
      <c r="H27" s="2211" t="n">
        <f t="array" ref="H27">G27+1</f>
        <v>4</v>
      </c>
      <c r="I27" s="2211" t="n">
        <f t="array" ref="I27">H27+1</f>
        <v>5</v>
      </c>
      <c r="J27" s="2211" t="n">
        <f t="array" ref="J27">I27+1</f>
        <v>6</v>
      </c>
      <c r="K27" s="2211" t="n">
        <f t="array" ref="K27">J27+1</f>
        <v>7</v>
      </c>
      <c r="L27" s="2211" t="n">
        <f t="array" ref="L27">K27+1</f>
        <v>8</v>
      </c>
      <c r="M27" s="2211" t="n">
        <f t="array" ref="M27">L27+1</f>
        <v>9</v>
      </c>
      <c r="N27" s="2211" t="n">
        <f t="array" ref="N27">M27+1</f>
        <v>10</v>
      </c>
      <c r="O27" s="27" t="n"/>
    </row>
    <row r="28" s="3154" customFormat="1" ht="13.5" customHeight="1">
      <c r="A28" s="2154" t="inlineStr">
        <is>
          <t xml:space="preserve">LP PREFERRED RETURN</t>
        </is>
      </c>
      <c r="B28" s="2178" t="n"/>
      <c r="C28" s="2179" t="inlineStr">
        <is>
          <t xml:space="preserve">TOTAL</t>
        </is>
      </c>
      <c r="D28" s="2182" t="n">
        <f t="array" ref="D28">D$21</f>
        <v>2026</v>
      </c>
      <c r="E28" s="2182" t="n">
        <f t="array" ref="E28">E$21</f>
        <v>2027</v>
      </c>
      <c r="F28" s="2182" t="n">
        <f t="array" ref="F28">F$21</f>
        <v>2028</v>
      </c>
      <c r="G28" s="2182" t="n">
        <f t="array" ref="G28">G$21</f>
        <v>2029</v>
      </c>
      <c r="H28" s="2182" t="n">
        <f t="array" ref="H28">H$21</f>
        <v>2030</v>
      </c>
      <c r="I28" s="2182" t="n">
        <f t="array" ref="I28">I$21</f>
        <v>2031</v>
      </c>
      <c r="J28" s="2182" t="n">
        <f t="array" ref="J28">J$21</f>
        <v>2032</v>
      </c>
      <c r="K28" s="2182" t="n">
        <f t="array" ref="K28">K$21</f>
        <v>2033</v>
      </c>
      <c r="L28" s="2182" t="n">
        <f t="array" ref="L28">L$21</f>
        <v>2034</v>
      </c>
      <c r="M28" s="2182" t="n">
        <f t="array" ref="M28">M$21</f>
        <v>2035</v>
      </c>
      <c r="N28" s="2182" t="n">
        <f t="array" ref="N28">N$21</f>
        <v>2036</v>
      </c>
      <c r="O28" s="27" t="n"/>
    </row>
    <row r="29" s="3154" customFormat="1" ht="13.5" customHeight="1">
      <c r="A29" s="1940" t="inlineStr">
        <is>
          <t xml:space="preserve">Income Pref</t>
        </is>
      </c>
      <c r="B29" s="1100" t="n"/>
      <c r="C29" s="4027" t="e">
        <f t="array" ref="C29">SUM(D29:N29)</f>
      </c>
      <c r="D29" s="4027" t="e">
        <f t="array" ref="D29">MIN(-D30,D$22)</f>
      </c>
      <c r="E29" s="4027" t="e">
        <f t="array" ref="E29">MIN(E$22,(-D31)*(1+$C$7)^(E27)-E30)</f>
      </c>
      <c r="F29" s="4027" t="e">
        <f t="array" ref="F29">MIN(F$22,(-(NPV($C$7,$E31:E31)+$D$31)*(1+$C$7)^(F27)-F30))</f>
      </c>
      <c r="G29" s="4027" t="e">
        <f t="array" ref="G29">MIN(G$22,(-(NPV($C$7,$E31:F31)+$D$31)*(1+$C$7)^(G27)-G30))</f>
      </c>
      <c r="H29" s="4027" t="e">
        <f t="array" ref="H29">MIN(H$22,(-(NPV($C$7,$E31:G31)+$D$31)*(1+$C$7)^(H27)-H30))</f>
      </c>
      <c r="I29" s="4027" t="e">
        <f t="array" ref="I29">MIN(I$22,(-(NPV($C$7,$E31:H31)+$D$31)*(1+$C$7)^(I27)-I30))</f>
      </c>
      <c r="J29" s="4027" t="e">
        <f t="array" ref="J29">MIN(J$22,(-(NPV($C$7,$E31:I31)+$D$31)*(1+$C$7)^(J27)-J30))</f>
      </c>
      <c r="K29" s="4027" t="e">
        <f t="array" ref="K29">MIN(K$22,(-(NPV($C$7,$E31:J31)+$D$31)*(1+$C$7)^(K27)-K30))</f>
      </c>
      <c r="L29" s="4027" t="e">
        <f t="array" ref="L29">MIN(L$22,(-(NPV($C$7,$E31:K31)+$D$31)*(1+$C$7)^(L27)-L30))</f>
      </c>
      <c r="M29" s="4027" t="e">
        <f t="array" ref="M29">MIN(M$22,(-(NPV($C$7,$E31:L31)+$D$31)*(1+$C$7)^(M27)-M30))</f>
      </c>
      <c r="N29" s="4027" t="e">
        <f t="array" ref="N29">MIN(N$22,(-(NPV($C$7,$E31:M31)+$D$31)*(1+$C$7)^(N27)-N30))</f>
      </c>
      <c r="O29" s="27" t="n"/>
    </row>
    <row r="30" s="3154" customFormat="1" ht="13.5" customHeight="1">
      <c r="A30" s="1940" t="inlineStr">
        <is>
          <t xml:space="preserve">Equity Contributions</t>
        </is>
      </c>
      <c r="B30" s="1100" t="n"/>
      <c r="C30" s="4027" t="n">
        <f t="array" ref="C30">SUM(D30:N30)</f>
        <v>0</v>
      </c>
      <c r="D30" s="4027" t="n">
        <f t="array" ref="D30">D$23*$D$7</f>
        <v>0</v>
      </c>
      <c r="E30" s="4027" t="n">
        <f t="array" ref="E30">E$23*$D$7</f>
        <v>0</v>
      </c>
      <c r="F30" s="4027" t="n">
        <f t="array" ref="F30">F$23*$D$7</f>
        <v>0</v>
      </c>
      <c r="G30" s="4027" t="n">
        <f t="array" ref="G30">G$23*$D$7</f>
        <v>0</v>
      </c>
      <c r="H30" s="4027" t="n">
        <f t="array" ref="H30">H$23*$D$7</f>
        <v>0</v>
      </c>
      <c r="I30" s="4027" t="n">
        <f t="array" ref="I30">I$23*$D$7</f>
        <v>0</v>
      </c>
      <c r="J30" s="4027" t="n">
        <f t="array" ref="J30">J$23*$D$7</f>
        <v>0</v>
      </c>
      <c r="K30" s="4027" t="n">
        <f t="array" ref="K30">K$23*$D$7</f>
        <v>0</v>
      </c>
      <c r="L30" s="4027" t="n">
        <f t="array" ref="L30">L$23*$D$7</f>
        <v>0</v>
      </c>
      <c r="M30" s="4027" t="n">
        <f t="array" ref="M30">M$23*$D$7</f>
        <v>0</v>
      </c>
      <c r="N30" s="4027" t="n">
        <f t="array" ref="N30">N$23*$D$7</f>
        <v>0</v>
      </c>
      <c r="O30" s="27" t="n"/>
    </row>
    <row r="31" s="3154" customFormat="1" ht="13.5" customHeight="1">
      <c r="A31" s="2212" t="inlineStr">
        <is>
          <t xml:space="preserve">TOTAL</t>
        </is>
      </c>
      <c r="B31" s="4006" t="n"/>
      <c r="C31" s="4028" t="e">
        <f t="array" ref="C31">SUM(D31:N31)</f>
      </c>
      <c r="D31" s="4028" t="e">
        <f t="array" ref="D31">D29+D30</f>
      </c>
      <c r="E31" s="4028" t="e">
        <f t="array" ref="E31">E29+E30</f>
      </c>
      <c r="F31" s="4028" t="e">
        <f t="array" ref="F31">F29+F30</f>
      </c>
      <c r="G31" s="4028" t="e">
        <f t="array" ref="G31">G29+G30</f>
      </c>
      <c r="H31" s="4028" t="e">
        <f t="array" ref="H31">H29+H30</f>
      </c>
      <c r="I31" s="4028" t="e">
        <f t="array" ref="I31">I29+I30</f>
      </c>
      <c r="J31" s="4028" t="e">
        <f t="array" ref="J31">J29+J30</f>
      </c>
      <c r="K31" s="4028" t="e">
        <f t="array" ref="K31">K29+K30</f>
      </c>
      <c r="L31" s="4028" t="e">
        <f t="array" ref="L31">L29+L30</f>
      </c>
      <c r="M31" s="4028" t="e">
        <f t="array" ref="M31">M29+M30</f>
      </c>
      <c r="N31" s="4028" t="e">
        <f t="array" ref="N31">N29+N30</f>
      </c>
      <c r="O31" s="27" t="n"/>
    </row>
    <row r="32" s="3154" customFormat="1" ht="13.5" customHeight="1">
      <c r="A32" s="627" t="n"/>
      <c r="B32" s="26" t="n"/>
      <c r="C32" s="4029" t="e">
        <f t="array" ref="C32">IRR(D31:N31,0.15)</f>
      </c>
      <c r="D32" s="26" t="n"/>
      <c r="E32" s="26" t="n"/>
      <c r="F32" s="26" t="n"/>
      <c r="G32" s="26" t="n"/>
      <c r="H32" s="26" t="n"/>
      <c r="I32" s="26" t="n"/>
      <c r="J32" s="26" t="n"/>
      <c r="K32" s="26" t="n"/>
      <c r="L32" s="26" t="n"/>
      <c r="M32" s="26" t="n"/>
      <c r="N32" s="2208" t="n"/>
      <c r="O32" s="27" t="n"/>
    </row>
    <row r="33" s="3154" customFormat="1" ht="13.5" customHeight="1">
      <c r="A33" s="627" t="n"/>
      <c r="B33" s="26" t="n"/>
      <c r="C33" s="26" t="n"/>
      <c r="D33" s="26" t="n"/>
      <c r="E33" s="26" t="n"/>
      <c r="F33" s="26" t="n"/>
      <c r="G33" s="26" t="n"/>
      <c r="H33" s="26" t="n"/>
      <c r="I33" s="26" t="n"/>
      <c r="J33" s="26" t="n"/>
      <c r="K33" s="26" t="n"/>
      <c r="L33" s="26" t="n"/>
      <c r="M33" s="26" t="n"/>
      <c r="N33" s="2208" t="n"/>
      <c r="O33" s="27" t="n"/>
    </row>
    <row r="34" s="3154" customFormat="1" ht="13.5" hidden="1" customHeight="1">
      <c r="A34" s="2209" t="n"/>
      <c r="B34" s="2210" t="n"/>
      <c r="C34" s="2211" t="n"/>
      <c r="D34" s="2211" t="n">
        <v>0</v>
      </c>
      <c r="E34" s="2211" t="n">
        <v>1</v>
      </c>
      <c r="F34" s="2211" t="n">
        <f t="array" ref="F34">E34+1</f>
        <v>2</v>
      </c>
      <c r="G34" s="2211" t="n">
        <f t="array" ref="G34">F34+1</f>
        <v>3</v>
      </c>
      <c r="H34" s="2211" t="n">
        <f t="array" ref="H34">G34+1</f>
        <v>4</v>
      </c>
      <c r="I34" s="2211" t="n">
        <f t="array" ref="I34">H34+1</f>
        <v>5</v>
      </c>
      <c r="J34" s="2211" t="n">
        <f t="array" ref="J34">I34+1</f>
        <v>6</v>
      </c>
      <c r="K34" s="2211" t="n">
        <f t="array" ref="K34">J34+1</f>
        <v>7</v>
      </c>
      <c r="L34" s="2211" t="n">
        <f t="array" ref="L34">K34+1</f>
        <v>8</v>
      </c>
      <c r="M34" s="2211" t="n">
        <f t="array" ref="M34">L34+1</f>
        <v>9</v>
      </c>
      <c r="N34" s="2211" t="n">
        <f t="array" ref="N34">M34+1</f>
        <v>10</v>
      </c>
      <c r="O34" s="27" t="n"/>
    </row>
    <row r="35" s="3154" customFormat="1" ht="13.5" customHeight="1">
      <c r="A35" s="2154" t="inlineStr">
        <is>
          <t xml:space="preserve">GP PREFERRED RETURN</t>
        </is>
      </c>
      <c r="B35" s="2178" t="n"/>
      <c r="C35" s="2213" t="str">
        <f t="array" ref="C35">C28</f>
        <v>TOTAL</v>
      </c>
      <c r="D35" s="2182" t="n">
        <f t="array" ref="D35">D$21</f>
        <v>2026</v>
      </c>
      <c r="E35" s="2182" t="n">
        <f t="array" ref="E35">E$21</f>
        <v>2027</v>
      </c>
      <c r="F35" s="2182" t="n">
        <f t="array" ref="F35">F$21</f>
        <v>2028</v>
      </c>
      <c r="G35" s="2182" t="n">
        <f t="array" ref="G35">G$21</f>
        <v>2029</v>
      </c>
      <c r="H35" s="2182" t="n">
        <f t="array" ref="H35">H$21</f>
        <v>2030</v>
      </c>
      <c r="I35" s="2182" t="n">
        <f t="array" ref="I35">I$21</f>
        <v>2031</v>
      </c>
      <c r="J35" s="2182" t="n">
        <f t="array" ref="J35">J$21</f>
        <v>2032</v>
      </c>
      <c r="K35" s="2182" t="n">
        <f t="array" ref="K35">K$21</f>
        <v>2033</v>
      </c>
      <c r="L35" s="2182" t="n">
        <f t="array" ref="L35">L$21</f>
        <v>2034</v>
      </c>
      <c r="M35" s="2182" t="n">
        <f t="array" ref="M35">M$21</f>
        <v>2035</v>
      </c>
      <c r="N35" s="2182" t="n">
        <f t="array" ref="N35">N$21</f>
        <v>2036</v>
      </c>
      <c r="O35" s="27" t="n"/>
    </row>
    <row r="36" s="3154" customFormat="1" ht="13.5" customHeight="1">
      <c r="A36" s="161" t="inlineStr">
        <is>
          <t xml:space="preserve">Income Pref</t>
        </is>
      </c>
      <c r="B36" s="26" t="n"/>
      <c r="C36" s="4027" t="e">
        <f t="array" ref="C36">SUM(D36:N36)</f>
      </c>
      <c r="D36" s="4027" t="e">
        <f t="array" ref="D36">MIN(-D37,D$22-D29)</f>
      </c>
      <c r="E36" s="4027" t="e">
        <f t="array" ref="E36">MIN(E$22-E29,(-D37)*(1+$C$7)^(E34)-E37)</f>
      </c>
      <c r="F36" s="4027" t="e">
        <f t="array" ref="F36">MIN(F$22-F29,(-(NPV(($C$7),$E38:E38)+$D38)*(1+$C$7)^(F34)-F37))</f>
      </c>
      <c r="G36" s="4027" t="e">
        <f t="array" ref="G36">MIN(G$22-G29,(-(NPV(($C$7),$E38:F38)+$D38)*(1+$C$7)^(G34)-G37))</f>
      </c>
      <c r="H36" s="4027" t="e">
        <f t="array" ref="H36">MIN(H$22-H29,(-(NPV(($C$7),$E38:G38)+$D38)*(1+$C$7)^(H34)-H37))</f>
      </c>
      <c r="I36" s="4027" t="e">
        <f t="array" ref="I36">MIN(I$22-I29,(-(NPV(($C$7),$E38:H38)+$D38)*(1+$C$7)^(I34)-I37))</f>
      </c>
      <c r="J36" s="4027" t="e">
        <f t="array" ref="J36">MIN(J$22-J29,(-(NPV(($C$7),$E38:I38)+$D38)*(1+$C$7)^(J34)-J37))</f>
      </c>
      <c r="K36" s="4027" t="e">
        <f t="array" ref="K36">MIN(K$22-K29,(-(NPV(($C$7),$E38:J38)+$D38)*(1+$C$7)^(K34)-K37))</f>
      </c>
      <c r="L36" s="4027" t="e">
        <f t="array" ref="L36">MIN(L$22-L29,(-(NPV(($C$7),$E38:K38)+$D38)*(1+$C$7)^(L34)-L37))</f>
      </c>
      <c r="M36" s="4027" t="e">
        <f t="array" ref="M36">MIN(M$22-M29,(-(NPV(($C$7),$E38:L38)+$D38)*(1+$C$7)^(M34)-M37))</f>
      </c>
      <c r="N36" s="4027" t="e">
        <f t="array" ref="N36">MIN(N$22-N29,(-(NPV(($C$7),$E38:M38)+$D38)*(1+$C$7)^(N34)-N37))</f>
      </c>
      <c r="O36" s="27" t="n"/>
    </row>
    <row r="37" s="3154" customFormat="1" ht="13.5" customHeight="1">
      <c r="A37" s="161" t="inlineStr">
        <is>
          <t xml:space="preserve">Equity Contributions</t>
        </is>
      </c>
      <c r="B37" s="26" t="n"/>
      <c r="C37" s="4027" t="n">
        <f t="array" ref="C37">SUM(D37:N37)</f>
        <v>0</v>
      </c>
      <c r="D37" s="4027" t="n">
        <f t="array" ref="D37">D$23*$E$7</f>
        <v>0</v>
      </c>
      <c r="E37" s="4027" t="n">
        <f t="array" ref="E37">E$23*$E$7</f>
        <v>0</v>
      </c>
      <c r="F37" s="4027" t="n">
        <f t="array" ref="F37">F$23*$E$7</f>
        <v>0</v>
      </c>
      <c r="G37" s="4027" t="n">
        <f t="array" ref="G37">G$23*$E$7</f>
        <v>0</v>
      </c>
      <c r="H37" s="4027" t="n">
        <f t="array" ref="H37">H$23*$E$7</f>
        <v>0</v>
      </c>
      <c r="I37" s="4027" t="n">
        <f t="array" ref="I37">I$23*$E$7</f>
        <v>0</v>
      </c>
      <c r="J37" s="4027" t="n">
        <f t="array" ref="J37">J$23*$E$7</f>
        <v>0</v>
      </c>
      <c r="K37" s="4027" t="n">
        <f t="array" ref="K37">K$23*$E$7</f>
        <v>0</v>
      </c>
      <c r="L37" s="4027" t="n">
        <f t="array" ref="L37">L$23*$E$7</f>
        <v>0</v>
      </c>
      <c r="M37" s="4027" t="n">
        <f t="array" ref="M37">M$23*$E$7</f>
        <v>0</v>
      </c>
      <c r="N37" s="4027" t="n">
        <f t="array" ref="N37">N$23*$E$7</f>
        <v>0</v>
      </c>
      <c r="O37" s="27" t="n"/>
    </row>
    <row r="38" s="3154" customFormat="1" ht="13.5" customHeight="1">
      <c r="A38" s="2212" t="inlineStr">
        <is>
          <t xml:space="preserve">TOTAL</t>
        </is>
      </c>
      <c r="B38" s="4006" t="n"/>
      <c r="C38" s="4028" t="e">
        <f t="array" ref="C38">SUM(D38:N38)</f>
      </c>
      <c r="D38" s="4028" t="e">
        <f t="array" ref="D38">D36+D37</f>
      </c>
      <c r="E38" s="4028" t="e">
        <f t="array" ref="E38">E36+E37</f>
      </c>
      <c r="F38" s="4028" t="e">
        <f t="array" ref="F38">F36+F37</f>
      </c>
      <c r="G38" s="4028" t="e">
        <f t="array" ref="G38">G36+G37</f>
      </c>
      <c r="H38" s="4028" t="e">
        <f t="array" ref="H38">H36+H37</f>
      </c>
      <c r="I38" s="4028" t="e">
        <f t="array" ref="I38">I36+I37</f>
      </c>
      <c r="J38" s="4028" t="e">
        <f t="array" ref="J38">J36+J37</f>
      </c>
      <c r="K38" s="4028" t="e">
        <f t="array" ref="K38">K36+K37</f>
      </c>
      <c r="L38" s="4028" t="e">
        <f t="array" ref="L38">L36+L37</f>
      </c>
      <c r="M38" s="4028" t="e">
        <f t="array" ref="M38">M36+M37</f>
      </c>
      <c r="N38" s="4028" t="e">
        <f t="array" ref="N38">N36+N37</f>
      </c>
      <c r="O38" s="27" t="n"/>
    </row>
    <row r="39" s="3154" customFormat="1" ht="13.5" customHeight="1">
      <c r="A39" s="627" t="n"/>
      <c r="B39" s="26" t="n"/>
      <c r="C39" s="582" t="str">
        <f t="array" ref="C39">IF(ISERROR(IRR(D38:M38,0.00001)),"IRR: - ",IRR(D38:M38,0.000001))</f>
        <v>IRR: - </v>
      </c>
      <c r="D39" s="26" t="n"/>
      <c r="E39" s="26" t="n"/>
      <c r="F39" s="26" t="n"/>
      <c r="G39" s="26" t="n"/>
      <c r="H39" s="26" t="n"/>
      <c r="I39" s="26" t="n"/>
      <c r="J39" s="26" t="n"/>
      <c r="K39" s="26" t="n"/>
      <c r="L39" s="26" t="n"/>
      <c r="M39" s="26" t="n"/>
      <c r="N39" s="2208" t="n"/>
      <c r="O39" s="27" t="n"/>
    </row>
    <row r="40" s="3154" customFormat="1" ht="13.5" customHeight="1">
      <c r="A40" s="627" t="n"/>
      <c r="B40" s="26" t="n"/>
      <c r="C40" s="26" t="n"/>
      <c r="D40" s="26" t="n"/>
      <c r="E40" s="26" t="n"/>
      <c r="F40" s="26" t="n"/>
      <c r="G40" s="26" t="n"/>
      <c r="H40" s="26" t="n"/>
      <c r="I40" s="26" t="n"/>
      <c r="J40" s="26" t="n"/>
      <c r="K40" s="26" t="n"/>
      <c r="L40" s="26" t="n"/>
      <c r="M40" s="26" t="n"/>
      <c r="N40" s="2208" t="n"/>
      <c r="O40" s="27" t="n"/>
    </row>
    <row r="41" s="3154" customFormat="1" ht="13.5" hidden="1" customHeight="1">
      <c r="A41" s="2209" t="n"/>
      <c r="B41" s="2210" t="n"/>
      <c r="C41" s="2211" t="n"/>
      <c r="D41" s="2211" t="n">
        <v>0</v>
      </c>
      <c r="E41" s="2211" t="n">
        <v>1</v>
      </c>
      <c r="F41" s="2211" t="n">
        <f t="array" ref="F41">E41+1</f>
        <v>2</v>
      </c>
      <c r="G41" s="2211" t="n">
        <f t="array" ref="G41">F41+1</f>
        <v>3</v>
      </c>
      <c r="H41" s="2211" t="n">
        <f t="array" ref="H41">G41+1</f>
        <v>4</v>
      </c>
      <c r="I41" s="2211" t="n">
        <f t="array" ref="I41">H41+1</f>
        <v>5</v>
      </c>
      <c r="J41" s="2211" t="n">
        <f t="array" ref="J41">I41+1</f>
        <v>6</v>
      </c>
      <c r="K41" s="2211" t="n">
        <f t="array" ref="K41">J41+1</f>
        <v>7</v>
      </c>
      <c r="L41" s="2211" t="n">
        <f t="array" ref="L41">K41+1</f>
        <v>8</v>
      </c>
      <c r="M41" s="2211" t="n">
        <f t="array" ref="M41">L41+1</f>
        <v>9</v>
      </c>
      <c r="N41" s="2211" t="n">
        <f t="array" ref="N41">M41+1</f>
        <v>10</v>
      </c>
      <c r="O41" s="27" t="n"/>
    </row>
    <row r="42" s="3154" customFormat="1" ht="13.5" customHeight="1">
      <c r="A42" s="2154" t="inlineStr">
        <is>
          <t xml:space="preserve">LP TIER 1</t>
        </is>
      </c>
      <c r="B42" s="2178" t="n"/>
      <c r="C42" s="2213" t="str">
        <f t="array" ref="C42">C28</f>
        <v>TOTAL</v>
      </c>
      <c r="D42" s="2182" t="n">
        <f t="array" ref="D42">D$21</f>
        <v>2026</v>
      </c>
      <c r="E42" s="2182" t="n">
        <f t="array" ref="E42">E$21</f>
        <v>2027</v>
      </c>
      <c r="F42" s="2182" t="n">
        <f t="array" ref="F42">F$21</f>
        <v>2028</v>
      </c>
      <c r="G42" s="2182" t="n">
        <f t="array" ref="G42">G$21</f>
        <v>2029</v>
      </c>
      <c r="H42" s="2182" t="n">
        <f t="array" ref="H42">H$21</f>
        <v>2030</v>
      </c>
      <c r="I42" s="2182" t="n">
        <f t="array" ref="I42">I$21</f>
        <v>2031</v>
      </c>
      <c r="J42" s="2182" t="n">
        <f t="array" ref="J42">J$21</f>
        <v>2032</v>
      </c>
      <c r="K42" s="2182" t="n">
        <f t="array" ref="K42">K$21</f>
        <v>2033</v>
      </c>
      <c r="L42" s="2182" t="n">
        <f t="array" ref="L42">L$21</f>
        <v>2034</v>
      </c>
      <c r="M42" s="2182" t="n">
        <f t="array" ref="M42">M$21</f>
        <v>2035</v>
      </c>
      <c r="N42" s="2182" t="n">
        <f t="array" ref="N42">N$21</f>
        <v>2036</v>
      </c>
      <c r="O42" s="27" t="n"/>
    </row>
    <row r="43" s="3154" customFormat="1" ht="13.5" customHeight="1">
      <c r="A43" s="161" t="inlineStr">
        <is>
          <t xml:space="preserve">Income TIER I</t>
        </is>
      </c>
      <c r="B43" s="26" t="n"/>
      <c r="C43" s="4027" t="e">
        <f t="array" ref="C43">SUM(D43:N43)</f>
      </c>
      <c r="D43" s="4027" t="e">
        <f t="array" ref="D43">MIN(-D44,(D$22-D29-D36)*$D$8)</f>
      </c>
      <c r="E43" s="4027" t="e">
        <f t="array" ref="E43">MIN((E$22-E29-E36)*$D$8,(-D45)*(1+$C$8)^(E41/12)-E44)</f>
      </c>
      <c r="F43" s="4027" t="e">
        <f t="array" ref="F43">MIN((F$22-F29-F36)*$D$8,-(NPV($C$8,$E45:E45)+$D$45)*(1+$C$8)^(F41)-F44)</f>
      </c>
      <c r="G43" s="4027" t="e">
        <f t="array" ref="G43">MIN((G$22-G29-G36)*$D$8,-(NPV($C$8,$E45:F45)+$D$45)*(1+$C$8)^(G41)-G44)</f>
      </c>
      <c r="H43" s="4027" t="e">
        <f t="array" ref="H43">MIN((H$22-H29-H36)*$D$8,-(NPV($C$8,$E45:G45)+$D$45)*(1+$C$8)^(H41)-H44)</f>
      </c>
      <c r="I43" s="4027" t="e">
        <f t="array" ref="I43">MIN((I$22-I29-I36)*$D$8,-(NPV($C$8,$E45:H45)+$D$45)*(1+$C$8)^(I41)-I44)</f>
      </c>
      <c r="J43" s="4027" t="e">
        <f t="array" ref="J43">MIN((J$22-J29-J36)*$D$8,-(NPV($C$8,$E45:I45)+$D$45)*(1+$C$8)^(J41)-J44)</f>
      </c>
      <c r="K43" s="4027" t="e">
        <f t="array" ref="K43">MIN((K$22-K29-K36)*$D$8,-(NPV($C$8,$E45:J45)+$D$45)*(1+$C$8)^(K41)-K44)</f>
      </c>
      <c r="L43" s="4027" t="e">
        <f t="array" ref="L43">MIN((L$22-L29-L36)*$D$8,-(NPV($C$8,$E45:K45)+$D$45)*(1+$C$8)^(L41)-L44)</f>
      </c>
      <c r="M43" s="4027" t="e">
        <f t="array" ref="M43">MIN((M$22-M29-M36)*$D$8,-(NPV($C$8,$E45:L45)+$D$45)*(1+$C$8)^(M41)-M44)</f>
      </c>
      <c r="N43" s="4027" t="e">
        <f t="array" ref="N43">MIN((N$22-N29-N36)*$D$8,-(NPV($C$8,$E45:M45)+$D$45)*(1+$C$8)^(N41)-N44)</f>
      </c>
      <c r="O43" s="27" t="n"/>
    </row>
    <row r="44" s="3154" customFormat="1" ht="13.5" customHeight="1">
      <c r="A44" s="161" t="inlineStr">
        <is>
          <t xml:space="preserve">Net</t>
        </is>
      </c>
      <c r="B44" s="26" t="n"/>
      <c r="C44" s="4027" t="e">
        <f t="array" ref="C44">SUM(D44:N44)</f>
      </c>
      <c r="D44" s="4027" t="e">
        <f t="array" ref="D44">D31</f>
      </c>
      <c r="E44" s="4027" t="e">
        <f t="array" ref="E44">E31</f>
      </c>
      <c r="F44" s="4027" t="e">
        <f t="array" ref="F44">F31</f>
      </c>
      <c r="G44" s="4027" t="e">
        <f t="array" ref="G44">G31</f>
      </c>
      <c r="H44" s="4027" t="e">
        <f t="array" ref="H44">H31</f>
      </c>
      <c r="I44" s="4027" t="e">
        <f t="array" ref="I44">I31</f>
      </c>
      <c r="J44" s="4027" t="e">
        <f t="array" ref="J44">J31</f>
      </c>
      <c r="K44" s="4027" t="e">
        <f t="array" ref="K44">K31</f>
      </c>
      <c r="L44" s="4027" t="e">
        <f t="array" ref="L44">L31</f>
      </c>
      <c r="M44" s="4027" t="e">
        <f t="array" ref="M44">M31</f>
      </c>
      <c r="N44" s="4027" t="e">
        <f t="array" ref="N44">N31</f>
      </c>
      <c r="O44" s="27" t="n"/>
    </row>
    <row r="45" s="3154" customFormat="1" ht="13.5" customHeight="1">
      <c r="A45" s="2212" t="inlineStr">
        <is>
          <t xml:space="preserve">TOTAL</t>
        </is>
      </c>
      <c r="B45" s="4006" t="n"/>
      <c r="C45" s="4028" t="e">
        <f t="array" ref="C45">SUM(D45:N45)</f>
      </c>
      <c r="D45" s="4028" t="e">
        <f t="array" ref="D45">D43+D44</f>
      </c>
      <c r="E45" s="4028" t="e">
        <f t="array" ref="E45">E43+E44</f>
      </c>
      <c r="F45" s="4028" t="e">
        <f t="array" ref="F45">F43+F44</f>
      </c>
      <c r="G45" s="4028" t="e">
        <f t="array" ref="G45">G43+G44</f>
      </c>
      <c r="H45" s="4028" t="e">
        <f t="array" ref="H45">H43+H44</f>
      </c>
      <c r="I45" s="4028" t="e">
        <f t="array" ref="I45">I43+I44</f>
      </c>
      <c r="J45" s="4028" t="e">
        <f t="array" ref="J45">J43+J44</f>
      </c>
      <c r="K45" s="4028" t="e">
        <f t="array" ref="K45">K43+K44</f>
      </c>
      <c r="L45" s="4028" t="e">
        <f t="array" ref="L45">L43+L44</f>
      </c>
      <c r="M45" s="4028" t="e">
        <f t="array" ref="M45">M43+M44</f>
      </c>
      <c r="N45" s="4028" t="e">
        <f t="array" ref="N45">N43+N44</f>
      </c>
      <c r="O45" s="27" t="n"/>
    </row>
    <row r="46" s="3154" customFormat="1" ht="13.5" customHeight="1">
      <c r="A46" s="161" t="inlineStr">
        <is>
          <t xml:space="preserve">IRR</t>
        </is>
      </c>
      <c r="B46" s="26" t="n"/>
      <c r="C46" s="4029" t="e">
        <f t="array" ref="C46">IRR(D45:N45,0.15)</f>
      </c>
      <c r="D46" s="26" t="n"/>
      <c r="E46" s="26" t="n"/>
      <c r="F46" s="26" t="n"/>
      <c r="G46" s="26" t="n"/>
      <c r="H46" s="26" t="n"/>
      <c r="I46" s="26" t="n"/>
      <c r="J46" s="26" t="n"/>
      <c r="K46" s="26" t="n"/>
      <c r="L46" s="26" t="n"/>
      <c r="M46" s="26" t="n"/>
      <c r="N46" s="2208" t="n"/>
      <c r="O46" s="27" t="n"/>
    </row>
    <row r="47" s="3154" customFormat="1" ht="13.5" customHeight="1">
      <c r="A47" s="627" t="n"/>
      <c r="B47" s="26" t="n"/>
      <c r="C47" s="26" t="n"/>
      <c r="D47" s="26" t="n"/>
      <c r="E47" s="26" t="n"/>
      <c r="F47" s="26" t="n"/>
      <c r="G47" s="26" t="n"/>
      <c r="H47" s="26" t="n"/>
      <c r="I47" s="26" t="n"/>
      <c r="J47" s="26" t="n"/>
      <c r="K47" s="26" t="n"/>
      <c r="L47" s="26" t="n"/>
      <c r="M47" s="26" t="n"/>
      <c r="N47" s="2208" t="n"/>
      <c r="O47" s="27" t="n"/>
    </row>
    <row r="48" s="3154" customFormat="1" ht="13.5" hidden="1" customHeight="1">
      <c r="A48" s="2209" t="n"/>
      <c r="B48" s="2210" t="n"/>
      <c r="C48" s="2211" t="n"/>
      <c r="D48" s="2211" t="n">
        <v>0</v>
      </c>
      <c r="E48" s="2211" t="n">
        <v>1</v>
      </c>
      <c r="F48" s="2211" t="n">
        <f t="array" ref="F48">E48+1</f>
        <v>2</v>
      </c>
      <c r="G48" s="2211" t="n">
        <f t="array" ref="G48">F48+1</f>
        <v>3</v>
      </c>
      <c r="H48" s="2211" t="n">
        <f t="array" ref="H48">G48+1</f>
        <v>4</v>
      </c>
      <c r="I48" s="2211" t="n">
        <f t="array" ref="I48">H48+1</f>
        <v>5</v>
      </c>
      <c r="J48" s="2211" t="n">
        <f t="array" ref="J48">I48+1</f>
        <v>6</v>
      </c>
      <c r="K48" s="2211" t="n">
        <f t="array" ref="K48">J48+1</f>
        <v>7</v>
      </c>
      <c r="L48" s="2211" t="n">
        <f t="array" ref="L48">K48+1</f>
        <v>8</v>
      </c>
      <c r="M48" s="2211" t="n">
        <f t="array" ref="M48">L48+1</f>
        <v>9</v>
      </c>
      <c r="N48" s="2211" t="n">
        <f t="array" ref="N48">M48+1</f>
        <v>10</v>
      </c>
      <c r="O48" s="27" t="n"/>
    </row>
    <row r="49" s="3154" customFormat="1" ht="13.5" customHeight="1">
      <c r="A49" s="2154" t="inlineStr">
        <is>
          <t xml:space="preserve">GP TIER 1</t>
        </is>
      </c>
      <c r="B49" s="2178" t="n"/>
      <c r="C49" s="2213" t="str">
        <f t="array" ref="C49">C42</f>
        <v>TOTAL</v>
      </c>
      <c r="D49" s="2182" t="n">
        <f t="array" ref="D49">D$21</f>
        <v>2026</v>
      </c>
      <c r="E49" s="2182" t="n">
        <f t="array" ref="E49">E$21</f>
        <v>2027</v>
      </c>
      <c r="F49" s="2182" t="n">
        <f t="array" ref="F49">F$21</f>
        <v>2028</v>
      </c>
      <c r="G49" s="2182" t="n">
        <f t="array" ref="G49">G$21</f>
        <v>2029</v>
      </c>
      <c r="H49" s="2182" t="n">
        <f t="array" ref="H49">H$21</f>
        <v>2030</v>
      </c>
      <c r="I49" s="2182" t="n">
        <f t="array" ref="I49">I$21</f>
        <v>2031</v>
      </c>
      <c r="J49" s="2182" t="n">
        <f t="array" ref="J49">J$21</f>
        <v>2032</v>
      </c>
      <c r="K49" s="2182" t="n">
        <f t="array" ref="K49">K$21</f>
        <v>2033</v>
      </c>
      <c r="L49" s="2182" t="n">
        <f t="array" ref="L49">L$21</f>
        <v>2034</v>
      </c>
      <c r="M49" s="2182" t="n">
        <f t="array" ref="M49">M$21</f>
        <v>2035</v>
      </c>
      <c r="N49" s="2182" t="n">
        <f t="array" ref="N49">N$21</f>
        <v>2036</v>
      </c>
      <c r="O49" s="27" t="n"/>
    </row>
    <row r="50" s="3154" customFormat="1" ht="13.5" customHeight="1">
      <c r="A50" s="161" t="inlineStr">
        <is>
          <t xml:space="preserve">Income TIER I</t>
        </is>
      </c>
      <c r="B50" s="26" t="n"/>
      <c r="C50" s="4027" t="e">
        <f t="array" ref="C50">SUM(D50:N50)</f>
      </c>
      <c r="D50" s="4027" t="e">
        <f t="array" ref="D50">D43*$E$8/$D$8</f>
      </c>
      <c r="E50" s="4027" t="e">
        <f t="array" ref="E50">E43*$E$8/$D$8</f>
      </c>
      <c r="F50" s="4027" t="e">
        <f t="array" ref="F50">F43*$E$8/$D$8</f>
      </c>
      <c r="G50" s="4027" t="e">
        <f t="array" ref="G50">G43*$E$8/$D$8</f>
      </c>
      <c r="H50" s="4027" t="e">
        <f t="array" ref="H50">H43*$E$8/$D$8</f>
      </c>
      <c r="I50" s="4027" t="e">
        <f t="array" ref="I50">I43*$E$8/$D$8</f>
      </c>
      <c r="J50" s="4027" t="e">
        <f t="array" ref="J50">J43*$E$8/$D$8</f>
      </c>
      <c r="K50" s="4027" t="e">
        <f t="array" ref="K50">K43*$E$8/$D$8</f>
      </c>
      <c r="L50" s="4027" t="e">
        <f t="array" ref="L50">L43*$E$8/$D$8</f>
      </c>
      <c r="M50" s="4027" t="e">
        <f t="array" ref="M50">M43*$E$8/$D$8</f>
      </c>
      <c r="N50" s="4027" t="e">
        <f t="array" ref="N50">N43*$E$8/$D$8</f>
      </c>
      <c r="O50" s="27" t="n"/>
    </row>
    <row r="51" s="3154" customFormat="1" ht="13.5" customHeight="1">
      <c r="A51" s="161" t="inlineStr">
        <is>
          <t xml:space="preserve">Net</t>
        </is>
      </c>
      <c r="B51" s="26" t="n"/>
      <c r="C51" s="4027" t="e">
        <f t="array" ref="C51">SUM(D51:N51)</f>
      </c>
      <c r="D51" s="4027" t="e">
        <f t="array" ref="D51">D38</f>
      </c>
      <c r="E51" s="4027" t="e">
        <f t="array" ref="E51">E38</f>
      </c>
      <c r="F51" s="4027" t="e">
        <f t="array" ref="F51">F38</f>
      </c>
      <c r="G51" s="4027" t="e">
        <f t="array" ref="G51">G38</f>
      </c>
      <c r="H51" s="4027" t="e">
        <f t="array" ref="H51">H38</f>
      </c>
      <c r="I51" s="4027" t="e">
        <f t="array" ref="I51">I38</f>
      </c>
      <c r="J51" s="4027" t="e">
        <f t="array" ref="J51">J38</f>
      </c>
      <c r="K51" s="4027" t="e">
        <f t="array" ref="K51">K38</f>
      </c>
      <c r="L51" s="4027" t="e">
        <f t="array" ref="L51">L38</f>
      </c>
      <c r="M51" s="4027" t="e">
        <f t="array" ref="M51">M38</f>
      </c>
      <c r="N51" s="4027" t="e">
        <f t="array" ref="N51">N38</f>
      </c>
      <c r="O51" s="27" t="n"/>
    </row>
    <row r="52" s="3154" customFormat="1" ht="13.5" customHeight="1">
      <c r="A52" s="2212" t="inlineStr">
        <is>
          <t xml:space="preserve">TOTAL</t>
        </is>
      </c>
      <c r="B52" s="4006" t="n"/>
      <c r="C52" s="4028" t="e">
        <f t="array" ref="C52">SUM(D52:N52)</f>
      </c>
      <c r="D52" s="4028" t="e">
        <f t="array" ref="D52">D50+D51</f>
      </c>
      <c r="E52" s="4028" t="e">
        <f t="array" ref="E52">E50+E51</f>
      </c>
      <c r="F52" s="4028" t="e">
        <f t="array" ref="F52">F50+F51</f>
      </c>
      <c r="G52" s="4028" t="e">
        <f t="array" ref="G52">G50+G51</f>
      </c>
      <c r="H52" s="4028" t="e">
        <f t="array" ref="H52">H50+H51</f>
      </c>
      <c r="I52" s="4028" t="e">
        <f t="array" ref="I52">I50+I51</f>
      </c>
      <c r="J52" s="4028" t="e">
        <f t="array" ref="J52">J50+J51</f>
      </c>
      <c r="K52" s="4028" t="e">
        <f t="array" ref="K52">K50+K51</f>
      </c>
      <c r="L52" s="4028" t="e">
        <f t="array" ref="L52">L50+L51</f>
      </c>
      <c r="M52" s="4028" t="e">
        <f t="array" ref="M52">M50+M51</f>
      </c>
      <c r="N52" s="4028" t="e">
        <f t="array" ref="N52">N50+N51</f>
      </c>
      <c r="O52" s="27" t="n"/>
    </row>
    <row r="53" s="3154" customFormat="1" ht="13.5" customHeight="1">
      <c r="A53" s="627" t="n"/>
      <c r="B53" s="26" t="n"/>
      <c r="C53" s="582" t="str">
        <f t="array" ref="C53">IF(ISERROR(IRR(D52:M52,0.00001)),"IRR: - ",IRR(D52:M52,0.000001))</f>
        <v>IRR: - </v>
      </c>
      <c r="D53" s="26" t="n"/>
      <c r="E53" s="26" t="n"/>
      <c r="F53" s="26" t="n"/>
      <c r="G53" s="26" t="n"/>
      <c r="H53" s="26" t="n"/>
      <c r="I53" s="26" t="n"/>
      <c r="J53" s="26" t="n"/>
      <c r="K53" s="26" t="n"/>
      <c r="L53" s="26" t="n"/>
      <c r="M53" s="26" t="n"/>
      <c r="N53" s="2208" t="n"/>
      <c r="O53" s="27" t="n"/>
    </row>
    <row r="54" s="3154" customFormat="1" ht="13.5" customHeight="1">
      <c r="A54" s="627" t="n"/>
      <c r="B54" s="26" t="n"/>
      <c r="C54" s="26" t="n"/>
      <c r="D54" s="26" t="n"/>
      <c r="E54" s="26" t="n"/>
      <c r="F54" s="26" t="n"/>
      <c r="G54" s="26" t="n"/>
      <c r="H54" s="26" t="n"/>
      <c r="I54" s="26" t="n"/>
      <c r="J54" s="26" t="n"/>
      <c r="K54" s="26" t="n"/>
      <c r="L54" s="26" t="n"/>
      <c r="M54" s="26" t="n"/>
      <c r="N54" s="2208" t="n"/>
      <c r="O54" s="27" t="n"/>
    </row>
    <row r="55" s="3154" customFormat="1" ht="13.5" hidden="1" customHeight="1">
      <c r="A55" s="2209" t="n"/>
      <c r="B55" s="2210" t="n"/>
      <c r="C55" s="2211" t="n"/>
      <c r="D55" s="2211" t="n">
        <v>0</v>
      </c>
      <c r="E55" s="2211" t="n">
        <v>1</v>
      </c>
      <c r="F55" s="2211" t="n">
        <f t="array" ref="F55">E55+1</f>
        <v>2</v>
      </c>
      <c r="G55" s="2211" t="n">
        <f t="array" ref="G55">F55+1</f>
        <v>3</v>
      </c>
      <c r="H55" s="2211" t="n">
        <f t="array" ref="H55">G55+1</f>
        <v>4</v>
      </c>
      <c r="I55" s="2211" t="n">
        <f t="array" ref="I55">H55+1</f>
        <v>5</v>
      </c>
      <c r="J55" s="2211" t="n">
        <f t="array" ref="J55">I55+1</f>
        <v>6</v>
      </c>
      <c r="K55" s="2211" t="n">
        <f t="array" ref="K55">J55+1</f>
        <v>7</v>
      </c>
      <c r="L55" s="2211" t="n">
        <f t="array" ref="L55">K55+1</f>
        <v>8</v>
      </c>
      <c r="M55" s="2211" t="n">
        <f t="array" ref="M55">L55+1</f>
        <v>9</v>
      </c>
      <c r="N55" s="2211" t="n">
        <f t="array" ref="N55">M55+1</f>
        <v>10</v>
      </c>
      <c r="O55" s="27" t="n"/>
    </row>
    <row r="56" s="3154" customFormat="1" ht="13.5" customHeight="1">
      <c r="A56" s="2154" t="inlineStr">
        <is>
          <t xml:space="preserve">LP TIER 2</t>
        </is>
      </c>
      <c r="B56" s="2178" t="n"/>
      <c r="C56" s="2213" t="str">
        <f t="array" ref="C56">C42</f>
        <v>TOTAL</v>
      </c>
      <c r="D56" s="2182" t="n">
        <f t="array" ref="D56">D$21</f>
        <v>2026</v>
      </c>
      <c r="E56" s="2182" t="n">
        <f t="array" ref="E56">E$21</f>
        <v>2027</v>
      </c>
      <c r="F56" s="2182" t="n">
        <f t="array" ref="F56">F$21</f>
        <v>2028</v>
      </c>
      <c r="G56" s="2182" t="n">
        <f t="array" ref="G56">G$21</f>
        <v>2029</v>
      </c>
      <c r="H56" s="2182" t="n">
        <f t="array" ref="H56">H$21</f>
        <v>2030</v>
      </c>
      <c r="I56" s="2182" t="n">
        <f t="array" ref="I56">I$21</f>
        <v>2031</v>
      </c>
      <c r="J56" s="2182" t="n">
        <f t="array" ref="J56">J$21</f>
        <v>2032</v>
      </c>
      <c r="K56" s="2182" t="n">
        <f t="array" ref="K56">K$21</f>
        <v>2033</v>
      </c>
      <c r="L56" s="2182" t="n">
        <f t="array" ref="L56">L$21</f>
        <v>2034</v>
      </c>
      <c r="M56" s="2182" t="n">
        <f t="array" ref="M56">M$21</f>
        <v>2035</v>
      </c>
      <c r="N56" s="2182" t="n">
        <f t="array" ref="N56">N$21</f>
        <v>2036</v>
      </c>
      <c r="O56" s="27" t="n"/>
    </row>
    <row r="57" s="3154" customFormat="1" ht="13.5" customHeight="1">
      <c r="A57" s="161" t="inlineStr">
        <is>
          <t xml:space="preserve">Income TIER II</t>
        </is>
      </c>
      <c r="B57" s="26" t="n"/>
      <c r="C57" s="4027" t="e">
        <f t="array" ref="C57">SUM(D57:N57)</f>
      </c>
      <c r="D57" s="4027" t="e">
        <f t="array" ref="D57">MIN(-D58,(D$22-D43-D50-D36-D29)*$D$9)</f>
      </c>
      <c r="E57" s="4027" t="e">
        <f t="array" ref="E57">MIN((E$22-E43-E50-E29-E36)*$D$9,(-D59)*(1+$C$9)^(E55)-E58)</f>
      </c>
      <c r="F57" s="4027" t="e">
        <f t="array" ref="F57">MIN((F$22-F43-F50-F29-F36)*$D$9,-(NPV($C$9,$E59:E59)+$D$59)*(1+$C$9)^(F55)-F58)</f>
      </c>
      <c r="G57" s="4027" t="e">
        <f t="array" ref="G57">MIN((G$22-G43-G50-G29-G36)*$D$9,-(NPV($C$9,$E59:F59)+$D$59)*(1+$C$9)^(G55)-G58)</f>
      </c>
      <c r="H57" s="4027" t="e">
        <f t="array" ref="H57">MIN((H$22-H43-H50-H29-H36)*$D$9,-(NPV($C$9,$E59:G59)+$D$59)*(1+$C$9)^(H55)-H58)</f>
      </c>
      <c r="I57" s="4027" t="e">
        <f t="array" ref="I57">MIN((I$22-I43-I50-I29-I36)*$D$9,-(NPV($C$9,$E59:H59)+$D$59)*(1+$C$9)^(I55)-I58)</f>
      </c>
      <c r="J57" s="4027" t="e">
        <f t="array" ref="J57">MIN((J$22-J43-J50-J29-J36)*$D$9,-(NPV($C$9,$E59:I59)+$D$59)*(1+$C$9)^(J55)-J58)</f>
      </c>
      <c r="K57" s="4027" t="e">
        <f t="array" ref="K57">MIN((K$22-K43-K50-K29-K36)*$D$9,-(NPV($C$9,$E59:J59)+$D$59)*(1+$C$9)^(K55)-K58)</f>
      </c>
      <c r="L57" s="4027" t="e">
        <f t="array" ref="L57">MIN((L$22-L43-L50-L29-L36)*$D$9,-(NPV($C$9,$E59:K59)+$D$59)*(1+$C$9)^(L55)-L58)</f>
      </c>
      <c r="M57" s="4027" t="e">
        <f t="array" ref="M57">MIN((M$22-M43-M50-M29-M36)*$D$9,-(NPV($C$9,$E59:L59)+$D$59)*(1+$C$9)^(M55)-M58)</f>
      </c>
      <c r="N57" s="4027" t="e">
        <f t="array" ref="N57">MIN((N$22-N43-N50-N29-N36)*$D$9,-(NPV($C$9,$E59:M59)+$D$59)*(1+$C$9)^(N55)-N58)</f>
      </c>
      <c r="O57" s="27" t="n"/>
    </row>
    <row r="58" s="3154" customFormat="1" ht="13.5" customHeight="1">
      <c r="A58" s="161" t="inlineStr">
        <is>
          <t xml:space="preserve">Net</t>
        </is>
      </c>
      <c r="B58" s="26" t="n"/>
      <c r="C58" s="4027" t="e">
        <f t="array" ref="C58">SUM(D58:N58)</f>
      </c>
      <c r="D58" s="4027" t="e">
        <f t="array" ref="D58">D45</f>
      </c>
      <c r="E58" s="4027" t="e">
        <f t="array" ref="E58">E45</f>
      </c>
      <c r="F58" s="4027" t="e">
        <f t="array" ref="F58">F45</f>
      </c>
      <c r="G58" s="4027" t="e">
        <f t="array" ref="G58">G45</f>
      </c>
      <c r="H58" s="4027" t="e">
        <f t="array" ref="H58">H45</f>
      </c>
      <c r="I58" s="4027" t="e">
        <f t="array" ref="I58">I45</f>
      </c>
      <c r="J58" s="4027" t="e">
        <f t="array" ref="J58">J45</f>
      </c>
      <c r="K58" s="4027" t="e">
        <f t="array" ref="K58">K45</f>
      </c>
      <c r="L58" s="4027" t="e">
        <f t="array" ref="L58">L45</f>
      </c>
      <c r="M58" s="4027" t="e">
        <f t="array" ref="M58">M45</f>
      </c>
      <c r="N58" s="4027" t="e">
        <f t="array" ref="N58">N45</f>
      </c>
      <c r="O58" s="27" t="n"/>
    </row>
    <row r="59" s="3154" customFormat="1" ht="13.5" customHeight="1">
      <c r="A59" s="2212" t="inlineStr">
        <is>
          <t xml:space="preserve">TOTAL</t>
        </is>
      </c>
      <c r="B59" s="4006" t="n"/>
      <c r="C59" s="4028" t="e">
        <f t="array" ref="C59">SUM(D59:N59)</f>
      </c>
      <c r="D59" s="4028" t="e">
        <f t="array" ref="D59">D57+D58</f>
      </c>
      <c r="E59" s="4028" t="e">
        <f t="array" ref="E59">E57+E58</f>
      </c>
      <c r="F59" s="4028" t="e">
        <f t="array" ref="F59">F57+F58</f>
      </c>
      <c r="G59" s="4028" t="e">
        <f t="array" ref="G59">G57+G58</f>
      </c>
      <c r="H59" s="4028" t="e">
        <f t="array" ref="H59">H57+H58</f>
      </c>
      <c r="I59" s="4028" t="e">
        <f t="array" ref="I59">I57+I58</f>
      </c>
      <c r="J59" s="4028" t="e">
        <f t="array" ref="J59">J57+J58</f>
      </c>
      <c r="K59" s="4028" t="e">
        <f t="array" ref="K59">K57+K58</f>
      </c>
      <c r="L59" s="4028" t="e">
        <f t="array" ref="L59">L57+L58</f>
      </c>
      <c r="M59" s="4028" t="e">
        <f t="array" ref="M59">M57+M58</f>
      </c>
      <c r="N59" s="4028" t="e">
        <f t="array" ref="N59">N57+N58</f>
      </c>
      <c r="O59" s="27" t="n"/>
    </row>
    <row r="60" s="3154" customFormat="1" ht="13.5" customHeight="1">
      <c r="A60" s="161" t="inlineStr">
        <is>
          <t xml:space="preserve">IRR</t>
        </is>
      </c>
      <c r="B60" s="26" t="n"/>
      <c r="C60" s="4029" t="e">
        <f t="array" ref="C60">IRR(D59:N59,0.15)</f>
      </c>
      <c r="D60" s="26" t="n"/>
      <c r="E60" s="26" t="n"/>
      <c r="F60" s="26" t="n"/>
      <c r="G60" s="26" t="n"/>
      <c r="H60" s="26" t="n"/>
      <c r="I60" s="26" t="n"/>
      <c r="J60" s="26" t="n"/>
      <c r="K60" s="26" t="n"/>
      <c r="L60" s="26" t="n"/>
      <c r="M60" s="26" t="n"/>
      <c r="N60" s="2208" t="n"/>
      <c r="O60" s="27" t="n"/>
    </row>
    <row r="61" s="3154" customFormat="1" ht="13.5" customHeight="1">
      <c r="A61" s="627" t="n"/>
      <c r="B61" s="26" t="n"/>
      <c r="C61" s="26" t="n"/>
      <c r="D61" s="26" t="n"/>
      <c r="E61" s="26" t="n"/>
      <c r="F61" s="26" t="n"/>
      <c r="G61" s="26" t="n"/>
      <c r="H61" s="26" t="n"/>
      <c r="I61" s="26" t="n"/>
      <c r="J61" s="26" t="n"/>
      <c r="K61" s="26" t="n"/>
      <c r="L61" s="26" t="n"/>
      <c r="M61" s="26" t="n"/>
      <c r="N61" s="2208" t="n"/>
      <c r="O61" s="27" t="n"/>
    </row>
    <row r="62" s="3154" customFormat="1" ht="13.5" hidden="1" customHeight="1">
      <c r="A62" s="2209" t="n"/>
      <c r="B62" s="2210" t="n"/>
      <c r="C62" s="2211" t="n"/>
      <c r="D62" s="2211" t="n">
        <v>0</v>
      </c>
      <c r="E62" s="2211" t="n">
        <v>1</v>
      </c>
      <c r="F62" s="2211" t="n">
        <f t="array" ref="F62">E62+1</f>
        <v>2</v>
      </c>
      <c r="G62" s="2211" t="n">
        <f t="array" ref="G62">F62+1</f>
        <v>3</v>
      </c>
      <c r="H62" s="2211" t="n">
        <f t="array" ref="H62">G62+1</f>
        <v>4</v>
      </c>
      <c r="I62" s="2211" t="n">
        <f t="array" ref="I62">H62+1</f>
        <v>5</v>
      </c>
      <c r="J62" s="2211" t="n">
        <f t="array" ref="J62">I62+1</f>
        <v>6</v>
      </c>
      <c r="K62" s="2211" t="n">
        <f t="array" ref="K62">J62+1</f>
        <v>7</v>
      </c>
      <c r="L62" s="2211" t="n">
        <f t="array" ref="L62">K62+1</f>
        <v>8</v>
      </c>
      <c r="M62" s="2211" t="n">
        <f t="array" ref="M62">L62+1</f>
        <v>9</v>
      </c>
      <c r="N62" s="2211" t="n">
        <f t="array" ref="N62">M62+1</f>
        <v>10</v>
      </c>
      <c r="O62" s="27" t="n"/>
    </row>
    <row r="63" s="3154" customFormat="1" ht="13.5" customHeight="1">
      <c r="A63" s="2154" t="inlineStr">
        <is>
          <t xml:space="preserve">GP TIER 2</t>
        </is>
      </c>
      <c r="B63" s="2178" t="n"/>
      <c r="C63" s="2213" t="str">
        <f t="array" ref="C63">C56</f>
        <v>TOTAL</v>
      </c>
      <c r="D63" s="2182" t="n">
        <f t="array" ref="D63">D21</f>
        <v>2026</v>
      </c>
      <c r="E63" s="2182" t="n">
        <f t="array" ref="E63">D63+1</f>
        <v>2027</v>
      </c>
      <c r="F63" s="2182" t="n">
        <f t="array" ref="F63">E63+1</f>
        <v>2028</v>
      </c>
      <c r="G63" s="2182" t="n">
        <f t="array" ref="G63">F63+1</f>
        <v>2029</v>
      </c>
      <c r="H63" s="2182" t="n">
        <f t="array" ref="H63">G63+1</f>
        <v>2030</v>
      </c>
      <c r="I63" s="2182" t="n">
        <f t="array" ref="I63">H63+1</f>
        <v>2031</v>
      </c>
      <c r="J63" s="2182" t="n">
        <f t="array" ref="J63">I63+1</f>
        <v>2032</v>
      </c>
      <c r="K63" s="2182" t="n">
        <f t="array" ref="K63">J63+1</f>
        <v>2033</v>
      </c>
      <c r="L63" s="2182" t="n">
        <f t="array" ref="L63">K63+1</f>
        <v>2034</v>
      </c>
      <c r="M63" s="2182" t="n">
        <f t="array" ref="M63">L63+1</f>
        <v>2035</v>
      </c>
      <c r="N63" s="2182" t="n">
        <f t="array" ref="N63">M63+1</f>
        <v>2036</v>
      </c>
      <c r="O63" s="27" t="n"/>
    </row>
    <row r="64" s="3154" customFormat="1" ht="13.5" customHeight="1">
      <c r="A64" s="161" t="inlineStr">
        <is>
          <t xml:space="preserve">Income TIER II</t>
        </is>
      </c>
      <c r="B64" s="26" t="n"/>
      <c r="C64" s="4027" t="e">
        <f t="array" ref="C64">SUM(D64:N64)</f>
      </c>
      <c r="D64" s="4027" t="e">
        <f t="array" ref="D64">D57*$E$9/$D$9</f>
      </c>
      <c r="E64" s="4027" t="e">
        <f t="array" ref="E64">E57*$E$9/$D$9</f>
      </c>
      <c r="F64" s="4027" t="e">
        <f t="array" ref="F64">F57*$E$9/$D$9</f>
      </c>
      <c r="G64" s="4027" t="e">
        <f t="array" ref="G64">G57*$E$9/$D$9</f>
      </c>
      <c r="H64" s="4027" t="e">
        <f t="array" ref="H64">H57*$E$9/$D$9</f>
      </c>
      <c r="I64" s="4027" t="e">
        <f t="array" ref="I64">I57*$E$9/$D$9</f>
      </c>
      <c r="J64" s="4027" t="e">
        <f t="array" ref="J64">J57*$E$9/$D$9</f>
      </c>
      <c r="K64" s="4027" t="e">
        <f t="array" ref="K64">K57*$E$9/$D$9</f>
      </c>
      <c r="L64" s="4027" t="e">
        <f t="array" ref="L64">L57*$E$9/$D$9</f>
      </c>
      <c r="M64" s="4027" t="e">
        <f t="array" ref="M64">M57*$E$9/$D$9</f>
      </c>
      <c r="N64" s="4027" t="e">
        <f t="array" ref="N64">N57*$E$9/$D$9</f>
      </c>
      <c r="O64" s="27" t="n"/>
    </row>
    <row r="65" s="3154" customFormat="1" ht="13.5" customHeight="1">
      <c r="A65" s="161" t="inlineStr">
        <is>
          <t xml:space="preserve">Net</t>
        </is>
      </c>
      <c r="B65" s="26" t="n"/>
      <c r="C65" s="4027" t="e">
        <f t="array" ref="C65">SUM(D65:N65)</f>
      </c>
      <c r="D65" s="4027" t="e">
        <f t="array" ref="D65">D52</f>
      </c>
      <c r="E65" s="4027" t="e">
        <f t="array" ref="E65">E52</f>
      </c>
      <c r="F65" s="4027" t="e">
        <f t="array" ref="F65">F52</f>
      </c>
      <c r="G65" s="4027" t="e">
        <f t="array" ref="G65">G52</f>
      </c>
      <c r="H65" s="4027" t="e">
        <f t="array" ref="H65">H52</f>
      </c>
      <c r="I65" s="4027" t="e">
        <f t="array" ref="I65">I52</f>
      </c>
      <c r="J65" s="4027" t="e">
        <f t="array" ref="J65">J52</f>
      </c>
      <c r="K65" s="4027" t="e">
        <f t="array" ref="K65">K52</f>
      </c>
      <c r="L65" s="4027" t="e">
        <f t="array" ref="L65">L52</f>
      </c>
      <c r="M65" s="4027" t="e">
        <f t="array" ref="M65">M52</f>
      </c>
      <c r="N65" s="4027" t="e">
        <f t="array" ref="N65">N52</f>
      </c>
      <c r="O65" s="27" t="n"/>
    </row>
    <row r="66" s="3154" customFormat="1" ht="13.5" customHeight="1">
      <c r="A66" s="2212" t="inlineStr">
        <is>
          <t xml:space="preserve">TOTAL</t>
        </is>
      </c>
      <c r="B66" s="4006" t="n"/>
      <c r="C66" s="4028" t="e">
        <f t="array" ref="C66">C64+C65</f>
      </c>
      <c r="D66" s="4028" t="e">
        <f t="array" ref="D66">D64+D65</f>
      </c>
      <c r="E66" s="4028" t="e">
        <f t="array" ref="E66">E64+E65</f>
      </c>
      <c r="F66" s="4028" t="e">
        <f t="array" ref="F66">F64+F65</f>
      </c>
      <c r="G66" s="4028" t="e">
        <f t="array" ref="G66">G64+G65</f>
      </c>
      <c r="H66" s="4028" t="e">
        <f t="array" ref="H66">H64+H65</f>
      </c>
      <c r="I66" s="4028" t="e">
        <f t="array" ref="I66">I64+I65</f>
      </c>
      <c r="J66" s="4028" t="e">
        <f t="array" ref="J66">J64+J65</f>
      </c>
      <c r="K66" s="4028" t="e">
        <f t="array" ref="K66">K64+K65</f>
      </c>
      <c r="L66" s="4028" t="e">
        <f t="array" ref="L66">L64+L65</f>
      </c>
      <c r="M66" s="4028" t="e">
        <f t="array" ref="M66">M64+M65</f>
      </c>
      <c r="N66" s="4028" t="e">
        <f t="array" ref="N66">N64+N65</f>
      </c>
      <c r="O66" s="27" t="n"/>
    </row>
    <row r="67" s="3154" customFormat="1" ht="13.5" customHeight="1">
      <c r="A67" s="161" t="inlineStr">
        <is>
          <t xml:space="preserve">IRR</t>
        </is>
      </c>
      <c r="B67" s="26" t="n"/>
      <c r="C67" s="582" t="str">
        <f t="array" ref="C67">IF(ISERROR(IRR(D66:M66,0.00001)),"IRR: - ",IRR(D66:M66,0.000001))</f>
        <v>IRR: - </v>
      </c>
      <c r="D67" s="26" t="n"/>
      <c r="E67" s="26" t="n"/>
      <c r="F67" s="26" t="n"/>
      <c r="G67" s="26" t="n"/>
      <c r="H67" s="26" t="n"/>
      <c r="I67" s="26" t="n"/>
      <c r="J67" s="26" t="n"/>
      <c r="K67" s="26" t="n"/>
      <c r="L67" s="26" t="n"/>
      <c r="M67" s="26" t="n"/>
      <c r="N67" s="2208" t="n"/>
      <c r="O67" s="27" t="n"/>
    </row>
    <row r="68" s="3154" customFormat="1" ht="13.5" customHeight="1">
      <c r="A68" s="627" t="n"/>
      <c r="B68" s="26" t="n"/>
      <c r="C68" s="26" t="n"/>
      <c r="D68" s="26" t="n"/>
      <c r="E68" s="26" t="n"/>
      <c r="F68" s="26" t="n"/>
      <c r="G68" s="26" t="n"/>
      <c r="H68" s="26" t="n"/>
      <c r="I68" s="26" t="n"/>
      <c r="J68" s="26" t="n"/>
      <c r="K68" s="26" t="n"/>
      <c r="L68" s="26" t="n"/>
      <c r="M68" s="26" t="n"/>
      <c r="N68" s="2208" t="n"/>
      <c r="O68" s="27" t="n"/>
    </row>
    <row r="69" s="3154" customFormat="1" ht="13.5" hidden="1" customHeight="1">
      <c r="A69" s="2209" t="n"/>
      <c r="B69" s="2210" t="n"/>
      <c r="C69" s="2211" t="n"/>
      <c r="D69" s="2211" t="n">
        <v>0</v>
      </c>
      <c r="E69" s="2211" t="n">
        <v>1</v>
      </c>
      <c r="F69" s="2211" t="n">
        <f t="array" ref="F69">E69+1</f>
        <v>2</v>
      </c>
      <c r="G69" s="2211" t="n">
        <f t="array" ref="G69">F69+1</f>
        <v>3</v>
      </c>
      <c r="H69" s="2211" t="n">
        <f t="array" ref="H69">G69+1</f>
        <v>4</v>
      </c>
      <c r="I69" s="2211" t="n">
        <f t="array" ref="I69">H69+1</f>
        <v>5</v>
      </c>
      <c r="J69" s="2211" t="n">
        <f t="array" ref="J69">I69+1</f>
        <v>6</v>
      </c>
      <c r="K69" s="2211" t="n">
        <f t="array" ref="K69">J69+1</f>
        <v>7</v>
      </c>
      <c r="L69" s="2211" t="n">
        <f t="array" ref="L69">K69+1</f>
        <v>8</v>
      </c>
      <c r="M69" s="2211" t="n">
        <f t="array" ref="M69">L69+1</f>
        <v>9</v>
      </c>
      <c r="N69" s="2211" t="n">
        <f t="array" ref="N69">M69+1</f>
        <v>10</v>
      </c>
      <c r="O69" s="27" t="n"/>
    </row>
    <row r="70" s="3154" customFormat="1" ht="13.5" hidden="1" customHeight="1">
      <c r="A70" s="2214" t="inlineStr">
        <is>
          <t xml:space="preserve">LP CATCH UP</t>
        </is>
      </c>
      <c r="B70" s="4030" t="n"/>
      <c r="C70" s="2216" t="str">
        <f t="array" ref="C70">C56</f>
        <v>TOTAL</v>
      </c>
      <c r="D70" s="2211" t="n">
        <v>2016</v>
      </c>
      <c r="E70" s="2211" t="n">
        <f t="array" ref="E70">D70+1</f>
        <v>2017</v>
      </c>
      <c r="F70" s="2211" t="n">
        <f t="array" ref="F70">E70+1</f>
        <v>2018</v>
      </c>
      <c r="G70" s="2211" t="n">
        <f t="array" ref="G70">F70+1</f>
        <v>2019</v>
      </c>
      <c r="H70" s="2211" t="n">
        <f t="array" ref="H70">G70+1</f>
        <v>2020</v>
      </c>
      <c r="I70" s="2211" t="n">
        <f t="array" ref="I70">H70+1</f>
        <v>2021</v>
      </c>
      <c r="J70" s="2211" t="n">
        <f t="array" ref="J70">I70+1</f>
        <v>2022</v>
      </c>
      <c r="K70" s="2211" t="n">
        <f t="array" ref="K70">J70+1</f>
        <v>2023</v>
      </c>
      <c r="L70" s="2211" t="n">
        <f t="array" ref="L70">K70+1</f>
        <v>2024</v>
      </c>
      <c r="M70" s="2211" t="n">
        <f t="array" ref="M70">L70+1</f>
        <v>2025</v>
      </c>
      <c r="N70" s="2211" t="n">
        <f t="array" ref="N70">M70+1</f>
        <v>2026</v>
      </c>
      <c r="O70" s="27" t="n"/>
    </row>
    <row r="71" s="3154" customFormat="1" ht="13.5" hidden="1" customHeight="1">
      <c r="A71" s="161" t="inlineStr">
        <is>
          <t xml:space="preserve">Income Catch-Up</t>
        </is>
      </c>
      <c r="B71" s="26" t="n"/>
      <c r="C71" s="4027" t="e">
        <f t="array" ref="C71">SUM(D71:N71)</f>
      </c>
      <c r="D71" s="4027" t="n">
        <v>0</v>
      </c>
      <c r="E71" s="4027" t="e">
        <f t="array" ref="E71">E78/$E$10*$D$10</f>
      </c>
      <c r="F71" s="4027" t="e">
        <f t="array" ref="F71">F78/$E$10*$D$10</f>
      </c>
      <c r="G71" s="4027" t="e">
        <f t="array" ref="G71">G78/$E$10*$D$10</f>
      </c>
      <c r="H71" s="4027" t="e">
        <f t="array" ref="H71">H78/$E$10*$D$10</f>
      </c>
      <c r="I71" s="4027" t="e">
        <f t="array" ref="I71">I78/$E$10*$D$10</f>
      </c>
      <c r="J71" s="4027" t="e">
        <f t="array" ref="J71">J78/$E$10*$D$10</f>
      </c>
      <c r="K71" s="4027" t="e">
        <f t="array" ref="K71">K78/$E$10*$D$10</f>
      </c>
      <c r="L71" s="4027" t="e">
        <f t="array" ref="L71">L78/$E$10*$D$10</f>
      </c>
      <c r="M71" s="4027" t="e">
        <f t="array" ref="M71">M78/$E$10*$D$10</f>
      </c>
      <c r="N71" s="4027" t="e">
        <f t="array" ref="N71">N78/$E$10*$D$10</f>
      </c>
      <c r="O71" s="27" t="n"/>
    </row>
    <row r="72" s="3154" customFormat="1" ht="13.5" hidden="1" customHeight="1">
      <c r="A72" s="161" t="inlineStr">
        <is>
          <t xml:space="preserve">Net</t>
        </is>
      </c>
      <c r="B72" s="26" t="n"/>
      <c r="C72" s="4027" t="e">
        <f t="array" ref="C72">SUM(D72:N72)</f>
      </c>
      <c r="D72" s="4027" t="e">
        <f t="array" ref="D72">D59</f>
      </c>
      <c r="E72" s="4027" t="e">
        <f t="array" ref="E72">E59</f>
      </c>
      <c r="F72" s="4027" t="e">
        <f t="array" ref="F72">F59</f>
      </c>
      <c r="G72" s="4027" t="e">
        <f t="array" ref="G72">G59</f>
      </c>
      <c r="H72" s="4027" t="e">
        <f t="array" ref="H72">H59</f>
      </c>
      <c r="I72" s="4027" t="e">
        <f t="array" ref="I72">I59</f>
      </c>
      <c r="J72" s="4027" t="e">
        <f t="array" ref="J72">J59</f>
      </c>
      <c r="K72" s="4027" t="e">
        <f t="array" ref="K72">K59</f>
      </c>
      <c r="L72" s="4027" t="e">
        <f t="array" ref="L72">L59</f>
      </c>
      <c r="M72" s="4027" t="e">
        <f t="array" ref="M72">M59</f>
      </c>
      <c r="N72" s="4027" t="e">
        <f t="array" ref="N72">N59</f>
      </c>
      <c r="O72" s="27" t="n"/>
    </row>
    <row r="73" s="3154" customFormat="1" ht="13.5" hidden="1" customHeight="1">
      <c r="A73" s="2212" t="inlineStr">
        <is>
          <t xml:space="preserve">TOTAL</t>
        </is>
      </c>
      <c r="B73" s="4006" t="n"/>
      <c r="C73" s="4028" t="e">
        <f t="array" ref="C73">SUM(D73:N73)</f>
      </c>
      <c r="D73" s="4028" t="e">
        <f t="array" ref="D73">D71+D72</f>
      </c>
      <c r="E73" s="4028" t="e">
        <f t="array" ref="E73">E71+E72</f>
      </c>
      <c r="F73" s="4028" t="e">
        <f t="array" ref="F73">F71+F72</f>
      </c>
      <c r="G73" s="4028" t="e">
        <f t="array" ref="G73">G71+G72</f>
      </c>
      <c r="H73" s="4028" t="e">
        <f t="array" ref="H73">H71+H72</f>
      </c>
      <c r="I73" s="4028" t="e">
        <f t="array" ref="I73">I71+I72</f>
      </c>
      <c r="J73" s="4028" t="e">
        <f t="array" ref="J73">J71+J72</f>
      </c>
      <c r="K73" s="4028" t="e">
        <f t="array" ref="K73">K71+K72</f>
      </c>
      <c r="L73" s="4028" t="e">
        <f t="array" ref="L73">L71+L72</f>
      </c>
      <c r="M73" s="4028" t="e">
        <f t="array" ref="M73">M71+M72</f>
      </c>
      <c r="N73" s="4028" t="e">
        <f t="array" ref="N73">N71+N72</f>
      </c>
      <c r="O73" s="27" t="n"/>
    </row>
    <row r="74" s="3154" customFormat="1" ht="13.5" hidden="1" customHeight="1">
      <c r="A74" s="161" t="inlineStr">
        <is>
          <t xml:space="preserve">IRR</t>
        </is>
      </c>
      <c r="B74" s="26" t="n"/>
      <c r="C74" s="4029" t="str">
        <f t="array" ref="C74">IF(ISERROR(IRR(D73:M73,0.00001)),"IRR: - ",IRR(D73:M73,0.000001))</f>
        <v>IRR: - </v>
      </c>
      <c r="D74" s="26" t="n"/>
      <c r="E74" s="26" t="n"/>
      <c r="F74" s="26" t="n"/>
      <c r="G74" s="26" t="n"/>
      <c r="H74" s="26" t="n"/>
      <c r="I74" s="26" t="n"/>
      <c r="J74" s="26" t="n"/>
      <c r="K74" s="26" t="n"/>
      <c r="L74" s="26" t="n"/>
      <c r="M74" s="26" t="n"/>
      <c r="N74" s="2208" t="n"/>
      <c r="O74" s="27" t="n"/>
    </row>
    <row r="75" s="3154" customFormat="1" ht="13.5" hidden="1" customHeight="1">
      <c r="A75" s="627" t="n"/>
      <c r="B75" s="26" t="n"/>
      <c r="C75" s="26" t="n"/>
      <c r="D75" s="26" t="n"/>
      <c r="E75" s="26" t="n"/>
      <c r="F75" s="26" t="n"/>
      <c r="G75" s="26" t="n"/>
      <c r="H75" s="26" t="n"/>
      <c r="I75" s="26" t="n"/>
      <c r="J75" s="26" t="n"/>
      <c r="K75" s="26" t="n"/>
      <c r="L75" s="26" t="n"/>
      <c r="M75" s="26" t="n"/>
      <c r="N75" s="2208" t="n"/>
      <c r="O75" s="27" t="n"/>
    </row>
    <row r="76" s="3154" customFormat="1" ht="13.5" hidden="1" customHeight="1">
      <c r="A76" s="2209" t="n"/>
      <c r="B76" s="2210" t="n"/>
      <c r="C76" s="4031" t="e">
        <f t="array" ref="C76">C66+C59</f>
      </c>
      <c r="D76" s="2211" t="n">
        <v>0</v>
      </c>
      <c r="E76" s="2211" t="n">
        <v>1</v>
      </c>
      <c r="F76" s="2211" t="n">
        <f t="array" ref="F76">E76+1</f>
        <v>2</v>
      </c>
      <c r="G76" s="2211" t="n">
        <f t="array" ref="G76">F76+1</f>
        <v>3</v>
      </c>
      <c r="H76" s="2211" t="n">
        <f t="array" ref="H76">G76+1</f>
        <v>4</v>
      </c>
      <c r="I76" s="2211" t="n">
        <f t="array" ref="I76">H76+1</f>
        <v>5</v>
      </c>
      <c r="J76" s="2211" t="n">
        <f t="array" ref="J76">I76+1</f>
        <v>6</v>
      </c>
      <c r="K76" s="2211" t="n">
        <f t="array" ref="K76">J76+1</f>
        <v>7</v>
      </c>
      <c r="L76" s="2211" t="n">
        <f t="array" ref="L76">K76+1</f>
        <v>8</v>
      </c>
      <c r="M76" s="2211" t="n">
        <f t="array" ref="M76">L76+1</f>
        <v>9</v>
      </c>
      <c r="N76" s="2211" t="n">
        <f t="array" ref="N76">M76+1</f>
        <v>10</v>
      </c>
      <c r="O76" s="27" t="n"/>
    </row>
    <row r="77" s="3154" customFormat="1" ht="13.5" hidden="1" customHeight="1">
      <c r="A77" s="2214" t="inlineStr">
        <is>
          <t xml:space="preserve">GP CATCH UP</t>
        </is>
      </c>
      <c r="B77" s="4030" t="n"/>
      <c r="C77" s="2216" t="str">
        <f t="array" ref="C77">C70</f>
        <v>TOTAL</v>
      </c>
      <c r="D77" s="2211" t="n">
        <v>2016</v>
      </c>
      <c r="E77" s="2211" t="n">
        <f t="array" ref="E77">D77+1</f>
        <v>2017</v>
      </c>
      <c r="F77" s="2211" t="n">
        <f t="array" ref="F77">E77+1</f>
        <v>2018</v>
      </c>
      <c r="G77" s="2211" t="n">
        <f t="array" ref="G77">F77+1</f>
        <v>2019</v>
      </c>
      <c r="H77" s="2211" t="n">
        <f t="array" ref="H77">G77+1</f>
        <v>2020</v>
      </c>
      <c r="I77" s="2211" t="n">
        <f t="array" ref="I77">H77+1</f>
        <v>2021</v>
      </c>
      <c r="J77" s="2211" t="n">
        <f t="array" ref="J77">I77+1</f>
        <v>2022</v>
      </c>
      <c r="K77" s="2211" t="n">
        <f t="array" ref="K77">J77+1</f>
        <v>2023</v>
      </c>
      <c r="L77" s="2211" t="n">
        <f t="array" ref="L77">K77+1</f>
        <v>2024</v>
      </c>
      <c r="M77" s="2211" t="n">
        <f t="array" ref="M77">L77+1</f>
        <v>2025</v>
      </c>
      <c r="N77" s="2211" t="n">
        <f t="array" ref="N77">M77+1</f>
        <v>2026</v>
      </c>
      <c r="O77" s="27" t="n"/>
    </row>
    <row r="78" s="3154" customFormat="1" ht="13.5" hidden="1" customHeight="1">
      <c r="A78" s="161" t="inlineStr">
        <is>
          <t xml:space="preserve">Income Catch-Up</t>
        </is>
      </c>
      <c r="B78" s="26" t="n"/>
      <c r="C78" s="4027" t="e">
        <f t="array" ref="C78">SUM(D78:N78)</f>
      </c>
      <c r="D78" s="4027" t="n">
        <v>0</v>
      </c>
      <c r="E78" s="4027" t="e">
        <f t="array" ref="E78">IF(SUM($D78:D78)+$C$66&lt;($C$59+$C$66+SUM($D71:D71)+SUM($D78:D78))*$C$10,MIN((E22-E29-E36-E43-E50-E57-E64)*$E$10,($C$10*$C$59+$C$10*$C$66-$C$66)/($E$10-$C$10*$E$10-$C$10*$D$10)*$E$10),0)</f>
      </c>
      <c r="F78" s="4027" t="e">
        <f t="array" ref="F78">IF(SUM($D78:E78)+$C$66&lt;($C$59+$C$66+SUM($D71:E71)+SUM($D78:E78))*$C$10,MIN((F22-F29-F36-F43-F50-F57-F64)*$E$10,($C$10*$C$59+$C$10*$C$66-$C$66)/($E$10-$C$10*$E$10-$C$10*$D$10)*$E$10),0)</f>
      </c>
      <c r="G78" s="4027" t="e">
        <f t="array" ref="G78">IF(SUM($D78:F78)+$C$66&lt;($C$59+$C$66+SUM($D71:F71)+SUM($D78:F78))*$C$10,MIN((G22-G29-G36-G43-G50-G57-G64)*$E$10,($C$10*$C$59+$C$10*$C$66-$C$66)/($E$10-$C$10*$E$10-$C$10*$D$10)*$E$10),0)</f>
      </c>
      <c r="H78" s="4027" t="e">
        <f t="array" ref="H78">IF(SUM($D78:G78)+$C$66&lt;($C$59+$C$66+SUM($D71:G71)+SUM($D78:G78))*$C$10,MIN((H22-H29-H36-H43-H50-H57-H64)*$E$10,($C$10*$C$59+$C$10*$C$66-$C$66)/($E$10-$C$10*$E$10-$C$10*$D$10)*$E$10),0)</f>
      </c>
      <c r="I78" s="4027" t="e">
        <f t="array" ref="I78">IF(SUM($D78:H78)+$C$66&lt;($C$59+$C$66+SUM($D71:H71)+SUM($D78:H78))*$C$10,MIN((I22-I29-I36-I43-I50-I57-I64)*$E$10,($C$10*$C$59+$C$10*$C$66-$C$66)/($E$10-$C$10*$E$10-$C$10*$D$10)*$E$10),0)</f>
      </c>
      <c r="J78" s="4027" t="e">
        <f t="array" ref="J78">IF(SUM($D78:I78)+$C$66&lt;($C$59+$C$66+SUM($D71:I71)+SUM($D78:I78))*$C$10,MIN((J22-J29-J36-J43-J50-J57-J64)*$E$10,($C$10*$C$59+$C$10*$C$66-$C$66)/($E$10-$C$10*$E$10-$C$10*$D$10)*$E$10),0)</f>
      </c>
      <c r="K78" s="4027" t="e">
        <f t="array" ref="K78">IF(SUM($D78:J78)+$C$66&lt;($C$59+$C$66+SUM($D71:J71)+SUM($D78:J78))*$C$10,MIN((K22-K29-K36-K43-K50-K57-K64)*$E$10,($C$10*$C$59+$C$10*$C$66-$C$66)/($E$10-$C$10*$E$10-$C$10*$D$10)*$E$10),0)</f>
      </c>
      <c r="L78" s="4027" t="e">
        <f t="array" ref="L78">IF(SUM($D78:K78)+$C$66&lt;($C$59+$C$66+SUM($D71:K71)+SUM($D78:K78))*$C$10,MIN((L22-L29-L36-L43-L50-L57-L64)*$E$10,($C$10*$C$59+$C$10*$C$66-$C$66)/($E$10-$C$10*$E$10-$C$10*$D$10)*$E$10),0)</f>
      </c>
      <c r="M78" s="4027" t="e">
        <f t="array" ref="M78">IF(SUM($D78:L78)+$C$66&lt;($C$59+$C$66+SUM($D71:L71)+SUM($D78:L78))*$C$10,MIN((M22-M29-M36-M43-M50-M57-M64)*$E$10,($C$10*$C$59+$C$10*$C$66-$C$66)/($E$10-$C$10*$E$10-$C$10*$D$10)*$E$10),0)</f>
      </c>
      <c r="N78" s="4027" t="e">
        <f t="array" ref="N78">IF(SUM($D78:M78)+$C$66&lt;($C$59+$C$66+SUM($D71:M71)+SUM($D78:M78))*$C$10,MIN((N22-N29-N36-N43-N50-N57-N64)*$E$10,($C$10*$C$59+$C$10*$C$66-$C$66)/($E$10-$C$10*$E$10-$C$10*$D$10)*$E$10),0)</f>
      </c>
      <c r="O78" s="27" t="n"/>
    </row>
    <row r="79" s="3154" customFormat="1" ht="13.5" hidden="1" customHeight="1">
      <c r="A79" s="161" t="inlineStr">
        <is>
          <t xml:space="preserve">Net</t>
        </is>
      </c>
      <c r="B79" s="26" t="n"/>
      <c r="C79" s="4027" t="e">
        <f t="array" ref="C79">C66</f>
      </c>
      <c r="D79" s="4027" t="e">
        <f t="array" ref="D79">D66</f>
      </c>
      <c r="E79" s="4027" t="e">
        <f t="array" ref="E79">E66</f>
      </c>
      <c r="F79" s="4027" t="e">
        <f t="array" ref="F79">F66</f>
      </c>
      <c r="G79" s="4027" t="e">
        <f t="array" ref="G79">G66</f>
      </c>
      <c r="H79" s="4027" t="e">
        <f t="array" ref="H79">H66</f>
      </c>
      <c r="I79" s="4027" t="e">
        <f t="array" ref="I79">I66</f>
      </c>
      <c r="J79" s="4027" t="e">
        <f t="array" ref="J79">J66</f>
      </c>
      <c r="K79" s="4027" t="e">
        <f t="array" ref="K79">K66</f>
      </c>
      <c r="L79" s="4027" t="e">
        <f t="array" ref="L79">L66</f>
      </c>
      <c r="M79" s="4027" t="e">
        <f t="array" ref="M79">M66</f>
      </c>
      <c r="N79" s="4027" t="e">
        <f t="array" ref="N79">N66</f>
      </c>
      <c r="O79" s="27" t="n"/>
    </row>
    <row r="80" s="3154" customFormat="1" ht="13.5" hidden="1" customHeight="1">
      <c r="A80" s="2212" t="inlineStr">
        <is>
          <t xml:space="preserve">TOTAL</t>
        </is>
      </c>
      <c r="B80" s="4006" t="n"/>
      <c r="C80" s="4028" t="e">
        <f t="array" ref="C80">C78+C79</f>
      </c>
      <c r="D80" s="4028" t="e">
        <f t="array" ref="D80">D78+D79</f>
      </c>
      <c r="E80" s="4028" t="e">
        <f t="array" ref="E80">E78+E79</f>
      </c>
      <c r="F80" s="4028" t="e">
        <f t="array" ref="F80">F78+F79</f>
      </c>
      <c r="G80" s="4028" t="e">
        <f t="array" ref="G80">G78+G79</f>
      </c>
      <c r="H80" s="4028" t="e">
        <f t="array" ref="H80">H78+H79</f>
      </c>
      <c r="I80" s="4028" t="e">
        <f t="array" ref="I80">I78+I79</f>
      </c>
      <c r="J80" s="4028" t="e">
        <f t="array" ref="J80">J78+J79</f>
      </c>
      <c r="K80" s="4028" t="e">
        <f t="array" ref="K80">K78+K79</f>
      </c>
      <c r="L80" s="4028" t="e">
        <f t="array" ref="L80">L78+L79</f>
      </c>
      <c r="M80" s="4028" t="e">
        <f t="array" ref="M80">M78+M79</f>
      </c>
      <c r="N80" s="4028" t="e">
        <f t="array" ref="N80">N78+N79</f>
      </c>
      <c r="O80" s="27" t="n"/>
    </row>
    <row r="81" s="3154" customFormat="1" ht="13.5" hidden="1" customHeight="1">
      <c r="A81" s="161" t="inlineStr">
        <is>
          <t xml:space="preserve">IRR</t>
        </is>
      </c>
      <c r="B81" s="26" t="n"/>
      <c r="C81" s="582" t="str">
        <f t="array" ref="C81">IF(ISERROR(IRR(D80:M80,0.00001)),"IRR: - ",IRR(D80:M80,0.000001))</f>
        <v>IRR: - </v>
      </c>
      <c r="D81" s="26" t="n"/>
      <c r="E81" s="26" t="n"/>
      <c r="F81" s="26" t="n"/>
      <c r="G81" s="26" t="n"/>
      <c r="H81" s="26" t="n"/>
      <c r="I81" s="26" t="n"/>
      <c r="J81" s="26" t="n"/>
      <c r="K81" s="26" t="n"/>
      <c r="L81" s="26" t="n"/>
      <c r="M81" s="26" t="n"/>
      <c r="N81" s="2208" t="n"/>
      <c r="O81" s="27" t="n"/>
    </row>
    <row r="82" s="3154" customFormat="1" ht="13.5" hidden="1" customHeight="1">
      <c r="A82" s="627" t="n"/>
      <c r="B82" s="26" t="n"/>
      <c r="C82" s="26" t="n"/>
      <c r="D82" s="4026" t="n"/>
      <c r="E82" s="4026" t="n"/>
      <c r="F82" s="26" t="n"/>
      <c r="G82" s="26" t="n"/>
      <c r="H82" s="26" t="n"/>
      <c r="I82" s="26" t="n"/>
      <c r="J82" s="26" t="n"/>
      <c r="K82" s="26" t="n"/>
      <c r="L82" s="26" t="n"/>
      <c r="M82" s="26" t="n"/>
      <c r="N82" s="2208" t="n"/>
      <c r="O82" s="27" t="n"/>
    </row>
    <row r="83" s="3154" customFormat="1" ht="13.5" hidden="1" customHeight="1">
      <c r="A83" s="2209" t="n"/>
      <c r="B83" s="2210" t="n"/>
      <c r="C83" s="2211" t="n"/>
      <c r="D83" s="2211" t="n">
        <v>0</v>
      </c>
      <c r="E83" s="2211" t="n">
        <v>1</v>
      </c>
      <c r="F83" s="2211" t="n">
        <f t="array" ref="F83">E83+1</f>
        <v>2</v>
      </c>
      <c r="G83" s="2211" t="n">
        <f t="array" ref="G83">F83+1</f>
        <v>3</v>
      </c>
      <c r="H83" s="2211" t="n">
        <f t="array" ref="H83">G83+1</f>
        <v>4</v>
      </c>
      <c r="I83" s="2211" t="n">
        <f t="array" ref="I83">H83+1</f>
        <v>5</v>
      </c>
      <c r="J83" s="2211" t="n">
        <f t="array" ref="J83">I83+1</f>
        <v>6</v>
      </c>
      <c r="K83" s="2211" t="n">
        <f t="array" ref="K83">J83+1</f>
        <v>7</v>
      </c>
      <c r="L83" s="2211" t="n">
        <f t="array" ref="L83">K83+1</f>
        <v>8</v>
      </c>
      <c r="M83" s="2211" t="n">
        <f t="array" ref="M83">L83+1</f>
        <v>9</v>
      </c>
      <c r="N83" s="2211" t="n">
        <f t="array" ref="N83">M83+1</f>
        <v>10</v>
      </c>
      <c r="O83" s="27" t="n"/>
    </row>
    <row r="84" s="3154" customFormat="1" ht="13.5" customHeight="1">
      <c r="A84" s="2154" t="inlineStr">
        <is>
          <t xml:space="preserve">LP FINAL SPLIT</t>
        </is>
      </c>
      <c r="B84" s="2178" t="n"/>
      <c r="C84" s="2213" t="str">
        <f t="array" ref="C84">C70</f>
        <v>TOTAL</v>
      </c>
      <c r="D84" s="2182" t="n">
        <f t="array" ref="D84">D21</f>
        <v>2026</v>
      </c>
      <c r="E84" s="2182" t="n">
        <f t="array" ref="E84">D84+1</f>
        <v>2027</v>
      </c>
      <c r="F84" s="2182" t="n">
        <f t="array" ref="F84">E84+1</f>
        <v>2028</v>
      </c>
      <c r="G84" s="2182" t="n">
        <f t="array" ref="G84">F84+1</f>
        <v>2029</v>
      </c>
      <c r="H84" s="2182" t="n">
        <f t="array" ref="H84">G84+1</f>
        <v>2030</v>
      </c>
      <c r="I84" s="2182" t="n">
        <f t="array" ref="I84">H84+1</f>
        <v>2031</v>
      </c>
      <c r="J84" s="2182" t="n">
        <f t="array" ref="J84">I84+1</f>
        <v>2032</v>
      </c>
      <c r="K84" s="2182" t="n">
        <f t="array" ref="K84">J84+1</f>
        <v>2033</v>
      </c>
      <c r="L84" s="2182" t="n">
        <f t="array" ref="L84">K84+1</f>
        <v>2034</v>
      </c>
      <c r="M84" s="2182" t="n">
        <f t="array" ref="M84">L84+1</f>
        <v>2035</v>
      </c>
      <c r="N84" s="2182" t="n">
        <f t="array" ref="N84">M84+1</f>
        <v>2036</v>
      </c>
      <c r="O84" s="27" t="n"/>
    </row>
    <row r="85" s="3154" customFormat="1" ht="13.5" customHeight="1">
      <c r="A85" s="161" t="inlineStr">
        <is>
          <t xml:space="preserve">Income TIER IV</t>
        </is>
      </c>
      <c r="B85" s="26" t="n"/>
      <c r="C85" s="4027" t="e">
        <f t="array" ref="C85">SUM(D85:N85)</f>
      </c>
      <c r="D85" s="4027" t="e">
        <f t="array" ref="D85">(D$22-D78-D71-D64-D57-D50-D43-D36-D29)*$D$11</f>
      </c>
      <c r="E85" s="4027" t="e">
        <f t="array" ref="E85">(E$22-E78-E71-E64-E57-E50-E43-E36-E29)*$D$11</f>
      </c>
      <c r="F85" s="4027" t="e">
        <f t="array" ref="F85">(F$22-F78-F71-F64-F57-F50-F43-F36-F29)*$D$11</f>
      </c>
      <c r="G85" s="4027" t="e">
        <f t="array" ref="G85">(G$22-G78-G71-G64-G57-G50-G43-G36-G29)*$D$11</f>
      </c>
      <c r="H85" s="4027" t="e">
        <f t="array" ref="H85">(H$22-H78-H71-H64-H57-H50-H43-H36-H29)*$D$11</f>
      </c>
      <c r="I85" s="4027" t="e">
        <f t="array" ref="I85">(I$22-I78-I71-I64-I57-I50-I43-I36-I29)*$D$11</f>
      </c>
      <c r="J85" s="4027" t="e">
        <f t="array" ref="J85">(J$22-J78-J71-J64-J57-J50-J43-J36-J29)*$D$11</f>
      </c>
      <c r="K85" s="4027" t="e">
        <f t="array" ref="K85">(K$22-K78-K71-K64-K57-K50-K43-K36-K29)*$D$11</f>
      </c>
      <c r="L85" s="4027" t="e">
        <f t="array" ref="L85">(L$22-L78-L71-L64-L57-L50-L43-L36-L29)*$D$11</f>
      </c>
      <c r="M85" s="4027" t="e">
        <f t="array" ref="M85">(M$22-M78-M71-M64-M57-M50-M43-M36-M29)*$D$11</f>
      </c>
      <c r="N85" s="4027" t="e">
        <f t="array" ref="N85">(N$22-N78-N71-N64-N57-N50-N43-N36-N29)*$D$11</f>
      </c>
      <c r="O85" s="27" t="n"/>
    </row>
    <row r="86" s="3154" customFormat="1" ht="13.5" customHeight="1">
      <c r="A86" s="161" t="inlineStr">
        <is>
          <t xml:space="preserve">Net</t>
        </is>
      </c>
      <c r="B86" s="26" t="n"/>
      <c r="C86" s="4027" t="e">
        <f t="array" ref="C86">SUM(D86:N86)</f>
      </c>
      <c r="D86" s="4027" t="e">
        <f t="array" ref="D86">D73</f>
      </c>
      <c r="E86" s="4027" t="e">
        <f t="array" ref="E86">E73</f>
      </c>
      <c r="F86" s="4027" t="e">
        <f t="array" ref="F86">F73</f>
      </c>
      <c r="G86" s="4027" t="e">
        <f t="array" ref="G86">G73</f>
      </c>
      <c r="H86" s="4027" t="e">
        <f t="array" ref="H86">H73</f>
      </c>
      <c r="I86" s="4027" t="e">
        <f t="array" ref="I86">I73</f>
      </c>
      <c r="J86" s="4027" t="e">
        <f t="array" ref="J86">J73</f>
      </c>
      <c r="K86" s="4027" t="e">
        <f t="array" ref="K86">K73</f>
      </c>
      <c r="L86" s="4027" t="e">
        <f t="array" ref="L86">L73</f>
      </c>
      <c r="M86" s="4027" t="e">
        <f t="array" ref="M86">M73</f>
      </c>
      <c r="N86" s="4027" t="e">
        <f t="array" ref="N86">N73</f>
      </c>
      <c r="O86" s="27" t="n"/>
    </row>
    <row r="87" s="3154" customFormat="1" ht="13.5" customHeight="1">
      <c r="A87" s="2212" t="inlineStr">
        <is>
          <t xml:space="preserve">TOTAL</t>
        </is>
      </c>
      <c r="B87" s="4006" t="n"/>
      <c r="C87" s="4028" t="e">
        <f t="array" ref="C87">SUM(D87:N87)</f>
      </c>
      <c r="D87" s="4028" t="e">
        <f t="array" ref="D87">D85+D86</f>
      </c>
      <c r="E87" s="4028" t="e">
        <f t="array" ref="E87">E85+E86</f>
      </c>
      <c r="F87" s="4028" t="e">
        <f t="array" ref="F87">F85+F86</f>
      </c>
      <c r="G87" s="4028" t="e">
        <f t="array" ref="G87">G85+G86</f>
      </c>
      <c r="H87" s="4028" t="e">
        <f t="array" ref="H87">H85+H86</f>
      </c>
      <c r="I87" s="4028" t="e">
        <f t="array" ref="I87">I85+I86</f>
      </c>
      <c r="J87" s="4028" t="e">
        <f t="array" ref="J87">J85+J86</f>
      </c>
      <c r="K87" s="4028" t="e">
        <f t="array" ref="K87">K85+K86</f>
      </c>
      <c r="L87" s="4028" t="e">
        <f t="array" ref="L87">L85+L86</f>
      </c>
      <c r="M87" s="4028" t="e">
        <f t="array" ref="M87">M85+M86</f>
      </c>
      <c r="N87" s="4028" t="e">
        <f t="array" ref="N87">N85+N86</f>
      </c>
      <c r="O87" s="4032" t="e">
        <f t="array" ref="O87">SUM(E86:K86)/-D86</f>
      </c>
    </row>
    <row r="88" s="3154" customFormat="1" ht="13.5" customHeight="1">
      <c r="A88" s="161" t="inlineStr">
        <is>
          <t xml:space="preserve">IRR</t>
        </is>
      </c>
      <c r="B88" s="26" t="n"/>
      <c r="C88" s="4029" t="e">
        <f t="array" ref="C88">IRR(D87:N87,0.15)</f>
      </c>
      <c r="D88" s="26" t="n"/>
      <c r="E88" s="26" t="n"/>
      <c r="F88" s="26" t="n"/>
      <c r="G88" s="26" t="n"/>
      <c r="H88" s="26" t="n"/>
      <c r="I88" s="26" t="n"/>
      <c r="J88" s="26" t="n"/>
      <c r="K88" s="26" t="n"/>
      <c r="L88" s="26" t="n"/>
      <c r="M88" s="26" t="n"/>
      <c r="N88" s="2208" t="n"/>
      <c r="O88" s="27" t="n"/>
    </row>
    <row r="89" s="3154" customFormat="1" ht="13.5" customHeight="1">
      <c r="A89" s="627" t="n"/>
      <c r="B89" s="26" t="n"/>
      <c r="C89" s="26" t="n"/>
      <c r="D89" s="26" t="n"/>
      <c r="E89" s="26" t="n"/>
      <c r="F89" s="26" t="n"/>
      <c r="G89" s="26" t="n"/>
      <c r="H89" s="26" t="n"/>
      <c r="I89" s="26" t="n"/>
      <c r="J89" s="26" t="n"/>
      <c r="K89" s="26" t="n"/>
      <c r="L89" s="26" t="n"/>
      <c r="M89" s="26" t="n"/>
      <c r="N89" s="2208" t="n"/>
      <c r="O89" s="27" t="n"/>
    </row>
    <row r="90" s="3154" customFormat="1" ht="13.5" hidden="1" customHeight="1">
      <c r="A90" s="2209" t="n"/>
      <c r="B90" s="2210" t="n"/>
      <c r="C90" s="2211" t="n"/>
      <c r="D90" s="2211" t="n">
        <v>0</v>
      </c>
      <c r="E90" s="2211" t="n">
        <v>1</v>
      </c>
      <c r="F90" s="2211" t="n">
        <f t="array" ref="F90">E90+1</f>
        <v>2</v>
      </c>
      <c r="G90" s="2211" t="n">
        <f t="array" ref="G90">F90+1</f>
        <v>3</v>
      </c>
      <c r="H90" s="2211" t="n">
        <f t="array" ref="H90">G90+1</f>
        <v>4</v>
      </c>
      <c r="I90" s="2211" t="n">
        <f t="array" ref="I90">H90+1</f>
        <v>5</v>
      </c>
      <c r="J90" s="2211" t="n">
        <f t="array" ref="J90">I90+1</f>
        <v>6</v>
      </c>
      <c r="K90" s="2211" t="n">
        <f t="array" ref="K90">J90+1</f>
        <v>7</v>
      </c>
      <c r="L90" s="2211" t="n">
        <f t="array" ref="L90">K90+1</f>
        <v>8</v>
      </c>
      <c r="M90" s="2211" t="n">
        <f t="array" ref="M90">L90+1</f>
        <v>9</v>
      </c>
      <c r="N90" s="2211" t="n">
        <f t="array" ref="N90">M90+1</f>
        <v>10</v>
      </c>
      <c r="O90" s="27" t="n"/>
    </row>
    <row r="91" s="3154" customFormat="1" ht="13.5" customHeight="1">
      <c r="A91" s="2154" t="inlineStr">
        <is>
          <t xml:space="preserve">GP FINAL SPLIT</t>
        </is>
      </c>
      <c r="B91" s="2178" t="n"/>
      <c r="C91" s="2213" t="str">
        <f t="array" ref="C91">C84</f>
        <v>TOTAL</v>
      </c>
      <c r="D91" s="2182" t="n">
        <f t="array" ref="D91">D21</f>
        <v>2026</v>
      </c>
      <c r="E91" s="2182" t="n">
        <f t="array" ref="E91">D91+1</f>
        <v>2027</v>
      </c>
      <c r="F91" s="2182" t="n">
        <f t="array" ref="F91">E91+1</f>
        <v>2028</v>
      </c>
      <c r="G91" s="2182" t="n">
        <f t="array" ref="G91">F91+1</f>
        <v>2029</v>
      </c>
      <c r="H91" s="2182" t="n">
        <f t="array" ref="H91">G91+1</f>
        <v>2030</v>
      </c>
      <c r="I91" s="2182" t="n">
        <f t="array" ref="I91">H91+1</f>
        <v>2031</v>
      </c>
      <c r="J91" s="2182" t="n">
        <f t="array" ref="J91">I91+1</f>
        <v>2032</v>
      </c>
      <c r="K91" s="2182" t="n">
        <f t="array" ref="K91">J91+1</f>
        <v>2033</v>
      </c>
      <c r="L91" s="2182" t="n">
        <f t="array" ref="L91">K91+1</f>
        <v>2034</v>
      </c>
      <c r="M91" s="2182" t="n">
        <f t="array" ref="M91">L91+1</f>
        <v>2035</v>
      </c>
      <c r="N91" s="2182" t="n">
        <f t="array" ref="N91">M91+1</f>
        <v>2036</v>
      </c>
      <c r="O91" s="27" t="n"/>
    </row>
    <row r="92" s="3154" customFormat="1" ht="13.5" customHeight="1">
      <c r="A92" s="161" t="inlineStr">
        <is>
          <t xml:space="preserve">Income TIER IV</t>
        </is>
      </c>
      <c r="B92" s="26" t="n"/>
      <c r="C92" s="4027" t="e">
        <f t="array" ref="C92">SUM(D92:N92)</f>
      </c>
      <c r="D92" s="4027" t="e">
        <f t="array" ref="D92">D85*$E$11/$D$11</f>
      </c>
      <c r="E92" s="4027" t="e">
        <f t="array" ref="E92">E85*$E$11/$D$11</f>
      </c>
      <c r="F92" s="4027" t="e">
        <f t="array" ref="F92">F85*$E$11/$D$11</f>
      </c>
      <c r="G92" s="4027" t="e">
        <f t="array" ref="G92">G85*$E$11/$D$11</f>
      </c>
      <c r="H92" s="4027" t="e">
        <f t="array" ref="H92">H85*$E$11/$D$11</f>
      </c>
      <c r="I92" s="4027" t="e">
        <f t="array" ref="I92">I85*$E$11/$D$11</f>
      </c>
      <c r="J92" s="4027" t="e">
        <f t="array" ref="J92">J85*$E$11/$D$11</f>
      </c>
      <c r="K92" s="4027" t="e">
        <f t="array" ref="K92">K85*$E$11/$D$11</f>
      </c>
      <c r="L92" s="4027" t="e">
        <f t="array" ref="L92">L85*$E$11/$D$11</f>
      </c>
      <c r="M92" s="4027" t="e">
        <f t="array" ref="M92">M85*$E$11/$D$11</f>
      </c>
      <c r="N92" s="4027" t="e">
        <f t="array" ref="N92">N85*$E$11/$D$11</f>
      </c>
      <c r="O92" s="27" t="n"/>
    </row>
    <row r="93" s="3154" customFormat="1" ht="13.5" customHeight="1">
      <c r="A93" s="161" t="inlineStr">
        <is>
          <t xml:space="preserve">Net</t>
        </is>
      </c>
      <c r="B93" s="26" t="n"/>
      <c r="C93" s="4027" t="e">
        <f t="array" ref="C93">SUM(D93:N93)</f>
      </c>
      <c r="D93" s="4027" t="e">
        <f t="array" ref="D93">D80</f>
      </c>
      <c r="E93" s="4027" t="e">
        <f t="array" ref="E93">E80</f>
      </c>
      <c r="F93" s="4027" t="e">
        <f t="array" ref="F93">F80</f>
      </c>
      <c r="G93" s="4027" t="e">
        <f t="array" ref="G93">G80</f>
      </c>
      <c r="H93" s="4027" t="e">
        <f t="array" ref="H93">H80</f>
      </c>
      <c r="I93" s="4027" t="e">
        <f t="array" ref="I93">I80</f>
      </c>
      <c r="J93" s="4027" t="e">
        <f t="array" ref="J93">J80</f>
      </c>
      <c r="K93" s="4027" t="e">
        <f t="array" ref="K93">K80</f>
      </c>
      <c r="L93" s="4027" t="e">
        <f t="array" ref="L93">L80</f>
      </c>
      <c r="M93" s="4027" t="e">
        <f t="array" ref="M93">M80</f>
      </c>
      <c r="N93" s="4027" t="e">
        <f t="array" ref="N93">N80</f>
      </c>
      <c r="O93" s="27" t="n"/>
    </row>
    <row r="94" s="3154" customFormat="1" ht="13.5" customHeight="1">
      <c r="A94" s="2212" t="inlineStr">
        <is>
          <t xml:space="preserve">TOTAL</t>
        </is>
      </c>
      <c r="B94" s="4006" t="n"/>
      <c r="C94" s="4028" t="e">
        <f t="array" ref="C94">SUM(D94:N94)</f>
      </c>
      <c r="D94" s="4028" t="e">
        <f t="array" ref="D94">D92+D93</f>
      </c>
      <c r="E94" s="4028" t="e">
        <f t="array" ref="E94">E92+E93</f>
      </c>
      <c r="F94" s="4028" t="e">
        <f t="array" ref="F94">F92+F93</f>
      </c>
      <c r="G94" s="4028" t="e">
        <f t="array" ref="G94">G92+G93</f>
      </c>
      <c r="H94" s="4028" t="e">
        <f t="array" ref="H94">H92+H93</f>
      </c>
      <c r="I94" s="4028" t="e">
        <f t="array" ref="I94">I92+I93</f>
      </c>
      <c r="J94" s="4028" t="e">
        <f t="array" ref="J94">J92+J93</f>
      </c>
      <c r="K94" s="4028" t="e">
        <f t="array" ref="K94">K92+K93</f>
      </c>
      <c r="L94" s="4028" t="e">
        <f t="array" ref="L94">L92+L93</f>
      </c>
      <c r="M94" s="4028" t="e">
        <f t="array" ref="M94">M92+M93</f>
      </c>
      <c r="N94" s="4028" t="e">
        <f t="array" ref="N94">N92+N93</f>
      </c>
      <c r="O94" s="27" t="n"/>
    </row>
    <row r="95" s="3154" customFormat="1" ht="13.5" customHeight="1">
      <c r="A95" s="2219" t="inlineStr">
        <is>
          <t xml:space="preserve">IRR</t>
        </is>
      </c>
      <c r="B95" s="634" t="n"/>
      <c r="C95" s="4033" t="n">
        <f t="array" ref="C95">IFERROR(IRR(D94:N94,0.15),0)</f>
        <v>0</v>
      </c>
      <c r="D95" s="634" t="n"/>
      <c r="E95" s="634" t="n"/>
      <c r="F95" s="634" t="n"/>
      <c r="G95" s="634" t="n"/>
      <c r="H95" s="634" t="n"/>
      <c r="I95" s="634" t="n"/>
      <c r="J95" s="634" t="n"/>
      <c r="K95" s="634" t="n"/>
      <c r="L95" s="634" t="n"/>
      <c r="M95" s="634" t="n"/>
      <c r="N95" s="2221" t="n"/>
      <c r="O95" s="635" t="n"/>
    </row>
  </sheetData>
  <mergeCells>
    <mergeCell ref="A5:C5"/>
    <mergeCell ref="D5:E5"/>
  </mergeCells>
  <pageMargins left="0.7" right="0.7" top="0.75" bottom="0.75" header="0.3" footer="0.3"/>
</worksheet>
</file>

<file path=xl/worksheets/sheet18.xml><?xml version="1.0" encoding="utf-8"?>
<worksheet xmlns="http://schemas.openxmlformats.org/spreadsheetml/2006/main">
  <sheetViews>
    <sheetView showGridLines="0" workbookViewId="0"/>
  </sheetViews>
  <sheetFormatPr baseColWidth="8" defaultColWidth="9" defaultRowHeight="15"/>
  <cols>
    <col min="1" max="1" width="24.851600646972656" style="3136" customWidth="1"/>
    <col min="2" max="11" width="13.171899795532227" style="3136" customWidth="1"/>
    <col min="12" max="16384" width="9" style="3136" customWidth="1"/>
  </cols>
  <sheetData>
    <row r="1" s="3154" customFormat="1" ht="19.5" customHeight="1">
      <c r="A1" s="1655" t="inlineStr">
        <is>
          <t xml:space="preserve">FOOD &amp; BEVERAGE DETAIL</t>
        </is>
      </c>
      <c r="B1" s="1657" t="n"/>
      <c r="C1" s="2223" t="n"/>
      <c r="D1" s="1657" t="n"/>
      <c r="E1" s="4034" t="n"/>
      <c r="F1" s="1657" t="n"/>
      <c r="G1" s="1657" t="n"/>
      <c r="H1" s="1657" t="n"/>
      <c r="I1" s="1657" t="n"/>
      <c r="J1" s="2225" t="n"/>
      <c r="K1" s="2226" t="inlineStr">
        <is>
          <t xml:space="preserve">MODEL REVISED: Mar 25, 2025</t>
        </is>
      </c>
    </row>
    <row r="2" s="3154" customFormat="1" ht="17.25" customHeight="1">
      <c r="A2" s="157" t="str">
        <f t="array" ref="A2">'Assumptions'!$D$6&amp;" / "&amp;'Assumptions'!$D$7&amp;" / "&amp;'Assumptions'!$D$9</f>
        <v>INDEPENDENT (No Flag) / SLEEP SPACE — 100-KEY PREFAB (50 EP + 50 E) / Austin, TX</v>
      </c>
      <c r="B2" s="1662" t="n"/>
      <c r="C2" s="366" t="n"/>
      <c r="D2" s="1662" t="n"/>
      <c r="E2" s="4035" t="n"/>
      <c r="F2" s="1662" t="n"/>
      <c r="G2" s="1662" t="n"/>
      <c r="H2" s="1662" t="n"/>
      <c r="I2" s="1662" t="n"/>
      <c r="J2" s="1662" t="n"/>
      <c r="K2" s="2228" t="n"/>
    </row>
    <row r="3" s="3154" customFormat="1" ht="15" customHeight="1">
      <c r="A3" s="580" t="str">
        <f t="array" ref="A3">'Assumptions'!$A$3</f>
        <v>Version Notes: Added 1st round of GPM Costs from Pinkerton and Laws. We anticipate further cost savings. </v>
      </c>
      <c r="B3" s="18" t="n"/>
      <c r="C3" s="2229" t="n"/>
      <c r="D3" s="18" t="n"/>
      <c r="E3" s="4036" t="n"/>
      <c r="F3" s="18" t="n"/>
      <c r="G3" s="18" t="n"/>
      <c r="H3" s="18" t="n"/>
      <c r="I3" s="18" t="n"/>
      <c r="J3" s="18" t="n"/>
      <c r="K3" s="2231" t="n"/>
    </row>
    <row r="4" s="3154" customFormat="1" ht="15" customHeight="1">
      <c r="A4" s="2232" t="n"/>
      <c r="B4" s="16" t="n"/>
      <c r="C4" s="2233" t="n"/>
      <c r="D4" s="16" t="n"/>
      <c r="E4" s="4037" t="n"/>
      <c r="F4" s="16" t="n"/>
      <c r="G4" s="16" t="n"/>
      <c r="H4" s="16" t="n"/>
      <c r="I4" s="16" t="n"/>
      <c r="J4" s="16" t="n"/>
      <c r="K4" s="2235" t="n"/>
    </row>
    <row r="5" s="3154" customFormat="1" ht="15" hidden="1" customHeight="1">
      <c r="A5" s="2236" t="inlineStr">
        <is>
          <t xml:space="preserve">(HIDE)</t>
        </is>
      </c>
      <c r="B5" s="2237" t="n">
        <v>0</v>
      </c>
      <c r="C5" s="2237" t="n">
        <f t="array" ref="C5">B5+2</f>
        <v>2</v>
      </c>
      <c r="D5" s="2237" t="n">
        <f t="array" ref="D5">C5+2</f>
        <v>4</v>
      </c>
      <c r="E5" s="2237" t="n">
        <f t="array" ref="E5">D5+2</f>
        <v>6</v>
      </c>
      <c r="F5" s="2237" t="n">
        <f t="array" ref="F5">E5+2</f>
        <v>8</v>
      </c>
      <c r="G5" s="2237" t="n">
        <f t="array" ref="G5">F5+2</f>
        <v>10</v>
      </c>
      <c r="H5" s="2237" t="n">
        <f t="array" ref="H5">G5+2</f>
        <v>12</v>
      </c>
      <c r="I5" s="2237" t="n">
        <f t="array" ref="I5">H5+2</f>
        <v>14</v>
      </c>
      <c r="J5" s="2237" t="n">
        <f t="array" ref="J5">I5+2</f>
        <v>16</v>
      </c>
      <c r="K5" s="2238" t="n">
        <f t="array" ref="K5">J5+2</f>
        <v>18</v>
      </c>
    </row>
    <row r="6" s="3154" customFormat="1" ht="15" customHeight="1">
      <c r="A6" s="2239" t="n"/>
      <c r="B6" s="4038" t="e">
        <f t="array" ref="B6">OFFSET('Hotel Operating'!$C$5,0,B5)</f>
      </c>
      <c r="C6" s="4038" t="e">
        <f t="array" ref="C6">B6+1</f>
      </c>
      <c r="D6" s="4038" t="e">
        <f t="array" ref="D6">C6+1</f>
      </c>
      <c r="E6" s="4038" t="e">
        <f t="array" ref="E6">D6+1</f>
      </c>
      <c r="F6" s="4038" t="e">
        <f t="array" ref="F6">E6+1</f>
      </c>
      <c r="G6" s="4038" t="e">
        <f t="array" ref="G6">F6+1</f>
      </c>
      <c r="H6" s="4038" t="e">
        <f t="array" ref="H6">G6+1</f>
      </c>
      <c r="I6" s="4038" t="e">
        <f t="array" ref="I6">H6+1</f>
      </c>
      <c r="J6" s="4038" t="e">
        <f t="array" ref="J6">I6+1</f>
      </c>
      <c r="K6" s="4039" t="e">
        <f t="array" ref="K6">J6+1</f>
      </c>
    </row>
    <row r="7" s="3154" customFormat="1" ht="15" customHeight="1">
      <c r="A7" s="2242" t="inlineStr">
        <is>
          <t xml:space="preserve">F&amp;B SUMMARY</t>
        </is>
      </c>
      <c r="B7" s="2243" t="e">
        <f t="array" ref="B7">OFFSET('Hotel Operating'!$C$6,0,B5)</f>
      </c>
      <c r="C7" s="2243" t="e">
        <f t="array" ref="C7">B7+1</f>
      </c>
      <c r="D7" s="2243" t="e">
        <f t="array" ref="D7">C7+1</f>
      </c>
      <c r="E7" s="2243" t="e">
        <f t="array" ref="E7">D7+1</f>
      </c>
      <c r="F7" s="2243" t="e">
        <f t="array" ref="F7">E7+1</f>
      </c>
      <c r="G7" s="2243" t="e">
        <f t="array" ref="G7">F7+1</f>
      </c>
      <c r="H7" s="2243" t="e">
        <f t="array" ref="H7">G7+1</f>
      </c>
      <c r="I7" s="2243" t="e">
        <f t="array" ref="I7">H7+1</f>
      </c>
      <c r="J7" s="2243" t="e">
        <f t="array" ref="J7">I7+1</f>
      </c>
      <c r="K7" s="2244" t="e">
        <f t="array" ref="K7">J7+1</f>
      </c>
    </row>
    <row r="8" s="3154" customFormat="1" ht="15" customHeight="1">
      <c r="A8" s="2245" t="inlineStr">
        <is>
          <t xml:space="preserve">Occupied Rooms</t>
        </is>
      </c>
      <c r="B8" s="4040" t="e">
        <f t="array" ref="B8">HLOOKUP(B$7,'Hotel Operating'!$C$6:$L$59,5,0)</f>
      </c>
      <c r="C8" s="4040" t="e">
        <f t="array" ref="C8">HLOOKUP(C$7,'Hotel Operating'!$C$6:$L$59,5,0)</f>
      </c>
      <c r="D8" s="4040" t="e">
        <f t="array" ref="D8">HLOOKUP(D$7,'Hotel Operating'!$C$6:$L$59,5,0)</f>
      </c>
      <c r="E8" s="4040" t="e">
        <f t="array" ref="E8">HLOOKUP(E$7,'Hotel Operating'!$C$6:$L$59,5,0)</f>
      </c>
      <c r="F8" s="4040" t="e">
        <f t="array" ref="F8">HLOOKUP(F$7,'Hotel Operating'!$C$6:$L$59,5,0)</f>
      </c>
      <c r="G8" s="4040" t="e">
        <f t="array" ref="G8">HLOOKUP(G$7,'Hotel Operating'!$C$6:$L$59,5,0)</f>
      </c>
      <c r="H8" s="4040" t="e">
        <f t="array" ref="H8">HLOOKUP(H$7,'Hotel Operating'!$C$6:$L$59,5,0)</f>
      </c>
      <c r="I8" s="4040" t="e">
        <f t="array" ref="I8">HLOOKUP(I$7,'Hotel Operating'!$C$6:$L$59,5,0)</f>
      </c>
      <c r="J8" s="4040" t="e">
        <f t="array" ref="J8">HLOOKUP(J$7,'Hotel Operating'!$C$6:$L$59,5,0)</f>
      </c>
      <c r="K8" s="4041" t="e">
        <f t="array" ref="K8">HLOOKUP(K$7,'Hotel Operating'!$C$6:$L$59,5,0)</f>
      </c>
    </row>
    <row r="9" s="3154" customFormat="1" ht="15" customHeight="1">
      <c r="A9" s="627" t="n"/>
      <c r="B9" s="3322" t="n"/>
      <c r="C9" s="3322" t="n"/>
      <c r="D9" s="3322" t="n"/>
      <c r="E9" s="3322" t="n"/>
      <c r="F9" s="3322" t="n"/>
      <c r="G9" s="3322" t="n"/>
      <c r="H9" s="3322" t="n"/>
      <c r="I9" s="3322" t="n"/>
      <c r="J9" s="3322" t="n"/>
      <c r="K9" s="4042" t="n"/>
    </row>
    <row r="10" s="3154" customFormat="1" ht="15" customHeight="1">
      <c r="A10" s="161" t="inlineStr">
        <is>
          <t xml:space="preserve">Lobby Bar-Food</t>
        </is>
      </c>
      <c r="B10" s="4043" t="e">
        <f t="array" ref="B10">B28</f>
      </c>
      <c r="C10" s="3322" t="e">
        <f t="array" ref="C10">C28</f>
      </c>
      <c r="D10" s="3322" t="e">
        <f t="array" ref="D10">D28</f>
      </c>
      <c r="E10" s="3322" t="e">
        <f t="array" ref="E10">E28</f>
      </c>
      <c r="F10" s="3322" t="e">
        <f t="array" ref="F10">F28</f>
      </c>
      <c r="G10" s="3322" t="e">
        <f t="array" ref="G10">G28</f>
      </c>
      <c r="H10" s="3322" t="e">
        <f t="array" ref="H10">H28</f>
      </c>
      <c r="I10" s="3322" t="e">
        <f t="array" ref="I10">I28</f>
      </c>
      <c r="J10" s="3322" t="e">
        <f t="array" ref="J10">J28</f>
      </c>
      <c r="K10" s="4042" t="e">
        <f t="array" ref="K10">K28</f>
      </c>
    </row>
    <row r="11" s="3154" customFormat="1" ht="15" customHeight="1">
      <c r="A11" s="161" t="inlineStr">
        <is>
          <t xml:space="preserve">Lobby Bar-Beverage</t>
        </is>
      </c>
      <c r="B11" s="4043" t="e">
        <f t="array" ref="B11">B42</f>
      </c>
      <c r="C11" s="3322" t="e">
        <f t="array" ref="C11">C42</f>
      </c>
      <c r="D11" s="3322" t="e">
        <f t="array" ref="D11">D42</f>
      </c>
      <c r="E11" s="3322" t="e">
        <f t="array" ref="E11">E42</f>
      </c>
      <c r="F11" s="3322" t="e">
        <f t="array" ref="F11">F42</f>
      </c>
      <c r="G11" s="3322" t="e">
        <f t="array" ref="G11">G42</f>
      </c>
      <c r="H11" s="3322" t="e">
        <f t="array" ref="H11">H42</f>
      </c>
      <c r="I11" s="3322" t="e">
        <f t="array" ref="I11">I42</f>
      </c>
      <c r="J11" s="3322" t="e">
        <f t="array" ref="J11">J42</f>
      </c>
      <c r="K11" s="4042" t="e">
        <f t="array" ref="K11">K42</f>
      </c>
    </row>
    <row r="12" s="3154" customFormat="1" ht="15.75" customHeight="1">
      <c r="A12" s="161" t="inlineStr">
        <is>
          <t xml:space="preserve">Room Service</t>
        </is>
      </c>
      <c r="B12" s="4044" t="e">
        <f t="array" ref="B12">B48</f>
      </c>
      <c r="C12" s="3915" t="e">
        <f t="array" ref="C12">C48</f>
      </c>
      <c r="D12" s="3915" t="e">
        <f t="array" ref="D12">D48</f>
      </c>
      <c r="E12" s="3915" t="e">
        <f t="array" ref="E12">E48</f>
      </c>
      <c r="F12" s="3915" t="e">
        <f t="array" ref="F12">F48</f>
      </c>
      <c r="G12" s="3915" t="e">
        <f t="array" ref="G12">G48</f>
      </c>
      <c r="H12" s="3915" t="e">
        <f t="array" ref="H12">H48</f>
      </c>
      <c r="I12" s="3915" t="e">
        <f t="array" ref="I12">I48</f>
      </c>
      <c r="J12" s="3915" t="e">
        <f t="array" ref="J12">J48</f>
      </c>
      <c r="K12" s="4045" t="e">
        <f t="array" ref="K12">K48</f>
      </c>
    </row>
    <row r="13" s="3154" customFormat="1" ht="15.75" customHeight="1">
      <c r="A13" s="161" t="inlineStr">
        <is>
          <t xml:space="preserve">Total F&amp;B</t>
        </is>
      </c>
      <c r="B13" s="4046" t="e">
        <f t="array" ref="B13">SUM(B10:B12)</f>
      </c>
      <c r="C13" s="3226" t="e">
        <f t="array" ref="C13">SUM(C10:C12)</f>
      </c>
      <c r="D13" s="3226" t="e">
        <f t="array" ref="D13">SUM(D10:D12)</f>
      </c>
      <c r="E13" s="3226" t="e">
        <f t="array" ref="E13">SUM(E10:E12)</f>
      </c>
      <c r="F13" s="3226" t="e">
        <f t="array" ref="F13">SUM(F10:F12)</f>
      </c>
      <c r="G13" s="3226" t="e">
        <f t="array" ref="G13">SUM(G10:G12)</f>
      </c>
      <c r="H13" s="3226" t="e">
        <f t="array" ref="H13">SUM(H10:H12)</f>
      </c>
      <c r="I13" s="3226" t="e">
        <f t="array" ref="I13">SUM(I10:I12)</f>
      </c>
      <c r="J13" s="3226" t="e">
        <f t="array" ref="J13">SUM(J10:J12)</f>
      </c>
      <c r="K13" s="4047" t="e">
        <f t="array" ref="K13">SUM(K10:K12)</f>
      </c>
    </row>
    <row r="14" s="3154" customFormat="1" ht="15.75" customHeight="1">
      <c r="A14" s="161" t="inlineStr">
        <is>
          <t xml:space="preserve">Per Occupied Room</t>
        </is>
      </c>
      <c r="B14" s="4048" t="e">
        <f t="array" ref="B14">B13/B$8</f>
      </c>
      <c r="C14" s="4026" t="e">
        <f t="array" ref="C14">C13/C$8</f>
      </c>
      <c r="D14" s="4026" t="e">
        <f t="array" ref="D14">D13/D$8</f>
      </c>
      <c r="E14" s="4026" t="e">
        <f t="array" ref="E14">E13/E$8</f>
      </c>
      <c r="F14" s="4026" t="e">
        <f t="array" ref="F14">F13/F$8</f>
      </c>
      <c r="G14" s="4026" t="e">
        <f t="array" ref="G14">G13/G$8</f>
      </c>
      <c r="H14" s="4026" t="e">
        <f t="array" ref="H14">H13/H$8</f>
      </c>
      <c r="I14" s="4026" t="e">
        <f t="array" ref="I14">I13/I$8</f>
      </c>
      <c r="J14" s="4026" t="e">
        <f t="array" ref="J14">J13/J$8</f>
      </c>
      <c r="K14" s="4022" t="e">
        <f t="array" ref="K14">K13/K$8</f>
      </c>
    </row>
    <row r="15" s="3154" customFormat="1" ht="15" customHeight="1">
      <c r="A15" s="627" t="n"/>
      <c r="B15" s="3322" t="n"/>
      <c r="C15" s="3322" t="n"/>
      <c r="D15" s="3322" t="n"/>
      <c r="E15" s="3322" t="n"/>
      <c r="F15" s="3322" t="n"/>
      <c r="G15" s="3322" t="n"/>
      <c r="H15" s="3322" t="n"/>
      <c r="I15" s="3322" t="n"/>
      <c r="J15" s="3322" t="n"/>
      <c r="K15" s="4042" t="n"/>
    </row>
    <row r="16" s="3154" customFormat="1" ht="15" customHeight="1">
      <c r="A16" s="2242" t="inlineStr">
        <is>
          <t xml:space="preserve">LOBBY BAR-FOOD</t>
        </is>
      </c>
      <c r="B16" s="2243" t="e">
        <f t="array" ref="B16">B$7</f>
      </c>
      <c r="C16" s="2243" t="e">
        <f t="array" ref="C16">B16+1</f>
      </c>
      <c r="D16" s="2243" t="e">
        <f t="array" ref="D16">C16+1</f>
      </c>
      <c r="E16" s="2243" t="e">
        <f t="array" ref="E16">D16+1</f>
      </c>
      <c r="F16" s="2243" t="e">
        <f t="array" ref="F16">E16+1</f>
      </c>
      <c r="G16" s="2243" t="e">
        <f t="array" ref="G16">F16+1</f>
      </c>
      <c r="H16" s="2243" t="e">
        <f t="array" ref="H16">G16+1</f>
      </c>
      <c r="I16" s="2243" t="e">
        <f t="array" ref="I16">H16+1</f>
      </c>
      <c r="J16" s="2243" t="e">
        <f t="array" ref="J16">I16+1</f>
      </c>
      <c r="K16" s="2244" t="e">
        <f t="array" ref="K16">J16+1</f>
      </c>
    </row>
    <row r="17" s="3154" customFormat="1" ht="15" customHeight="1">
      <c r="A17" s="2245" t="inlineStr">
        <is>
          <t xml:space="preserve">Hotel Guests</t>
        </is>
      </c>
      <c r="B17" s="2254" t="n"/>
      <c r="C17" s="2254" t="n"/>
      <c r="D17" s="2254" t="n"/>
      <c r="E17" s="2254" t="n"/>
      <c r="F17" s="2254" t="n"/>
      <c r="G17" s="2254" t="n"/>
      <c r="H17" s="2254" t="n"/>
      <c r="I17" s="2254" t="n"/>
      <c r="J17" s="2254" t="n"/>
      <c r="K17" s="2255" t="n"/>
    </row>
    <row r="18" s="3154" customFormat="1" ht="15" customHeight="1">
      <c r="A18" s="161" t="inlineStr">
        <is>
          <t xml:space="preserve">% of Rooms Participating</t>
        </is>
      </c>
      <c r="B18" s="2256" t="n">
        <v>0</v>
      </c>
      <c r="C18" s="2256" t="n">
        <v>0</v>
      </c>
      <c r="D18" s="2256" t="n">
        <v>0</v>
      </c>
      <c r="E18" s="2256" t="n">
        <v>0</v>
      </c>
      <c r="F18" s="2256" t="n">
        <v>0</v>
      </c>
      <c r="G18" s="2256" t="n">
        <v>0</v>
      </c>
      <c r="H18" s="2256" t="n">
        <v>0</v>
      </c>
      <c r="I18" s="2256" t="n">
        <v>0</v>
      </c>
      <c r="J18" s="2256" t="n">
        <v>0</v>
      </c>
      <c r="K18" s="2257" t="n">
        <v>0</v>
      </c>
    </row>
    <row r="19" s="3154" customFormat="1" ht="15" customHeight="1">
      <c r="A19" s="161" t="inlineStr">
        <is>
          <t xml:space="preserve">Avg Covers/Week</t>
        </is>
      </c>
      <c r="B19" s="3322" t="e">
        <f t="array" ref="B19">ROUND(B$8*B18/52,0)</f>
      </c>
      <c r="C19" s="3322" t="e">
        <f t="array" ref="C19">ROUND(C$8*C18/52,0)</f>
      </c>
      <c r="D19" s="3322" t="e">
        <f t="array" ref="D19">ROUND(D$8*D18/52,0)</f>
      </c>
      <c r="E19" s="3322" t="e">
        <f t="array" ref="E19">ROUND(E$8*E18/52,0)</f>
      </c>
      <c r="F19" s="3322" t="e">
        <f t="array" ref="F19">ROUND(F$8*F18/52,0)</f>
      </c>
      <c r="G19" s="3322" t="e">
        <f t="array" ref="G19">ROUND(G$8*G18/52,0)</f>
      </c>
      <c r="H19" s="3322" t="e">
        <f t="array" ref="H19">ROUND(H$8*H18/52,0)</f>
      </c>
      <c r="I19" s="3322" t="e">
        <f t="array" ref="I19">ROUND(I$8*I18/52,0)</f>
      </c>
      <c r="J19" s="3322" t="e">
        <f t="array" ref="J19">ROUND(J$8*J18/52,0)</f>
      </c>
      <c r="K19" s="4042" t="e">
        <f t="array" ref="K19">ROUND(K$8*K18/52,0)</f>
      </c>
    </row>
    <row r="20" s="3154" customFormat="1" ht="15" customHeight="1">
      <c r="A20" s="161" t="inlineStr">
        <is>
          <t xml:space="preserve">Avg Cover Amt ($)</t>
        </is>
      </c>
      <c r="B20" s="4049" t="n">
        <v>15</v>
      </c>
      <c r="C20" s="4050" t="n">
        <v>17</v>
      </c>
      <c r="D20" s="4050" t="n">
        <v>18</v>
      </c>
      <c r="E20" s="4050" t="n">
        <v>20</v>
      </c>
      <c r="F20" s="4050" t="n">
        <v>22</v>
      </c>
      <c r="G20" s="4050" t="n">
        <v>25</v>
      </c>
      <c r="H20" s="4050" t="n">
        <v>25</v>
      </c>
      <c r="I20" s="4050" t="n">
        <v>25</v>
      </c>
      <c r="J20" s="4050" t="n">
        <v>25</v>
      </c>
      <c r="K20" s="4051" t="n">
        <v>25</v>
      </c>
    </row>
    <row r="21" s="3154" customFormat="1" ht="15" customHeight="1">
      <c r="A21" s="161" t="inlineStr">
        <is>
          <t xml:space="preserve">Subtotal</t>
        </is>
      </c>
      <c r="B21" s="4046" t="e">
        <f t="array" ref="B21">B19*B20*52</f>
      </c>
      <c r="C21" s="3226" t="e">
        <f t="array" ref="C21">C19*C20*52</f>
      </c>
      <c r="D21" s="3226" t="e">
        <f t="array" ref="D21">D19*D20*52</f>
      </c>
      <c r="E21" s="3226" t="e">
        <f t="array" ref="E21">E19*E20*52</f>
      </c>
      <c r="F21" s="3226" t="e">
        <f t="array" ref="F21">F19*F20*52</f>
      </c>
      <c r="G21" s="3226" t="e">
        <f t="array" ref="G21">G19*G20*52</f>
      </c>
      <c r="H21" s="3226" t="e">
        <f t="array" ref="H21">H19*H20*52</f>
      </c>
      <c r="I21" s="3226" t="e">
        <f t="array" ref="I21">I19*I20*52</f>
      </c>
      <c r="J21" s="3226" t="e">
        <f t="array" ref="J21">J19*J20*52</f>
      </c>
      <c r="K21" s="4047" t="e">
        <f t="array" ref="K21">K19*K20*52</f>
      </c>
    </row>
    <row r="22" s="3154" customFormat="1" ht="15" customHeight="1">
      <c r="A22" s="161" t="inlineStr">
        <is>
          <t xml:space="preserve">Per Occupied Room</t>
        </is>
      </c>
      <c r="B22" s="4048" t="e">
        <f t="array" ref="B22">B21/B$8</f>
      </c>
      <c r="C22" s="4026" t="e">
        <f t="array" ref="C22">C21/C$8</f>
      </c>
      <c r="D22" s="4026" t="e">
        <f t="array" ref="D22">D21/D$8</f>
      </c>
      <c r="E22" s="4026" t="e">
        <f t="array" ref="E22">E21/E$8</f>
      </c>
      <c r="F22" s="4026" t="e">
        <f t="array" ref="F22">F21/F$8</f>
      </c>
      <c r="G22" s="4026" t="e">
        <f t="array" ref="G22">G21/G$8</f>
      </c>
      <c r="H22" s="4026" t="e">
        <f t="array" ref="H22">H21/H$8</f>
      </c>
      <c r="I22" s="4026" t="e">
        <f t="array" ref="I22">I21/I$8</f>
      </c>
      <c r="J22" s="4026" t="e">
        <f t="array" ref="J22">J21/J$8</f>
      </c>
      <c r="K22" s="4022" t="e">
        <f t="array" ref="K22">K21/K$8</f>
      </c>
    </row>
    <row r="23" s="3154" customFormat="1" ht="9.75" customHeight="1">
      <c r="A23" s="627" t="n"/>
      <c r="B23" s="4048" t="n"/>
      <c r="C23" s="4026" t="n"/>
      <c r="D23" s="4026" t="n"/>
      <c r="E23" s="4026" t="n"/>
      <c r="F23" s="4026" t="n"/>
      <c r="G23" s="4026" t="n"/>
      <c r="H23" s="4026" t="n"/>
      <c r="I23" s="4026" t="n"/>
      <c r="J23" s="4026" t="n"/>
      <c r="K23" s="4022" t="n"/>
    </row>
    <row r="24" s="3154" customFormat="1" ht="15" customHeight="1">
      <c r="A24" s="2245" t="inlineStr">
        <is>
          <t xml:space="preserve">Transient Guests</t>
        </is>
      </c>
      <c r="B24" s="2254" t="n"/>
      <c r="C24" s="2254" t="n"/>
      <c r="D24" s="2254" t="n"/>
      <c r="E24" s="2254" t="n"/>
      <c r="F24" s="2254" t="n"/>
      <c r="G24" s="2254" t="n"/>
      <c r="H24" s="2254" t="n"/>
      <c r="I24" s="2254" t="n"/>
      <c r="J24" s="2254" t="n"/>
      <c r="K24" s="2255" t="n"/>
    </row>
    <row r="25" s="3154" customFormat="1" ht="15" customHeight="1">
      <c r="A25" s="161" t="inlineStr">
        <is>
          <t xml:space="preserve">Avg Covers/Week</t>
        </is>
      </c>
      <c r="B25" s="4052" t="n">
        <v>0</v>
      </c>
      <c r="C25" s="4052" t="n">
        <v>0</v>
      </c>
      <c r="D25" s="4052" t="n">
        <v>0</v>
      </c>
      <c r="E25" s="4052" t="n">
        <v>0</v>
      </c>
      <c r="F25" s="4052" t="n">
        <v>0</v>
      </c>
      <c r="G25" s="4052" t="n">
        <v>0</v>
      </c>
      <c r="H25" s="4052" t="n">
        <v>0</v>
      </c>
      <c r="I25" s="4052" t="n">
        <v>0</v>
      </c>
      <c r="J25" s="4052" t="n">
        <v>0</v>
      </c>
      <c r="K25" s="4053" t="n">
        <v>0</v>
      </c>
    </row>
    <row r="26" s="3154" customFormat="1" ht="15" customHeight="1">
      <c r="A26" s="161" t="inlineStr">
        <is>
          <t xml:space="preserve">Avg Cover Amt ($)</t>
        </is>
      </c>
      <c r="B26" s="4049" t="n">
        <v>20</v>
      </c>
      <c r="C26" s="4050" t="n">
        <v>25</v>
      </c>
      <c r="D26" s="4050" t="n">
        <v>27</v>
      </c>
      <c r="E26" s="4050" t="n">
        <v>28</v>
      </c>
      <c r="F26" s="4050" t="n">
        <v>30</v>
      </c>
      <c r="G26" s="4050" t="n">
        <v>30</v>
      </c>
      <c r="H26" s="4050" t="n">
        <v>30</v>
      </c>
      <c r="I26" s="4050" t="n">
        <v>30</v>
      </c>
      <c r="J26" s="4050" t="n">
        <v>30</v>
      </c>
      <c r="K26" s="4051" t="n">
        <v>30</v>
      </c>
    </row>
    <row r="27" s="3154" customFormat="1" ht="15.75" customHeight="1">
      <c r="A27" s="161" t="inlineStr">
        <is>
          <t xml:space="preserve">Subtotal</t>
        </is>
      </c>
      <c r="B27" s="4054" t="n">
        <f t="array" ref="B27">B25*B26*52</f>
        <v>0</v>
      </c>
      <c r="C27" s="3916" t="n">
        <f t="array" ref="C27">C25*C26*52</f>
        <v>0</v>
      </c>
      <c r="D27" s="3916" t="n">
        <f t="array" ref="D27">D25*D26*52</f>
        <v>0</v>
      </c>
      <c r="E27" s="3916" t="n">
        <f t="array" ref="E27">E25*E26*52</f>
        <v>0</v>
      </c>
      <c r="F27" s="3916" t="n">
        <f t="array" ref="F27">F25*F26*52</f>
        <v>0</v>
      </c>
      <c r="G27" s="3916" t="n">
        <f t="array" ref="G27">G25*G26*52</f>
        <v>0</v>
      </c>
      <c r="H27" s="3916" t="n">
        <f t="array" ref="H27">H25*H26*52</f>
        <v>0</v>
      </c>
      <c r="I27" s="3916" t="n">
        <f t="array" ref="I27">I25*I26*52</f>
        <v>0</v>
      </c>
      <c r="J27" s="3916" t="n">
        <f t="array" ref="J27">J25*J26*52</f>
        <v>0</v>
      </c>
      <c r="K27" s="4055" t="n">
        <f t="array" ref="K27">K25*K26*52</f>
        <v>0</v>
      </c>
    </row>
    <row r="28" s="3154" customFormat="1" ht="15.75" customHeight="1">
      <c r="A28" s="161" t="inlineStr">
        <is>
          <t xml:space="preserve">Total: Lobby Bar Food</t>
        </is>
      </c>
      <c r="B28" s="4046" t="e">
        <f t="array" ref="B28">B21+B27</f>
      </c>
      <c r="C28" s="3226" t="e">
        <f t="array" ref="C28">C21+C27</f>
      </c>
      <c r="D28" s="3226" t="e">
        <f t="array" ref="D28">D21+D27</f>
      </c>
      <c r="E28" s="3226" t="e">
        <f t="array" ref="E28">E21+E27</f>
      </c>
      <c r="F28" s="3226" t="e">
        <f t="array" ref="F28">F21+F27</f>
      </c>
      <c r="G28" s="3226" t="e">
        <f t="array" ref="G28">G21+G27</f>
      </c>
      <c r="H28" s="3226" t="e">
        <f t="array" ref="H28">H21+H27</f>
      </c>
      <c r="I28" s="3226" t="e">
        <f t="array" ref="I28">I21+I27</f>
      </c>
      <c r="J28" s="3226" t="e">
        <f t="array" ref="J28">J21+J27</f>
      </c>
      <c r="K28" s="4047" t="e">
        <f t="array" ref="K28">K21+K27</f>
      </c>
    </row>
    <row r="29" s="3154" customFormat="1" ht="15" customHeight="1">
      <c r="A29" s="627" t="n"/>
      <c r="B29" s="4043" t="n"/>
      <c r="C29" s="3322" t="n"/>
      <c r="D29" s="3322" t="n"/>
      <c r="E29" s="3322" t="n"/>
      <c r="F29" s="3322" t="n"/>
      <c r="G29" s="3322" t="n"/>
      <c r="H29" s="3322" t="n"/>
      <c r="I29" s="3322" t="n"/>
      <c r="J29" s="3322" t="n"/>
      <c r="K29" s="4042" t="n"/>
    </row>
    <row r="30" s="3154" customFormat="1" ht="15" customHeight="1">
      <c r="A30" s="2242" t="inlineStr">
        <is>
          <t xml:space="preserve">LOBBY BAR-BEVERAGE</t>
        </is>
      </c>
      <c r="B30" s="2243" t="e">
        <f t="array" ref="B30">B$7</f>
      </c>
      <c r="C30" s="2243" t="e">
        <f t="array" ref="C30">B30+1</f>
      </c>
      <c r="D30" s="2243" t="e">
        <f t="array" ref="D30">C30+1</f>
      </c>
      <c r="E30" s="2243" t="e">
        <f t="array" ref="E30">D30+1</f>
      </c>
      <c r="F30" s="2243" t="e">
        <f t="array" ref="F30">E30+1</f>
      </c>
      <c r="G30" s="2243" t="e">
        <f t="array" ref="G30">F30+1</f>
      </c>
      <c r="H30" s="2243" t="e">
        <f t="array" ref="H30">G30+1</f>
      </c>
      <c r="I30" s="2243" t="e">
        <f t="array" ref="I30">H30+1</f>
      </c>
      <c r="J30" s="2243" t="e">
        <f t="array" ref="J30">I30+1</f>
      </c>
      <c r="K30" s="2244" t="e">
        <f t="array" ref="K30">J30+1</f>
      </c>
    </row>
    <row r="31" s="3154" customFormat="1" ht="15" customHeight="1">
      <c r="A31" s="2245" t="inlineStr">
        <is>
          <t xml:space="preserve">Hotel Guests</t>
        </is>
      </c>
      <c r="B31" s="2254" t="n"/>
      <c r="C31" s="2254" t="n"/>
      <c r="D31" s="2254" t="n"/>
      <c r="E31" s="2254" t="n"/>
      <c r="F31" s="2254" t="n"/>
      <c r="G31" s="2254" t="n"/>
      <c r="H31" s="2254" t="n"/>
      <c r="I31" s="2254" t="n"/>
      <c r="J31" s="2254" t="n"/>
      <c r="K31" s="2255" t="n"/>
    </row>
    <row r="32" s="3154" customFormat="1" ht="15" customHeight="1">
      <c r="A32" s="161" t="inlineStr">
        <is>
          <t xml:space="preserve">% of Rooms Participating</t>
        </is>
      </c>
      <c r="B32" s="2256" t="n">
        <v>0</v>
      </c>
      <c r="C32" s="2256" t="n">
        <v>0</v>
      </c>
      <c r="D32" s="2256" t="n">
        <v>0</v>
      </c>
      <c r="E32" s="2256" t="n">
        <v>0</v>
      </c>
      <c r="F32" s="2256" t="n">
        <v>0</v>
      </c>
      <c r="G32" s="2256" t="n">
        <v>0</v>
      </c>
      <c r="H32" s="2256" t="n">
        <v>0</v>
      </c>
      <c r="I32" s="2256" t="n">
        <v>0</v>
      </c>
      <c r="J32" s="2256" t="n">
        <v>0</v>
      </c>
      <c r="K32" s="2257" t="n">
        <v>0</v>
      </c>
    </row>
    <row r="33" s="3154" customFormat="1" ht="15" customHeight="1">
      <c r="A33" s="161" t="inlineStr">
        <is>
          <t xml:space="preserve">Avg Covers/Week</t>
        </is>
      </c>
      <c r="B33" s="3322" t="e">
        <f t="array" ref="B33">ROUND(B$8*B32/52,0)</f>
      </c>
      <c r="C33" s="3322" t="e">
        <f t="array" ref="C33">ROUND(C$8*C32/52,0)</f>
      </c>
      <c r="D33" s="3322" t="e">
        <f t="array" ref="D33">ROUND(D$8*D32/52,0)</f>
      </c>
      <c r="E33" s="3322" t="e">
        <f t="array" ref="E33">ROUND(E$8*E32/52,0)</f>
      </c>
      <c r="F33" s="3322" t="e">
        <f t="array" ref="F33">ROUND(F$8*F32/52,0)</f>
      </c>
      <c r="G33" s="3322" t="e">
        <f t="array" ref="G33">ROUND(G$8*G32/52,0)</f>
      </c>
      <c r="H33" s="3322" t="e">
        <f t="array" ref="H33">ROUND(H$8*H32/52,0)</f>
      </c>
      <c r="I33" s="3322" t="e">
        <f t="array" ref="I33">ROUND(I$8*I32/52,0)</f>
      </c>
      <c r="J33" s="3322" t="e">
        <f t="array" ref="J33">ROUND(J$8*J32/52,0)</f>
      </c>
      <c r="K33" s="4042" t="e">
        <f t="array" ref="K33">ROUND(K$8*K32/52,0)</f>
      </c>
    </row>
    <row r="34" s="3154" customFormat="1" ht="15" customHeight="1">
      <c r="A34" s="161" t="inlineStr">
        <is>
          <t xml:space="preserve">Avg Cover Amt ($)</t>
        </is>
      </c>
      <c r="B34" s="4049" t="n">
        <v>17</v>
      </c>
      <c r="C34" s="4050" t="n">
        <v>19</v>
      </c>
      <c r="D34" s="4050" t="n">
        <v>20</v>
      </c>
      <c r="E34" s="4050" t="n">
        <v>22</v>
      </c>
      <c r="F34" s="4050" t="n">
        <v>25</v>
      </c>
      <c r="G34" s="4050" t="n">
        <v>25</v>
      </c>
      <c r="H34" s="4050" t="n">
        <v>25</v>
      </c>
      <c r="I34" s="4050" t="n">
        <v>25</v>
      </c>
      <c r="J34" s="4050" t="n">
        <v>25</v>
      </c>
      <c r="K34" s="4051" t="n">
        <v>25</v>
      </c>
    </row>
    <row r="35" s="3154" customFormat="1" ht="15" customHeight="1">
      <c r="A35" s="161" t="inlineStr">
        <is>
          <t xml:space="preserve">Subtotal</t>
        </is>
      </c>
      <c r="B35" s="4046" t="e">
        <f t="array" ref="B35">B33*B34*52</f>
      </c>
      <c r="C35" s="3226" t="e">
        <f t="array" ref="C35">C33*C34*52</f>
      </c>
      <c r="D35" s="3226" t="e">
        <f t="array" ref="D35">D33*D34*52</f>
      </c>
      <c r="E35" s="3226" t="e">
        <f t="array" ref="E35">E33*E34*52</f>
      </c>
      <c r="F35" s="3226" t="e">
        <f t="array" ref="F35">F33*F34*52</f>
      </c>
      <c r="G35" s="3226" t="e">
        <f t="array" ref="G35">G33*G34*52</f>
      </c>
      <c r="H35" s="3226" t="e">
        <f t="array" ref="H35">H33*H34*52</f>
      </c>
      <c r="I35" s="3226" t="e">
        <f t="array" ref="I35">I33*I34*52</f>
      </c>
      <c r="J35" s="3226" t="e">
        <f t="array" ref="J35">J33*J34*52</f>
      </c>
      <c r="K35" s="4047" t="e">
        <f t="array" ref="K35">K33*K34*52</f>
      </c>
    </row>
    <row r="36" s="3154" customFormat="1" ht="15" customHeight="1">
      <c r="A36" s="161" t="inlineStr">
        <is>
          <t xml:space="preserve">Per Occupied Room</t>
        </is>
      </c>
      <c r="B36" s="4048" t="e">
        <f t="array" ref="B36">B35/B$8</f>
      </c>
      <c r="C36" s="4026" t="e">
        <f t="array" ref="C36">C35/C$8</f>
      </c>
      <c r="D36" s="4026" t="e">
        <f t="array" ref="D36">D35/D$8</f>
      </c>
      <c r="E36" s="4026" t="e">
        <f t="array" ref="E36">E35/E$8</f>
      </c>
      <c r="F36" s="4026" t="e">
        <f t="array" ref="F36">F35/F$8</f>
      </c>
      <c r="G36" s="4026" t="e">
        <f t="array" ref="G36">G35/G$8</f>
      </c>
      <c r="H36" s="4026" t="e">
        <f t="array" ref="H36">H35/H$8</f>
      </c>
      <c r="I36" s="4026" t="e">
        <f t="array" ref="I36">I35/I$8</f>
      </c>
      <c r="J36" s="4026" t="e">
        <f t="array" ref="J36">J35/J$8</f>
      </c>
      <c r="K36" s="4022" t="e">
        <f t="array" ref="K36">K35/K$8</f>
      </c>
    </row>
    <row r="37" s="3154" customFormat="1" ht="9.75" customHeight="1">
      <c r="A37" s="627" t="n"/>
      <c r="B37" s="4048" t="n"/>
      <c r="C37" s="4026" t="n"/>
      <c r="D37" s="4026" t="n"/>
      <c r="E37" s="4026" t="n"/>
      <c r="F37" s="4026" t="n"/>
      <c r="G37" s="4026" t="n"/>
      <c r="H37" s="4026" t="n"/>
      <c r="I37" s="4026" t="n"/>
      <c r="J37" s="4026" t="n"/>
      <c r="K37" s="4022" t="n"/>
    </row>
    <row r="38" s="3154" customFormat="1" ht="15" customHeight="1">
      <c r="A38" s="2245" t="inlineStr">
        <is>
          <t xml:space="preserve">Transient Guests</t>
        </is>
      </c>
      <c r="B38" s="2254" t="n"/>
      <c r="C38" s="2254" t="n"/>
      <c r="D38" s="2254" t="n"/>
      <c r="E38" s="2254" t="n"/>
      <c r="F38" s="2254" t="n"/>
      <c r="G38" s="2254" t="n"/>
      <c r="H38" s="2254" t="n"/>
      <c r="I38" s="2254" t="n"/>
      <c r="J38" s="2254" t="n"/>
      <c r="K38" s="2255" t="n"/>
    </row>
    <row r="39" s="3154" customFormat="1" ht="15" customHeight="1">
      <c r="A39" s="161" t="inlineStr">
        <is>
          <t xml:space="preserve">Avg Covers/Week</t>
        </is>
      </c>
      <c r="B39" s="4052" t="n">
        <v>0</v>
      </c>
      <c r="C39" s="4052" t="n">
        <v>0</v>
      </c>
      <c r="D39" s="4052" t="n">
        <v>0</v>
      </c>
      <c r="E39" s="4052" t="n">
        <v>0</v>
      </c>
      <c r="F39" s="4052" t="n">
        <v>0</v>
      </c>
      <c r="G39" s="4052" t="n">
        <v>0</v>
      </c>
      <c r="H39" s="4052" t="n">
        <v>0</v>
      </c>
      <c r="I39" s="4052" t="n">
        <v>0</v>
      </c>
      <c r="J39" s="4052" t="n">
        <v>0</v>
      </c>
      <c r="K39" s="4053" t="n">
        <v>0</v>
      </c>
    </row>
    <row r="40" s="3154" customFormat="1" ht="15" customHeight="1">
      <c r="A40" s="161" t="inlineStr">
        <is>
          <t xml:space="preserve">Avg Cover Amt ($)</t>
        </is>
      </c>
      <c r="B40" s="4049" t="n">
        <v>14</v>
      </c>
      <c r="C40" s="4050" t="n">
        <v>15</v>
      </c>
      <c r="D40" s="4050" t="n">
        <v>16</v>
      </c>
      <c r="E40" s="4050" t="n">
        <v>16.5</v>
      </c>
      <c r="F40" s="4050" t="n">
        <v>16.5</v>
      </c>
      <c r="G40" s="4050" t="n">
        <v>16.5</v>
      </c>
      <c r="H40" s="4050" t="n">
        <v>16.5</v>
      </c>
      <c r="I40" s="4050" t="n">
        <v>16.5</v>
      </c>
      <c r="J40" s="4050" t="n">
        <v>16.5</v>
      </c>
      <c r="K40" s="4051" t="n">
        <v>16.5</v>
      </c>
    </row>
    <row r="41" s="3154" customFormat="1" ht="15.75" customHeight="1">
      <c r="A41" s="161" t="inlineStr">
        <is>
          <t xml:space="preserve">Subtotal</t>
        </is>
      </c>
      <c r="B41" s="4054" t="n">
        <f t="array" ref="B41">B39*B40*52</f>
        <v>0</v>
      </c>
      <c r="C41" s="3916" t="n">
        <f t="array" ref="C41">C39*C40*52</f>
        <v>0</v>
      </c>
      <c r="D41" s="3916" t="n">
        <f t="array" ref="D41">D39*D40*52</f>
        <v>0</v>
      </c>
      <c r="E41" s="3916" t="n">
        <f t="array" ref="E41">E39*E40*52</f>
        <v>0</v>
      </c>
      <c r="F41" s="3916" t="n">
        <f t="array" ref="F41">F39*F40*52</f>
        <v>0</v>
      </c>
      <c r="G41" s="3916" t="n">
        <f t="array" ref="G41">G39*G40*52</f>
        <v>0</v>
      </c>
      <c r="H41" s="3916" t="n">
        <f t="array" ref="H41">H39*H40*52</f>
        <v>0</v>
      </c>
      <c r="I41" s="3916" t="n">
        <f t="array" ref="I41">I39*I40*52</f>
        <v>0</v>
      </c>
      <c r="J41" s="3916" t="n">
        <f t="array" ref="J41">J39*J40*52</f>
        <v>0</v>
      </c>
      <c r="K41" s="4055" t="n">
        <f t="array" ref="K41">K39*K40*52</f>
        <v>0</v>
      </c>
    </row>
    <row r="42" s="3154" customFormat="1" ht="15.75" customHeight="1">
      <c r="A42" s="161" t="inlineStr">
        <is>
          <t xml:space="preserve">Total: Lobby Bar-Beverage</t>
        </is>
      </c>
      <c r="B42" s="4046" t="e">
        <f t="array" ref="B42">B35+B41</f>
      </c>
      <c r="C42" s="3226" t="e">
        <f t="array" ref="C42">C35+C41</f>
      </c>
      <c r="D42" s="3226" t="e">
        <f t="array" ref="D42">D35+D41</f>
      </c>
      <c r="E42" s="3226" t="e">
        <f t="array" ref="E42">E35+E41</f>
      </c>
      <c r="F42" s="3226" t="e">
        <f t="array" ref="F42">F35+F41</f>
      </c>
      <c r="G42" s="3226" t="e">
        <f t="array" ref="G42">G35+G41</f>
      </c>
      <c r="H42" s="3226" t="e">
        <f t="array" ref="H42">H35+H41</f>
      </c>
      <c r="I42" s="3226" t="e">
        <f t="array" ref="I42">I35+I41</f>
      </c>
      <c r="J42" s="3226" t="e">
        <f t="array" ref="J42">J35+J41</f>
      </c>
      <c r="K42" s="4047" t="e">
        <f t="array" ref="K42">K35+K41</f>
      </c>
    </row>
    <row r="43" s="3154" customFormat="1" ht="15" customHeight="1">
      <c r="A43" s="627" t="n"/>
      <c r="B43" s="26" t="n"/>
      <c r="C43" s="26" t="n"/>
      <c r="D43" s="26" t="n"/>
      <c r="E43" s="26" t="n"/>
      <c r="F43" s="26" t="n"/>
      <c r="G43" s="26" t="n"/>
      <c r="H43" s="26" t="n"/>
      <c r="I43" s="26" t="n"/>
      <c r="J43" s="26" t="n"/>
      <c r="K43" s="27" t="n"/>
    </row>
    <row r="44" s="3154" customFormat="1" ht="15" customHeight="1">
      <c r="A44" s="2242" t="inlineStr">
        <is>
          <t xml:space="preserve">ROOM SERVICE</t>
        </is>
      </c>
      <c r="B44" s="2243" t="e">
        <f t="array" ref="B44">B$7</f>
      </c>
      <c r="C44" s="2243" t="e">
        <f t="array" ref="C44">B44+1</f>
      </c>
      <c r="D44" s="2243" t="e">
        <f t="array" ref="D44">C44+1</f>
      </c>
      <c r="E44" s="2243" t="e">
        <f t="array" ref="E44">D44+1</f>
      </c>
      <c r="F44" s="2243" t="e">
        <f t="array" ref="F44">E44+1</f>
      </c>
      <c r="G44" s="2243" t="e">
        <f t="array" ref="G44">F44+1</f>
      </c>
      <c r="H44" s="2243" t="e">
        <f t="array" ref="H44">G44+1</f>
      </c>
      <c r="I44" s="2243" t="e">
        <f t="array" ref="I44">H44+1</f>
      </c>
      <c r="J44" s="2243" t="e">
        <f t="array" ref="J44">I44+1</f>
      </c>
      <c r="K44" s="2244" t="e">
        <f t="array" ref="K44">J44+1</f>
      </c>
    </row>
    <row r="45" s="3154" customFormat="1" ht="15" customHeight="1">
      <c r="A45" s="161" t="inlineStr">
        <is>
          <t xml:space="preserve">% of Rooms Participating</t>
        </is>
      </c>
      <c r="B45" s="2256" t="n">
        <v>0</v>
      </c>
      <c r="C45" s="2256" t="n">
        <v>0</v>
      </c>
      <c r="D45" s="2256" t="n">
        <v>0</v>
      </c>
      <c r="E45" s="2256" t="n">
        <v>0</v>
      </c>
      <c r="F45" s="2256" t="n">
        <v>0</v>
      </c>
      <c r="G45" s="2256" t="n">
        <v>0</v>
      </c>
      <c r="H45" s="2256" t="n">
        <v>0</v>
      </c>
      <c r="I45" s="2256" t="n">
        <v>0</v>
      </c>
      <c r="J45" s="2256" t="n">
        <v>0</v>
      </c>
      <c r="K45" s="2257" t="n">
        <v>0</v>
      </c>
    </row>
    <row r="46" s="3154" customFormat="1" ht="15" customHeight="1">
      <c r="A46" s="161" t="inlineStr">
        <is>
          <t xml:space="preserve">Avg Covers/Week</t>
        </is>
      </c>
      <c r="B46" s="3322" t="e">
        <f t="array" ref="B46">ROUND(B$8*B45/52,0)</f>
      </c>
      <c r="C46" s="3322" t="e">
        <f t="array" ref="C46">ROUND(C$8*C45/52,0)</f>
      </c>
      <c r="D46" s="3322" t="e">
        <f t="array" ref="D46">ROUND(D$8*D45/52,0)</f>
      </c>
      <c r="E46" s="3322" t="e">
        <f t="array" ref="E46">ROUND(E$8*E45/52,0)</f>
      </c>
      <c r="F46" s="3322" t="e">
        <f t="array" ref="F46">ROUND(F$8*F45/52,0)</f>
      </c>
      <c r="G46" s="3322" t="e">
        <f t="array" ref="G46">ROUND(G$8*G45/52,0)</f>
      </c>
      <c r="H46" s="3322" t="e">
        <f t="array" ref="H46">ROUND(H$8*H45/52,0)</f>
      </c>
      <c r="I46" s="3322" t="e">
        <f t="array" ref="I46">ROUND(I$8*I45/52,0)</f>
      </c>
      <c r="J46" s="3322" t="e">
        <f t="array" ref="J46">ROUND(J$8*J45/52,0)</f>
      </c>
      <c r="K46" s="4042" t="e">
        <f t="array" ref="K46">ROUND(K$8*K45/52,0)</f>
      </c>
    </row>
    <row r="47" s="3154" customFormat="1" ht="15" customHeight="1">
      <c r="A47" s="161" t="inlineStr">
        <is>
          <t xml:space="preserve">Avg Cover Amt ($)</t>
        </is>
      </c>
      <c r="B47" s="4049" t="n">
        <v>35</v>
      </c>
      <c r="C47" s="4050" t="n">
        <v>45</v>
      </c>
      <c r="D47" s="4050" t="n">
        <v>50</v>
      </c>
      <c r="E47" s="4050" t="n">
        <v>50</v>
      </c>
      <c r="F47" s="4050" t="n">
        <v>50</v>
      </c>
      <c r="G47" s="4050" t="n">
        <v>50</v>
      </c>
      <c r="H47" s="4050" t="n">
        <v>50</v>
      </c>
      <c r="I47" s="4050" t="n">
        <v>50</v>
      </c>
      <c r="J47" s="4050" t="n">
        <v>50</v>
      </c>
      <c r="K47" s="4051" t="n">
        <v>50</v>
      </c>
    </row>
    <row r="48" s="3154" customFormat="1" ht="15" customHeight="1">
      <c r="A48" s="161" t="inlineStr">
        <is>
          <t xml:space="preserve">Subtotal: Lobby Bar-Food</t>
        </is>
      </c>
      <c r="B48" s="4046" t="e">
        <f t="array" ref="B48">B46*B47*52</f>
      </c>
      <c r="C48" s="3226" t="e">
        <f t="array" ref="C48">C46*C47*52</f>
      </c>
      <c r="D48" s="3226" t="e">
        <f t="array" ref="D48">D46*D47*52</f>
      </c>
      <c r="E48" s="3226" t="e">
        <f t="array" ref="E48">E46*E47*52</f>
      </c>
      <c r="F48" s="3226" t="e">
        <f t="array" ref="F48">F46*F47*52</f>
      </c>
      <c r="G48" s="3226" t="e">
        <f t="array" ref="G48">G46*G47*52</f>
      </c>
      <c r="H48" s="3226" t="e">
        <f t="array" ref="H48">H46*H47*52</f>
      </c>
      <c r="I48" s="3226" t="e">
        <f t="array" ref="I48">I46*I47*52</f>
      </c>
      <c r="J48" s="3226" t="e">
        <f t="array" ref="J48">J46*J47*52</f>
      </c>
      <c r="K48" s="4047" t="e">
        <f t="array" ref="K48">K46*K47*52</f>
      </c>
    </row>
    <row r="49" s="3154" customFormat="1" ht="15" customHeight="1">
      <c r="A49" s="161" t="inlineStr">
        <is>
          <t xml:space="preserve">Per Occupied Room</t>
        </is>
      </c>
      <c r="B49" s="4048" t="e">
        <f t="array" ref="B49">B48/B$8</f>
      </c>
      <c r="C49" s="4026" t="e">
        <f t="array" ref="C49">C48/C$8</f>
      </c>
      <c r="D49" s="4026" t="e">
        <f t="array" ref="D49">D48/D$8</f>
      </c>
      <c r="E49" s="4026" t="e">
        <f t="array" ref="E49">E48/E$8</f>
      </c>
      <c r="F49" s="4026" t="e">
        <f t="array" ref="F49">F48/F$8</f>
      </c>
      <c r="G49" s="4026" t="e">
        <f t="array" ref="G49">G48/G$8</f>
      </c>
      <c r="H49" s="4026" t="e">
        <f t="array" ref="H49">H48/H$8</f>
      </c>
      <c r="I49" s="4026" t="e">
        <f t="array" ref="I49">I48/I$8</f>
      </c>
      <c r="J49" s="4026" t="e">
        <f t="array" ref="J49">J48/J$8</f>
      </c>
      <c r="K49" s="4022" t="e">
        <f t="array" ref="K49">K48/K$8</f>
      </c>
    </row>
    <row r="50" s="3154" customFormat="1" ht="15" customHeight="1">
      <c r="A50" s="627" t="n"/>
      <c r="B50" s="26" t="n"/>
      <c r="C50" s="26" t="n"/>
      <c r="D50" s="26" t="n"/>
      <c r="E50" s="26" t="n"/>
      <c r="F50" s="26" t="n"/>
      <c r="G50" s="26" t="n"/>
      <c r="H50" s="26" t="n"/>
      <c r="I50" s="26" t="n"/>
      <c r="J50" s="26" t="n"/>
      <c r="K50" s="27" t="n"/>
    </row>
    <row r="51" s="3154" customFormat="1" ht="15" customHeight="1">
      <c r="A51" s="2242" t="inlineStr">
        <is>
          <t xml:space="preserve">MEETING/BANQUET</t>
        </is>
      </c>
      <c r="B51" s="2243" t="e">
        <f t="array" ref="B51">B$7</f>
      </c>
      <c r="C51" s="2243" t="e">
        <f t="array" ref="C51">B51+1</f>
      </c>
      <c r="D51" s="2243" t="e">
        <f t="array" ref="D51">C51+1</f>
      </c>
      <c r="E51" s="2243" t="e">
        <f t="array" ref="E51">D51+1</f>
      </c>
      <c r="F51" s="2243" t="e">
        <f t="array" ref="F51">E51+1</f>
      </c>
      <c r="G51" s="2243" t="e">
        <f t="array" ref="G51">F51+1</f>
      </c>
      <c r="H51" s="2243" t="e">
        <f t="array" ref="H51">G51+1</f>
      </c>
      <c r="I51" s="2243" t="e">
        <f t="array" ref="I51">H51+1</f>
      </c>
      <c r="J51" s="2243" t="e">
        <f t="array" ref="J51">I51+1</f>
      </c>
      <c r="K51" s="2244" t="e">
        <f t="array" ref="K51">J51+1</f>
      </c>
    </row>
    <row r="52" s="3154" customFormat="1" ht="15" customHeight="1">
      <c r="A52" s="161" t="inlineStr">
        <is>
          <t xml:space="preserve">Events/Mo</t>
        </is>
      </c>
      <c r="B52" s="4052" t="n">
        <v>0</v>
      </c>
      <c r="C52" s="4052" t="n">
        <v>0</v>
      </c>
      <c r="D52" s="4052" t="n">
        <v>0</v>
      </c>
      <c r="E52" s="4052" t="n">
        <v>0</v>
      </c>
      <c r="F52" s="4052" t="n">
        <v>0</v>
      </c>
      <c r="G52" s="4052" t="n">
        <v>0</v>
      </c>
      <c r="H52" s="4052" t="n">
        <v>0</v>
      </c>
      <c r="I52" s="4052" t="n">
        <v>0</v>
      </c>
      <c r="J52" s="4052" t="n">
        <v>0</v>
      </c>
      <c r="K52" s="4053" t="n">
        <v>0</v>
      </c>
    </row>
    <row r="53" s="3154" customFormat="1" ht="15" customHeight="1">
      <c r="A53" s="161" t="inlineStr">
        <is>
          <t xml:space="preserve">Avg Rev/Event</t>
        </is>
      </c>
      <c r="B53" s="4056" t="n">
        <v>4500</v>
      </c>
      <c r="C53" s="4052" t="n">
        <v>5000</v>
      </c>
      <c r="D53" s="4052" t="n">
        <v>6500</v>
      </c>
      <c r="E53" s="4052" t="n">
        <v>7000</v>
      </c>
      <c r="F53" s="4052" t="n">
        <v>7500</v>
      </c>
      <c r="G53" s="4052" t="n">
        <v>7500</v>
      </c>
      <c r="H53" s="4052" t="n">
        <v>7500</v>
      </c>
      <c r="I53" s="4052" t="n">
        <v>7500</v>
      </c>
      <c r="J53" s="4052" t="n">
        <v>7500</v>
      </c>
      <c r="K53" s="4053" t="n">
        <v>7500</v>
      </c>
    </row>
    <row r="54" s="3154" customFormat="1" ht="15" customHeight="1">
      <c r="A54" s="161" t="inlineStr">
        <is>
          <t xml:space="preserve">Other/Event</t>
        </is>
      </c>
      <c r="B54" s="4049" t="n">
        <v>0</v>
      </c>
      <c r="C54" s="4050" t="n">
        <v>0</v>
      </c>
      <c r="D54" s="4050" t="n">
        <v>0</v>
      </c>
      <c r="E54" s="4050" t="n">
        <v>0</v>
      </c>
      <c r="F54" s="4050" t="n">
        <v>0</v>
      </c>
      <c r="G54" s="4050" t="n">
        <v>0</v>
      </c>
      <c r="H54" s="4050" t="n">
        <v>0</v>
      </c>
      <c r="I54" s="4050" t="n">
        <v>0</v>
      </c>
      <c r="J54" s="4050" t="n">
        <v>0</v>
      </c>
      <c r="K54" s="4051" t="n">
        <v>0</v>
      </c>
    </row>
    <row r="55" s="3154" customFormat="1" ht="15" customHeight="1">
      <c r="A55" s="161" t="inlineStr">
        <is>
          <t xml:space="preserve">Subtotal: Meeting/Banquet</t>
        </is>
      </c>
      <c r="B55" s="4046" t="n">
        <f t="array" ref="B55">(B52*(B53+B54))*12</f>
        <v>0</v>
      </c>
      <c r="C55" s="3226" t="n">
        <f t="array" ref="C55">(C52*(C53+C54))*12</f>
        <v>0</v>
      </c>
      <c r="D55" s="3226" t="n">
        <f t="array" ref="D55">(D52*(D53+D54))*12</f>
        <v>0</v>
      </c>
      <c r="E55" s="3226" t="n">
        <f t="array" ref="E55">(E52*(E53+E54))*12</f>
        <v>0</v>
      </c>
      <c r="F55" s="3226" t="n">
        <f t="array" ref="F55">(F52*(F53+F54))*12</f>
        <v>0</v>
      </c>
      <c r="G55" s="3226" t="n">
        <f t="array" ref="G55">(G52*(G53+G54))*12</f>
        <v>0</v>
      </c>
      <c r="H55" s="3226" t="n">
        <f t="array" ref="H55">(H52*(H53+H54))*12</f>
        <v>0</v>
      </c>
      <c r="I55" s="3226" t="n">
        <f t="array" ref="I55">(I52*(I53+I54))*12</f>
        <v>0</v>
      </c>
      <c r="J55" s="3226" t="n">
        <f t="array" ref="J55">(J52*(J53+J54))*12</f>
        <v>0</v>
      </c>
      <c r="K55" s="4047" t="n">
        <f t="array" ref="K55">(K52*(K53+K54))*12</f>
        <v>0</v>
      </c>
    </row>
    <row r="56" s="3154" customFormat="1" ht="15" customHeight="1">
      <c r="A56" s="2219" t="inlineStr">
        <is>
          <t xml:space="preserve">Per Occupied Room</t>
        </is>
      </c>
      <c r="B56" s="4057" t="e">
        <f t="array" ref="B56">B55/B$8</f>
      </c>
      <c r="C56" s="4058" t="e">
        <f t="array" ref="C56">C55/C$8</f>
      </c>
      <c r="D56" s="4058" t="e">
        <f t="array" ref="D56">D55/D$8</f>
      </c>
      <c r="E56" s="4058" t="e">
        <f t="array" ref="E56">E55/E$8</f>
      </c>
      <c r="F56" s="4058" t="e">
        <f t="array" ref="F56">F55/F$8</f>
      </c>
      <c r="G56" s="4058" t="e">
        <f t="array" ref="G56">G55/G$8</f>
      </c>
      <c r="H56" s="4058" t="e">
        <f t="array" ref="H56">H55/H$8</f>
      </c>
      <c r="I56" s="4058" t="e">
        <f t="array" ref="I56">I55/I$8</f>
      </c>
      <c r="J56" s="4058" t="e">
        <f t="array" ref="J56">J55/J$8</f>
      </c>
      <c r="K56" s="4059" t="e">
        <f t="array" ref="K56">K55/K$8</f>
      </c>
    </row>
  </sheetData>
  <pageMargins left="0.7" right="0.7" top="0.75" bottom="0.75" header="0.3" footer="0.3"/>
</worksheet>
</file>

<file path=xl/worksheets/sheet19.xml><?xml version="1.0" encoding="utf-8"?>
<worksheet xmlns="http://schemas.openxmlformats.org/spreadsheetml/2006/main">
  <sheetViews>
    <sheetView showGridLines="0" workbookViewId="0"/>
  </sheetViews>
  <sheetFormatPr baseColWidth="8" defaultColWidth="9" defaultRowHeight="15"/>
  <cols>
    <col min="1" max="1" width="24.851600646972656" style="3136" customWidth="1"/>
    <col min="2" max="2" width="13.85159969329834" style="3136" customWidth="1"/>
    <col min="3" max="11" width="13.35159969329834" style="3136" customWidth="1"/>
    <col min="12" max="13" width="9" style="3136" customWidth="1"/>
    <col min="14" max="14" width="15.85159969329834" style="3136" customWidth="1"/>
    <col min="15" max="15" width="9.171879768371582" style="3136" customWidth="1"/>
    <col min="16" max="16" width="9" style="3136" customWidth="1"/>
    <col min="17" max="17" width="10.671899795532227" style="3136" customWidth="1"/>
    <col min="18" max="18" width="16.351600646972656" style="3136" customWidth="1"/>
    <col min="19" max="16384" width="9" style="3136" customWidth="1"/>
  </cols>
  <sheetData>
    <row r="1" s="3154" customFormat="1" ht="19.5" customHeight="1">
      <c r="A1" s="1655" t="inlineStr">
        <is>
          <t xml:space="preserve">INCENTIVES AND REBATES</t>
        </is>
      </c>
      <c r="B1" s="1657" t="n"/>
      <c r="C1" s="2223" t="n"/>
      <c r="D1" s="1657" t="n"/>
      <c r="E1" s="4034" t="n"/>
      <c r="F1" s="1657" t="n"/>
      <c r="G1" s="1657" t="n"/>
      <c r="H1" s="1657" t="n"/>
      <c r="I1" s="1657" t="n"/>
      <c r="J1" s="2225" t="n"/>
      <c r="K1" s="1891" t="inlineStr">
        <is>
          <t xml:space="preserve">MODEL REVISED: Mar 25, 2025</t>
        </is>
      </c>
      <c r="L1" s="11" t="n"/>
      <c r="M1" s="11" t="n"/>
      <c r="N1" s="11" t="n"/>
      <c r="O1" s="11" t="n"/>
      <c r="P1" s="11" t="n"/>
      <c r="Q1" s="11" t="n"/>
      <c r="R1" s="13" t="n"/>
    </row>
    <row r="2" s="3154" customFormat="1" ht="17.25" customHeight="1">
      <c r="A2" s="157" t="str">
        <f t="array" ref="A2">'Assumptions'!$D$6&amp;" / "&amp;'Assumptions'!$D$7&amp;" / "&amp;'Assumptions'!$D$9</f>
        <v>INDEPENDENT (No Flag) / SLEEP SPACE — 100-KEY PREFAB (50 EP + 50 E) / Austin, TX</v>
      </c>
      <c r="B2" s="1662" t="n"/>
      <c r="C2" s="366" t="n"/>
      <c r="D2" s="1662" t="n"/>
      <c r="E2" s="4035" t="n"/>
      <c r="F2" s="1662" t="n"/>
      <c r="G2" s="1662" t="n"/>
      <c r="H2" s="1662" t="n"/>
      <c r="I2" s="1662" t="n"/>
      <c r="J2" s="1662" t="n"/>
      <c r="K2" s="1662" t="n"/>
      <c r="L2" s="26" t="n"/>
      <c r="M2" s="26" t="n"/>
      <c r="N2" s="26" t="n"/>
      <c r="O2" s="26" t="n"/>
      <c r="P2" s="26" t="n"/>
      <c r="Q2" s="26" t="n"/>
      <c r="R2" s="27" t="n"/>
    </row>
    <row r="3" s="3154" customFormat="1" ht="15" customHeight="1">
      <c r="A3" s="580" t="str">
        <f t="array" ref="A3">'Assumptions'!$A$3</f>
        <v>Version Notes: Added 1st round of GPM Costs from Pinkerton and Laws. We anticipate further cost savings. </v>
      </c>
      <c r="B3" s="18" t="n"/>
      <c r="C3" s="2229" t="n"/>
      <c r="D3" s="18" t="n"/>
      <c r="E3" s="4036" t="n"/>
      <c r="F3" s="18" t="n"/>
      <c r="G3" s="18" t="n"/>
      <c r="H3" s="18" t="n"/>
      <c r="I3" s="18" t="n"/>
      <c r="J3" s="18" t="n"/>
      <c r="K3" s="18" t="n"/>
      <c r="L3" s="26" t="n"/>
      <c r="M3" s="26" t="n"/>
      <c r="N3" s="26" t="n"/>
      <c r="O3" s="26" t="n"/>
      <c r="P3" s="26" t="n"/>
      <c r="Q3" s="26" t="n"/>
      <c r="R3" s="27" t="n"/>
    </row>
    <row r="4" s="3154" customFormat="1" ht="15" customHeight="1">
      <c r="A4" s="2232" t="n"/>
      <c r="B4" s="16" t="n"/>
      <c r="C4" s="2233" t="n"/>
      <c r="D4" s="16" t="n"/>
      <c r="E4" s="4037" t="n"/>
      <c r="F4" s="16" t="n"/>
      <c r="G4" s="16" t="n"/>
      <c r="H4" s="16" t="n"/>
      <c r="I4" s="16" t="n"/>
      <c r="J4" s="16" t="n"/>
      <c r="K4" s="16" t="n"/>
      <c r="L4" s="26" t="n"/>
      <c r="M4" s="26" t="n"/>
      <c r="N4" s="26" t="n"/>
      <c r="O4" s="26" t="n"/>
      <c r="P4" s="26" t="n"/>
      <c r="Q4" s="26" t="n"/>
      <c r="R4" s="27" t="n"/>
    </row>
    <row r="5" s="3154" customFormat="1" ht="15" hidden="1" customHeight="1">
      <c r="A5" s="2236" t="inlineStr">
        <is>
          <t xml:space="preserve">(HIDE)</t>
        </is>
      </c>
      <c r="B5" s="2237" t="n">
        <v>0</v>
      </c>
      <c r="C5" s="2237" t="n">
        <f t="array" ref="C5">B5+2</f>
        <v>2</v>
      </c>
      <c r="D5" s="2237" t="n">
        <f t="array" ref="D5">C5+2</f>
        <v>4</v>
      </c>
      <c r="E5" s="2237" t="n">
        <f t="array" ref="E5">D5+2</f>
        <v>6</v>
      </c>
      <c r="F5" s="2237" t="n">
        <f t="array" ref="F5">E5+2</f>
        <v>8</v>
      </c>
      <c r="G5" s="2237" t="n">
        <f t="array" ref="G5">F5+2</f>
        <v>10</v>
      </c>
      <c r="H5" s="2237" t="n">
        <f t="array" ref="H5">G5+2</f>
        <v>12</v>
      </c>
      <c r="I5" s="2237" t="n">
        <f t="array" ref="I5">H5+2</f>
        <v>14</v>
      </c>
      <c r="J5" s="2237" t="n">
        <f t="array" ref="J5">I5+2</f>
        <v>16</v>
      </c>
      <c r="K5" s="2237" t="n">
        <f t="array" ref="K5">J5+2</f>
        <v>18</v>
      </c>
      <c r="L5" s="26" t="n"/>
      <c r="M5" s="26" t="n"/>
      <c r="N5" s="26" t="n"/>
      <c r="O5" s="26" t="n"/>
      <c r="P5" s="26" t="n"/>
      <c r="Q5" s="26" t="n"/>
      <c r="R5" s="27" t="n"/>
    </row>
    <row r="6" s="3154" customFormat="1" ht="15" customHeight="1">
      <c r="A6" s="2239" t="n"/>
      <c r="B6" s="4038" t="e">
        <f t="array" ref="B6">OFFSET('Hotel Operating'!$C$5,0,B5)</f>
      </c>
      <c r="C6" s="4038" t="e">
        <f t="array" ref="C6">B6+1</f>
      </c>
      <c r="D6" s="4038" t="e">
        <f t="array" ref="D6">C6+1</f>
      </c>
      <c r="E6" s="4038" t="e">
        <f t="array" ref="E6">D6+1</f>
      </c>
      <c r="F6" s="4038" t="e">
        <f t="array" ref="F6">E6+1</f>
      </c>
      <c r="G6" s="4038" t="e">
        <f t="array" ref="G6">F6+1</f>
      </c>
      <c r="H6" s="4038" t="e">
        <f t="array" ref="H6">G6+1</f>
      </c>
      <c r="I6" s="4038" t="e">
        <f t="array" ref="I6">H6+1</f>
      </c>
      <c r="J6" s="4038" t="e">
        <f t="array" ref="J6">I6+1</f>
      </c>
      <c r="K6" s="4039" t="e">
        <f t="array" ref="K6">J6+1</f>
      </c>
      <c r="L6" s="25" t="n"/>
      <c r="M6" s="26" t="n"/>
      <c r="N6" s="26" t="n"/>
      <c r="O6" s="26" t="n"/>
      <c r="P6" s="26" t="n"/>
      <c r="Q6" s="26" t="n"/>
      <c r="R6" s="27" t="n"/>
    </row>
    <row r="7" s="3154" customFormat="1" ht="15" customHeight="1">
      <c r="A7" s="2242" t="inlineStr">
        <is>
          <t xml:space="preserve">LODGING TAX REBATE</t>
        </is>
      </c>
      <c r="B7" s="2243" t="e">
        <f t="array" ref="B7">OFFSET('Hotel Operating'!$C$6,0,B5)</f>
      </c>
      <c r="C7" s="2243" t="e">
        <f t="array" ref="C7">B7+1</f>
      </c>
      <c r="D7" s="2243" t="e">
        <f t="array" ref="D7">C7+1</f>
      </c>
      <c r="E7" s="2243" t="e">
        <f t="array" ref="E7">D7+1</f>
      </c>
      <c r="F7" s="2243" t="e">
        <f t="array" ref="F7">E7+1</f>
      </c>
      <c r="G7" s="2243" t="e">
        <f t="array" ref="G7">F7+1</f>
      </c>
      <c r="H7" s="2243" t="e">
        <f t="array" ref="H7">G7+1</f>
      </c>
      <c r="I7" s="2243" t="e">
        <f t="array" ref="I7">H7+1</f>
      </c>
      <c r="J7" s="2243" t="e">
        <f t="array" ref="J7">I7+1</f>
      </c>
      <c r="K7" s="2244" t="e">
        <f t="array" ref="K7">J7+1</f>
      </c>
      <c r="L7" s="25" t="n"/>
      <c r="M7" s="26" t="n"/>
      <c r="N7" s="26" t="n"/>
      <c r="O7" s="26" t="n"/>
      <c r="P7" s="26" t="n"/>
      <c r="Q7" s="26" t="n"/>
      <c r="R7" s="27" t="n"/>
    </row>
    <row r="8" s="3154" customFormat="1" ht="15" customHeight="1">
      <c r="A8" s="254" t="inlineStr">
        <is>
          <t xml:space="preserve">Room Revenue</t>
        </is>
      </c>
      <c r="B8" s="3322" t="e">
        <f t="array" ref="B8">HLOOKUP(B$7,'Hotel Operating'!$C$6:$L$59,16,0)</f>
      </c>
      <c r="C8" s="3322" t="e">
        <f t="array" ref="C8">HLOOKUP(C$7,'Hotel Operating'!$C$6:$L$59,16,0)</f>
      </c>
      <c r="D8" s="3322" t="e">
        <f t="array" ref="D8">HLOOKUP(D$7,'Hotel Operating'!$C$6:$L$59,16,0)</f>
      </c>
      <c r="E8" s="3322" t="e">
        <f t="array" ref="E8">HLOOKUP(E$7,'Hotel Operating'!$C$6:$L$59,16,0)</f>
      </c>
      <c r="F8" s="3322" t="e">
        <f t="array" ref="F8">HLOOKUP(F$7,'Hotel Operating'!$C$6:$L$59,16,0)</f>
      </c>
      <c r="G8" s="3322" t="e">
        <f t="array" ref="G8">HLOOKUP(G$7,'Hotel Operating'!$C$6:$L$59,16,0)</f>
      </c>
      <c r="H8" s="3322" t="e">
        <f t="array" ref="H8">HLOOKUP(H$7,'Hotel Operating'!$C$6:$L$59,16,0)</f>
      </c>
      <c r="I8" s="3322" t="e">
        <f t="array" ref="I8">HLOOKUP(I$7,'Hotel Operating'!$C$6:$L$59,16,0)</f>
      </c>
      <c r="J8" s="3322" t="e">
        <f t="array" ref="J8">HLOOKUP(J$7,'Hotel Operating'!$C$6:$L$59,16,0)</f>
      </c>
      <c r="K8" s="4021" t="e">
        <f t="array" ref="K8">HLOOKUP(K$7,'Hotel Operating'!$C$6:$L$59,16,0)</f>
      </c>
      <c r="L8" s="25" t="n"/>
      <c r="M8" s="26" t="n"/>
      <c r="N8" s="26" t="n"/>
      <c r="O8" s="26" t="n"/>
      <c r="P8" s="26" t="n"/>
      <c r="Q8" s="26" t="n"/>
      <c r="R8" s="27" t="n"/>
    </row>
    <row r="9" s="3154" customFormat="1" ht="15" customHeight="1">
      <c r="A9" s="254" t="inlineStr">
        <is>
          <t xml:space="preserve">Est Lodging Tax @ 11.0%</t>
        </is>
      </c>
      <c r="B9" s="3322" t="e">
        <f t="array" ref="B9">(B8*'Assumptions'!$D$128)</f>
      </c>
      <c r="C9" s="3322" t="e">
        <f t="array" ref="C9">IF(B12+(C8*'Assumptions'!$D$128)&gt;'Assumptions'!$D$130,'Assumptions'!$D$130-B12,C8*'Assumptions'!$D$128)</f>
      </c>
      <c r="D9" s="3322" t="e">
        <f t="array" ref="D9">IF(C12+(D8*'Assumptions'!$D$128)&gt;'Assumptions'!$D$130,'Assumptions'!$D$130-C12,D8*'Assumptions'!$D$128)</f>
      </c>
      <c r="E9" s="3322" t="e">
        <f t="array" ref="E9">IF(D12+(E8*'Assumptions'!$D$128)&gt;'Assumptions'!$D$130,'Assumptions'!$D$130-D12,E8*'Assumptions'!$D$128)</f>
      </c>
      <c r="F9" s="3322" t="e">
        <f t="array" ref="F9">IF(E12+(F8*'Assumptions'!$D$128)&gt;'Assumptions'!$D$130,'Assumptions'!$D$130-E12,F8*'Assumptions'!$D$128)</f>
      </c>
      <c r="G9" s="3322" t="e">
        <f t="array" ref="G9">IF(F12+(G8*'Assumptions'!$D$128)&gt;'Assumptions'!$D$130,'Assumptions'!$D$130-F12,G8*'Assumptions'!$D$128)</f>
      </c>
      <c r="H9" s="3322" t="e">
        <f t="array" ref="H9">IF(G12+(H8*'Assumptions'!$D$128)&gt;'Assumptions'!$D$130,'Assumptions'!$D$130-G12,H8*'Assumptions'!$D$128)</f>
      </c>
      <c r="I9" s="3322" t="e">
        <f t="array" ref="I9">IF(H12+(I8*'Assumptions'!$D$128)&gt;'Assumptions'!$D$130,'Assumptions'!$D$130-H12,I8*'Assumptions'!$D$128)</f>
      </c>
      <c r="J9" s="3322" t="e">
        <f t="array" ref="J9">IF(I12+(J8*'Assumptions'!$D$128)&gt;'Assumptions'!$D$130,'Assumptions'!$D$130-I12,J8*'Assumptions'!$D$128)</f>
      </c>
      <c r="K9" s="4021" t="e">
        <f t="array" ref="K9">IF(J12+(K8*'Assumptions'!$D$128)&gt;'Assumptions'!$D$130,'Assumptions'!$D$130-J12,K8*'Assumptions'!$D$128)</f>
      </c>
      <c r="L9" s="25" t="n"/>
      <c r="M9" s="26" t="n"/>
      <c r="N9" s="26" t="n"/>
      <c r="O9" s="26" t="n"/>
      <c r="P9" s="26" t="n"/>
      <c r="Q9" s="26" t="n"/>
      <c r="R9" s="27" t="n"/>
    </row>
    <row r="10" s="3154" customFormat="1" ht="15" customHeight="1">
      <c r="A10" s="254" t="inlineStr">
        <is>
          <t xml:space="preserve">Eligible for Refund @ 80.0%</t>
        </is>
      </c>
      <c r="B10" s="3322" t="e">
        <f t="array" ref="B10">-B9*'Assumptions'!$D$129</f>
      </c>
      <c r="C10" s="3322" t="e">
        <f t="array" ref="C10">-C9*'Assumptions'!$D$129</f>
      </c>
      <c r="D10" s="3322" t="e">
        <f t="array" ref="D10">-D9*'Assumptions'!$D$129</f>
      </c>
      <c r="E10" s="3322" t="e">
        <f t="array" ref="E10">-E9*'Assumptions'!$D$129</f>
      </c>
      <c r="F10" s="3322" t="e">
        <f t="array" ref="F10">-F9*'Assumptions'!$D$129</f>
      </c>
      <c r="G10" s="3322" t="e">
        <f t="array" ref="G10">-G9*'Assumptions'!$D$129</f>
      </c>
      <c r="H10" s="3322" t="e">
        <f t="array" ref="H10">-H9*'Assumptions'!$D$129</f>
      </c>
      <c r="I10" s="3322" t="e">
        <f t="array" ref="I10">-I9*'Assumptions'!$D$129</f>
      </c>
      <c r="J10" s="3322" t="e">
        <f t="array" ref="J10">-J9*'Assumptions'!$D$129</f>
      </c>
      <c r="K10" s="4021" t="e">
        <f t="array" ref="K10">-K9*'Assumptions'!$D$129</f>
      </c>
      <c r="L10" s="25" t="n"/>
      <c r="M10" s="26" t="n"/>
      <c r="N10" s="26" t="n"/>
      <c r="O10" s="26" t="n"/>
      <c r="P10" s="26" t="n"/>
      <c r="Q10" s="26" t="n"/>
      <c r="R10" s="27" t="n"/>
    </row>
    <row r="11" s="3154" customFormat="1" ht="8" customHeight="1">
      <c r="A11" s="25" t="n"/>
      <c r="B11" s="26" t="n"/>
      <c r="C11" s="26" t="n"/>
      <c r="D11" s="26" t="n"/>
      <c r="E11" s="26" t="n"/>
      <c r="F11" s="26" t="n"/>
      <c r="G11" s="26" t="n"/>
      <c r="H11" s="26" t="n"/>
      <c r="I11" s="26" t="n"/>
      <c r="J11" s="26" t="n"/>
      <c r="K11" s="177" t="n"/>
      <c r="L11" s="25" t="n"/>
      <c r="M11" s="26" t="n"/>
      <c r="N11" s="26" t="n"/>
      <c r="O11" s="26" t="n"/>
      <c r="P11" s="26" t="n"/>
      <c r="Q11" s="26" t="n"/>
      <c r="R11" s="27" t="n"/>
    </row>
    <row r="12" s="3154" customFormat="1" ht="15" customHeight="1">
      <c r="A12" s="254" t="inlineStr">
        <is>
          <t xml:space="preserve">Cumulative Tax Rebate</t>
        </is>
      </c>
      <c r="B12" s="3322" t="e">
        <f t="array" ref="B12">IF(B19&lt;=YEAR('Assumptions'!$G$23),B10,0)</f>
      </c>
      <c r="C12" s="3322" t="e">
        <f t="array" ref="C12">IF(C19&lt;=YEAR('Assumptions'!$G$23),C10,0)</f>
      </c>
      <c r="D12" s="3322" t="e">
        <f t="array" ref="D12">IF(D19&lt;=YEAR('Assumptions'!$G$23),D10,0)</f>
      </c>
      <c r="E12" s="3322" t="e">
        <f t="array" ref="E12">IF(E19&lt;=YEAR('Assumptions'!$G$23),E10,0)</f>
      </c>
      <c r="F12" s="3322" t="e">
        <f t="array" ref="F12">IF(F19&lt;=YEAR('Assumptions'!$G$23),F10,0)</f>
      </c>
      <c r="G12" s="3322" t="e">
        <f t="array" ref="G12">IF(G19&lt;=YEAR('Assumptions'!$G$23),G10,0)</f>
      </c>
      <c r="H12" s="3322" t="e">
        <f t="array" ref="H12">IF(H19&lt;=YEAR('Assumptions'!$G$23),H10,0)</f>
      </c>
      <c r="I12" s="3322" t="e">
        <f t="array" ref="I12">IF(I19&lt;=YEAR('Assumptions'!$G$23),I10,0)</f>
      </c>
      <c r="J12" s="3322" t="e">
        <f t="array" ref="J12">IF(J19&lt;=YEAR('Assumptions'!$G$23),J10,0)</f>
      </c>
      <c r="K12" s="3322" t="e">
        <f t="array" ref="K12">IF(K19&lt;=YEAR('Assumptions'!$G$23),K10,0)</f>
      </c>
      <c r="L12" s="26" t="n"/>
      <c r="M12" s="26" t="n"/>
      <c r="N12" s="26" t="n"/>
      <c r="O12" s="26" t="n"/>
      <c r="P12" s="26" t="n"/>
      <c r="Q12" s="26" t="n"/>
      <c r="R12" s="27" t="n"/>
    </row>
    <row r="13" s="3154" customFormat="1" ht="15" customHeight="1">
      <c r="A13" s="254" t="inlineStr">
        <is>
          <t xml:space="preserve">Remaining Rebate</t>
        </is>
      </c>
      <c r="B13" s="3322" t="n"/>
      <c r="C13" s="3322" t="n"/>
      <c r="D13" s="3322" t="n"/>
      <c r="E13" s="3322" t="n"/>
      <c r="F13" s="3322" t="n"/>
      <c r="G13" s="3322" t="n"/>
      <c r="H13" s="3322" t="n"/>
      <c r="I13" s="3322" t="n"/>
      <c r="J13" s="3322" t="n"/>
      <c r="K13" s="4021" t="n"/>
      <c r="L13" s="25" t="n"/>
      <c r="M13" s="26" t="n"/>
      <c r="N13" s="26" t="n"/>
      <c r="O13" s="26" t="n"/>
      <c r="P13" s="26" t="n"/>
      <c r="Q13" s="26" t="n"/>
      <c r="R13" s="27" t="n"/>
    </row>
    <row r="14" s="3154" customFormat="1" ht="8" customHeight="1">
      <c r="A14" s="194" t="n"/>
      <c r="B14" s="163" t="n"/>
      <c r="C14" s="26" t="n"/>
      <c r="D14" s="26" t="n"/>
      <c r="E14" s="26" t="n"/>
      <c r="F14" s="26" t="n"/>
      <c r="G14" s="26" t="n"/>
      <c r="H14" s="26" t="n"/>
      <c r="I14" s="26" t="n"/>
      <c r="J14" s="26" t="n"/>
      <c r="K14" s="177" t="n"/>
      <c r="L14" s="25" t="n"/>
      <c r="M14" s="26" t="n"/>
      <c r="N14" s="26" t="n"/>
      <c r="O14" s="26" t="n"/>
      <c r="P14" s="26" t="n"/>
      <c r="Q14" s="26" t="n"/>
      <c r="R14" s="27" t="n"/>
    </row>
    <row r="15" s="3154" customFormat="1" ht="15" customHeight="1">
      <c r="A15" s="2270" t="inlineStr">
        <is>
          <t xml:space="preserve">Net Present Value @ 8.5%</t>
        </is>
      </c>
      <c r="B15" s="4060" t="e">
        <f t="array" ref="B15">NPV('Assumptions'!$D$113,B9:K9)</f>
      </c>
      <c r="C15" s="25" t="n"/>
      <c r="D15" s="26" t="n"/>
      <c r="E15" s="26" t="n"/>
      <c r="F15" s="26" t="n"/>
      <c r="G15" s="26" t="n"/>
      <c r="H15" s="26" t="n"/>
      <c r="I15" s="26" t="n"/>
      <c r="J15" s="26" t="n"/>
      <c r="K15" s="177" t="n"/>
      <c r="L15" s="25" t="n"/>
      <c r="M15" s="26" t="n"/>
      <c r="N15" s="429" t="inlineStr">
        <is>
          <t xml:space="preserve">State</t>
        </is>
      </c>
      <c r="O15" s="26" t="n">
        <v>0.65</v>
      </c>
      <c r="P15" s="26" t="n"/>
      <c r="Q15" s="429" t="inlineStr">
        <is>
          <t xml:space="preserve">NOI</t>
        </is>
      </c>
      <c r="R15" s="4042" t="e">
        <f t="array" ref="R15">'Hotel Operating'!C59</f>
      </c>
    </row>
    <row r="16" s="3154" customFormat="1" ht="8" customHeight="1">
      <c r="A16" s="493" t="n"/>
      <c r="B16" s="201" t="n"/>
      <c r="C16" s="163" t="n"/>
      <c r="D16" s="163" t="n"/>
      <c r="E16" s="163" t="n"/>
      <c r="F16" s="163" t="n"/>
      <c r="G16" s="163" t="n"/>
      <c r="H16" s="163" t="n"/>
      <c r="I16" s="163" t="n"/>
      <c r="J16" s="163" t="n"/>
      <c r="K16" s="192" t="n"/>
      <c r="L16" s="25" t="n"/>
      <c r="M16" s="26" t="n"/>
      <c r="N16" s="429" t="inlineStr">
        <is>
          <t xml:space="preserve">County</t>
        </is>
      </c>
      <c r="O16" s="26" t="n">
        <v>1.35</v>
      </c>
      <c r="P16" s="26" t="n"/>
      <c r="Q16" s="429" t="inlineStr">
        <is>
          <t xml:space="preserve">Mill Rate</t>
        </is>
      </c>
      <c r="R16" s="27" t="n">
        <f t="array" ref="R16">10.9/100</f>
        <v>0.109</v>
      </c>
    </row>
    <row r="17" s="3154" customFormat="1" ht="15" customHeight="1">
      <c r="A17" s="200" t="n"/>
      <c r="B17" s="201" t="n"/>
      <c r="C17" s="201" t="n"/>
      <c r="D17" s="201" t="n"/>
      <c r="E17" s="201" t="n"/>
      <c r="F17" s="201" t="n"/>
      <c r="G17" s="201" t="n"/>
      <c r="H17" s="201" t="n"/>
      <c r="I17" s="201" t="n"/>
      <c r="J17" s="201" t="n"/>
      <c r="K17" s="201" t="n"/>
      <c r="L17" s="26" t="n"/>
      <c r="M17" s="26" t="n"/>
      <c r="N17" s="429" t="inlineStr">
        <is>
          <t xml:space="preserve">County School</t>
        </is>
      </c>
      <c r="O17" s="26" t="n">
        <v>0.82</v>
      </c>
      <c r="P17" s="26" t="n"/>
      <c r="Q17" s="429" t="inlineStr">
        <is>
          <t xml:space="preserve">Cap Rate</t>
        </is>
      </c>
      <c r="R17" s="27" t="n">
        <f t="array" ref="R17">8.5/100</f>
        <v>0.085</v>
      </c>
    </row>
    <row r="18" s="3154" customFormat="1" ht="15" customHeight="1">
      <c r="A18" s="2239" t="n"/>
      <c r="B18" s="4038" t="e">
        <f t="array" ref="B18">OFFSET('Hotel Operating'!$C$5,0,B17)</f>
      </c>
      <c r="C18" s="4038" t="e">
        <f t="array" ref="C18">B18+1</f>
      </c>
      <c r="D18" s="4038" t="e">
        <f t="array" ref="D18">C18+1</f>
      </c>
      <c r="E18" s="4038" t="e">
        <f t="array" ref="E18">D18+1</f>
      </c>
      <c r="F18" s="4038" t="e">
        <f t="array" ref="F18">E18+1</f>
      </c>
      <c r="G18" s="4038" t="e">
        <f t="array" ref="G18">F18+1</f>
      </c>
      <c r="H18" s="4038" t="e">
        <f t="array" ref="H18">G18+1</f>
      </c>
      <c r="I18" s="4038" t="e">
        <f t="array" ref="I18">H18+1</f>
      </c>
      <c r="J18" s="4038" t="e">
        <f t="array" ref="J18">I18+1</f>
      </c>
      <c r="K18" s="4039" t="e">
        <f t="array" ref="K18">J18+1</f>
      </c>
      <c r="L18" s="25" t="n"/>
      <c r="M18" s="26" t="n"/>
      <c r="N18" s="26" t="n"/>
      <c r="O18" s="26" t="n"/>
      <c r="P18" s="26" t="n"/>
      <c r="Q18" s="26" t="n"/>
      <c r="R18" s="27" t="n"/>
    </row>
    <row r="19" s="3154" customFormat="1" ht="15" customHeight="1">
      <c r="A19" s="2242" t="inlineStr">
        <is>
          <t xml:space="preserve">F&amp;B SALES TAX REBATE</t>
        </is>
      </c>
      <c r="B19" s="2243" t="e">
        <f t="array" ref="B19">OFFSET('Hotel Operating'!$C$6,0,B17)</f>
      </c>
      <c r="C19" s="2243" t="e">
        <f t="array" ref="C19">B19+1</f>
      </c>
      <c r="D19" s="2243" t="e">
        <f t="array" ref="D19">C19+1</f>
      </c>
      <c r="E19" s="2243" t="e">
        <f t="array" ref="E19">D19+1</f>
      </c>
      <c r="F19" s="2243" t="e">
        <f t="array" ref="F19">E19+1</f>
      </c>
      <c r="G19" s="2243" t="e">
        <f t="array" ref="G19">F19+1</f>
      </c>
      <c r="H19" s="2243" t="e">
        <f t="array" ref="H19">G19+1</f>
      </c>
      <c r="I19" s="2243" t="e">
        <f t="array" ref="I19">H19+1</f>
      </c>
      <c r="J19" s="2243" t="e">
        <f t="array" ref="J19">I19+1</f>
      </c>
      <c r="K19" s="2244" t="e">
        <f t="array" ref="K19">J19+1</f>
      </c>
      <c r="L19" s="25" t="n"/>
      <c r="M19" s="26" t="n"/>
      <c r="N19" s="26" t="n"/>
      <c r="O19" s="26" t="n"/>
      <c r="P19" s="26" t="n"/>
      <c r="Q19" s="26" t="n"/>
      <c r="R19" s="27" t="n"/>
    </row>
    <row r="20" s="3154" customFormat="1" ht="15" customHeight="1">
      <c r="A20" s="254" t="inlineStr">
        <is>
          <t xml:space="preserve">F&amp;B Revenue</t>
        </is>
      </c>
      <c r="B20" s="3322" t="e">
        <f t="array" ref="B20">HLOOKUP(B$7,'Hotel Operating'!$C$6:$L$59,17,0)</f>
      </c>
      <c r="C20" s="3322" t="e">
        <f t="array" ref="C20">HLOOKUP(C$7,'Hotel Operating'!$C$6:$L$59,17,0)</f>
      </c>
      <c r="D20" s="3322" t="e">
        <f t="array" ref="D20">HLOOKUP(D$7,'Hotel Operating'!$C$6:$L$59,17,0)</f>
      </c>
      <c r="E20" s="3322" t="e">
        <f t="array" ref="E20">HLOOKUP(E$7,'Hotel Operating'!$C$6:$L$59,17,0)</f>
      </c>
      <c r="F20" s="3322" t="e">
        <f t="array" ref="F20">HLOOKUP(F$7,'Hotel Operating'!$C$6:$L$59,17,0)</f>
      </c>
      <c r="G20" s="3322" t="e">
        <f t="array" ref="G20">HLOOKUP(G$7,'Hotel Operating'!$C$6:$L$59,17,0)</f>
      </c>
      <c r="H20" s="3322" t="e">
        <f t="array" ref="H20">HLOOKUP(H$7,'Hotel Operating'!$C$6:$L$59,17,0)</f>
      </c>
      <c r="I20" s="3322" t="e">
        <f t="array" ref="I20">HLOOKUP(I$7,'Hotel Operating'!$C$6:$L$59,17,0)</f>
      </c>
      <c r="J20" s="3322" t="e">
        <f t="array" ref="J20">HLOOKUP(J$7,'Hotel Operating'!$C$6:$L$59,17,0)</f>
      </c>
      <c r="K20" s="4021" t="e">
        <f t="array" ref="K20">HLOOKUP(K$7,'Hotel Operating'!$C$6:$L$59,17,0)</f>
      </c>
      <c r="L20" s="25" t="n"/>
      <c r="M20" s="26" t="n"/>
      <c r="N20" s="26" t="n"/>
      <c r="O20" s="26" t="n"/>
      <c r="P20" s="26" t="n"/>
      <c r="Q20" s="26" t="n"/>
      <c r="R20" s="27" t="n"/>
    </row>
    <row r="21" s="3154" customFormat="1" ht="15" customHeight="1">
      <c r="A21" s="254" t="inlineStr">
        <is>
          <t xml:space="preserve">Est Lodging Tax @ 11.0%</t>
        </is>
      </c>
      <c r="B21" s="3322" t="e">
        <f t="array" ref="B21">(B20*'Assumptions'!$D$128)</f>
      </c>
      <c r="C21" s="3322" t="e">
        <f t="array" ref="C21">IF(B24+(C20*'Assumptions'!$D$128)&gt;'Assumptions'!$D$130,'Assumptions'!$D$130-B24,C20*'Assumptions'!$D$128)</f>
      </c>
      <c r="D21" s="3322" t="e">
        <f t="array" ref="D21">IF(C24+(D20*'Assumptions'!$D$128)&gt;'Assumptions'!$D$130,'Assumptions'!$D$130-C24,D20*'Assumptions'!$D$128)</f>
      </c>
      <c r="E21" s="3322" t="e">
        <f t="array" ref="E21">IF(D24+(E20*'Assumptions'!$D$128)&gt;'Assumptions'!$D$130,'Assumptions'!$D$130-D24,E20*'Assumptions'!$D$128)</f>
      </c>
      <c r="F21" s="3322" t="e">
        <f t="array" ref="F21">IF(E24+(F20*'Assumptions'!$D$128)&gt;'Assumptions'!$D$130,'Assumptions'!$D$130-E24,F20*'Assumptions'!$D$128)</f>
      </c>
      <c r="G21" s="3322" t="e">
        <f t="array" ref="G21">IF(F24+(G20*'Assumptions'!$D$128)&gt;'Assumptions'!$D$130,'Assumptions'!$D$130-F24,G20*'Assumptions'!$D$128)</f>
      </c>
      <c r="H21" s="3322" t="e">
        <f t="array" ref="H21">IF(G24+(H20*'Assumptions'!$D$128)&gt;'Assumptions'!$D$130,'Assumptions'!$D$130-G24,H20*'Assumptions'!$D$128)</f>
      </c>
      <c r="I21" s="3322" t="e">
        <f t="array" ref="I21">IF(H24+(I20*'Assumptions'!$D$128)&gt;'Assumptions'!$D$130,'Assumptions'!$D$130-H24,I20*'Assumptions'!$D$128)</f>
      </c>
      <c r="J21" s="3322" t="e">
        <f t="array" ref="J21">IF(I24+(J20*'Assumptions'!$D$128)&gt;'Assumptions'!$D$130,'Assumptions'!$D$130-I24,J20*'Assumptions'!$D$128)</f>
      </c>
      <c r="K21" s="4021" t="e">
        <f t="array" ref="K21">IF(J24+(K20*'Assumptions'!$D$128)&gt;'Assumptions'!$D$130,'Assumptions'!$D$130-J24,K20*'Assumptions'!$D$128)</f>
      </c>
      <c r="L21" s="25" t="n"/>
      <c r="M21" s="26" t="n"/>
      <c r="N21" s="26" t="n"/>
      <c r="O21" s="26" t="n"/>
      <c r="P21" s="26" t="n"/>
      <c r="Q21" s="26" t="n"/>
      <c r="R21" s="27" t="n"/>
    </row>
    <row r="22" s="3154" customFormat="1" ht="15" customHeight="1">
      <c r="A22" s="254" t="inlineStr">
        <is>
          <t xml:space="preserve">Eligible for Refund @ 0.0%</t>
        </is>
      </c>
      <c r="B22" s="3322" t="e">
        <f t="array" ref="B22">-B21*'Assumptions'!$D$129</f>
      </c>
      <c r="C22" s="3322" t="e">
        <f t="array" ref="C22">-C21*'Assumptions'!$D$129</f>
      </c>
      <c r="D22" s="3322" t="e">
        <f t="array" ref="D22">-D21*'Assumptions'!$D$129</f>
      </c>
      <c r="E22" s="3322" t="e">
        <f t="array" ref="E22">-E21*'Assumptions'!$D$129</f>
      </c>
      <c r="F22" s="3322" t="e">
        <f t="array" ref="F22">-F21*'Assumptions'!$D$129</f>
      </c>
      <c r="G22" s="3322" t="e">
        <f t="array" ref="G22">-G21*'Assumptions'!$D$129</f>
      </c>
      <c r="H22" s="3322" t="e">
        <f t="array" ref="H22">-H21*'Assumptions'!$D$129</f>
      </c>
      <c r="I22" s="3322" t="e">
        <f t="array" ref="I22">-I21*'Assumptions'!$D$129</f>
      </c>
      <c r="J22" s="3322" t="e">
        <f t="array" ref="J22">-J21*'Assumptions'!$D$129</f>
      </c>
      <c r="K22" s="4021" t="e">
        <f t="array" ref="K22">-K21*'Assumptions'!$D$129</f>
      </c>
      <c r="L22" s="25" t="n"/>
      <c r="M22" s="26" t="n"/>
      <c r="N22" s="26" t="n"/>
      <c r="O22" s="26" t="n"/>
      <c r="P22" s="26" t="n"/>
      <c r="Q22" s="26" t="n"/>
      <c r="R22" s="27" t="n"/>
    </row>
    <row r="23" s="3154" customFormat="1" ht="8" customHeight="1">
      <c r="A23" s="25" t="n"/>
      <c r="B23" s="26" t="n"/>
      <c r="C23" s="26" t="n"/>
      <c r="D23" s="26" t="n"/>
      <c r="E23" s="26" t="n"/>
      <c r="F23" s="26" t="n"/>
      <c r="G23" s="26" t="n"/>
      <c r="H23" s="26" t="n"/>
      <c r="I23" s="26" t="n"/>
      <c r="J23" s="26" t="n"/>
      <c r="K23" s="177" t="n"/>
      <c r="L23" s="25" t="n"/>
      <c r="M23" s="26" t="n"/>
      <c r="N23" s="26" t="n"/>
      <c r="O23" s="26" t="n"/>
      <c r="P23" s="26" t="n"/>
      <c r="Q23" s="26" t="n"/>
      <c r="R23" s="27" t="n"/>
    </row>
    <row r="24" s="3154" customFormat="1" ht="15" customHeight="1">
      <c r="A24" s="254" t="inlineStr">
        <is>
          <t xml:space="preserve">Cumulative Tax Rebate</t>
        </is>
      </c>
      <c r="B24" s="3322" t="e">
        <f t="array" ref="B24">IF(B19&lt;=YEAR('Assumptions'!$G$23),B22,0)</f>
      </c>
      <c r="C24" s="3322" t="e">
        <f t="array" ref="C24">IF(C19&lt;=YEAR('Assumptions'!$G$23),C22,0)</f>
      </c>
      <c r="D24" s="3322" t="e">
        <f t="array" ref="D24">IF(D19&lt;=YEAR('Assumptions'!$G$23),D22,0)</f>
      </c>
      <c r="E24" s="3322" t="e">
        <f t="array" ref="E24">IF(E19&lt;=YEAR('Assumptions'!$G$23),E22,0)</f>
      </c>
      <c r="F24" s="3322" t="e">
        <f t="array" ref="F24">IF(F19&lt;=YEAR('Assumptions'!$G$23),F22,0)</f>
      </c>
      <c r="G24" s="3322" t="e">
        <f t="array" ref="G24">IF(G19&lt;=YEAR('Assumptions'!$G$23),G22,0)</f>
      </c>
      <c r="H24" s="3322" t="e">
        <f t="array" ref="H24">IF(H19&lt;=YEAR('Assumptions'!$G$23),H22,0)</f>
      </c>
      <c r="I24" s="3322" t="e">
        <f t="array" ref="I24">IF(I19&lt;=YEAR('Assumptions'!$G$23),I22,0)</f>
      </c>
      <c r="J24" s="3322" t="e">
        <f t="array" ref="J24">IF(J19&lt;=YEAR('Assumptions'!$G$23),J22,0)</f>
      </c>
      <c r="K24" s="3322" t="e">
        <f t="array" ref="K24">IF(K19&lt;=YEAR('Assumptions'!$G$23),K22,0)</f>
      </c>
      <c r="L24" s="26" t="n"/>
      <c r="M24" s="26" t="n"/>
      <c r="N24" s="26" t="n"/>
      <c r="O24" s="26" t="n"/>
      <c r="P24" s="26" t="n"/>
      <c r="Q24" s="26" t="n"/>
      <c r="R24" s="27" t="n"/>
    </row>
    <row r="25" s="3154" customFormat="1" ht="15" customHeight="1">
      <c r="A25" s="254" t="inlineStr">
        <is>
          <t xml:space="preserve">Remaining Rebate</t>
        </is>
      </c>
      <c r="B25" s="3322" t="n"/>
      <c r="C25" s="3322" t="n"/>
      <c r="D25" s="3322" t="n"/>
      <c r="E25" s="3322" t="n"/>
      <c r="F25" s="3322" t="n"/>
      <c r="G25" s="3322" t="n"/>
      <c r="H25" s="3322" t="n"/>
      <c r="I25" s="3322" t="n"/>
      <c r="J25" s="3322" t="n"/>
      <c r="K25" s="4021" t="n"/>
      <c r="L25" s="25" t="n"/>
      <c r="M25" s="26" t="n"/>
      <c r="N25" s="26" t="n"/>
      <c r="O25" s="26" t="n"/>
      <c r="P25" s="26" t="n"/>
      <c r="Q25" s="26" t="n"/>
      <c r="R25" s="27" t="n"/>
    </row>
    <row r="26" s="3154" customFormat="1" ht="8" customHeight="1">
      <c r="A26" s="194" t="n"/>
      <c r="B26" s="163" t="n"/>
      <c r="C26" s="26" t="n"/>
      <c r="D26" s="26" t="n"/>
      <c r="E26" s="26" t="n"/>
      <c r="F26" s="26" t="n"/>
      <c r="G26" s="26" t="n"/>
      <c r="H26" s="26" t="n"/>
      <c r="I26" s="26" t="n"/>
      <c r="J26" s="26" t="n"/>
      <c r="K26" s="177" t="n"/>
      <c r="L26" s="25" t="n"/>
      <c r="M26" s="26" t="n"/>
      <c r="N26" s="26" t="n"/>
      <c r="O26" s="26" t="n"/>
      <c r="P26" s="26" t="n"/>
      <c r="Q26" s="26" t="n"/>
      <c r="R26" s="27" t="n"/>
    </row>
    <row r="27" s="3154" customFormat="1" ht="15" customHeight="1">
      <c r="A27" s="2270" t="inlineStr">
        <is>
          <t xml:space="preserve">Net Present Value @ 8.5%</t>
        </is>
      </c>
      <c r="B27" s="4060" t="e">
        <f t="array" ref="B27">NPV('Assumptions'!$D$113,B21:K21)</f>
      </c>
      <c r="C27" s="25" t="n"/>
      <c r="D27" s="26" t="n"/>
      <c r="E27" s="26" t="n"/>
      <c r="F27" s="26" t="n"/>
      <c r="G27" s="26" t="n"/>
      <c r="H27" s="26" t="n"/>
      <c r="I27" s="26" t="n"/>
      <c r="J27" s="26" t="n"/>
      <c r="K27" s="177" t="n"/>
      <c r="L27" s="25" t="n"/>
      <c r="M27" s="26" t="n"/>
      <c r="N27" s="429" t="inlineStr">
        <is>
          <t xml:space="preserve">State</t>
        </is>
      </c>
      <c r="O27" s="26" t="n">
        <v>0.65</v>
      </c>
      <c r="P27" s="26" t="n"/>
      <c r="Q27" s="429" t="inlineStr">
        <is>
          <t xml:space="preserve">NOI</t>
        </is>
      </c>
      <c r="R27" s="27" t="n"/>
    </row>
    <row r="28" s="3154" customFormat="1" ht="8" customHeight="1">
      <c r="A28" s="493" t="n"/>
      <c r="B28" s="201" t="n"/>
      <c r="C28" s="163" t="n"/>
      <c r="D28" s="163" t="n"/>
      <c r="E28" s="163" t="n"/>
      <c r="F28" s="163" t="n"/>
      <c r="G28" s="163" t="n"/>
      <c r="H28" s="163" t="n"/>
      <c r="I28" s="163" t="n"/>
      <c r="J28" s="163" t="n"/>
      <c r="K28" s="192" t="n"/>
      <c r="L28" s="25" t="n"/>
      <c r="M28" s="26" t="n"/>
      <c r="N28" s="429" t="inlineStr">
        <is>
          <t xml:space="preserve">County</t>
        </is>
      </c>
      <c r="O28" s="26" t="n">
        <v>1.35</v>
      </c>
      <c r="P28" s="26" t="n"/>
      <c r="Q28" s="429" t="inlineStr">
        <is>
          <t xml:space="preserve">Mill Rate</t>
        </is>
      </c>
      <c r="R28" s="27" t="n"/>
    </row>
    <row r="29" s="3154" customFormat="1" ht="15" customHeight="1">
      <c r="A29" s="200" t="n"/>
      <c r="B29" s="201" t="n"/>
      <c r="C29" s="201" t="n"/>
      <c r="D29" s="201" t="n"/>
      <c r="E29" s="201" t="n"/>
      <c r="F29" s="201" t="n"/>
      <c r="G29" s="201" t="n"/>
      <c r="H29" s="201" t="n"/>
      <c r="I29" s="201" t="n"/>
      <c r="J29" s="201" t="n"/>
      <c r="K29" s="201" t="n"/>
      <c r="L29" s="26" t="n"/>
      <c r="M29" s="26" t="n"/>
      <c r="N29" s="429" t="inlineStr">
        <is>
          <t xml:space="preserve">County School</t>
        </is>
      </c>
      <c r="O29" s="26" t="n">
        <v>0.82</v>
      </c>
      <c r="P29" s="26" t="n"/>
      <c r="Q29" s="429" t="inlineStr">
        <is>
          <t xml:space="preserve">Cap Rate</t>
        </is>
      </c>
      <c r="R29" s="27" t="n"/>
    </row>
    <row r="30" s="3154" customFormat="1" ht="15" customHeight="1">
      <c r="A30" s="2239" t="n"/>
      <c r="B30" s="4038" t="e">
        <f t="array" ref="B30">OFFSET('Hotel Operating'!$C$5,0,B17)</f>
      </c>
      <c r="C30" s="4038" t="e">
        <f t="array" ref="C30">B30+1</f>
      </c>
      <c r="D30" s="4038" t="e">
        <f t="array" ref="D30">C30+1</f>
      </c>
      <c r="E30" s="4038" t="e">
        <f t="array" ref="E30">D30+1</f>
      </c>
      <c r="F30" s="4038" t="e">
        <f t="array" ref="F30">E30+1</f>
      </c>
      <c r="G30" s="4038" t="e">
        <f t="array" ref="G30">F30+1</f>
      </c>
      <c r="H30" s="4038" t="e">
        <f t="array" ref="H30">G30+1</f>
      </c>
      <c r="I30" s="4038" t="e">
        <f t="array" ref="I30">H30+1</f>
      </c>
      <c r="J30" s="4038" t="e">
        <f t="array" ref="J30">I30+1</f>
      </c>
      <c r="K30" s="4039" t="e">
        <f t="array" ref="K30">J30+1</f>
      </c>
      <c r="L30" s="25" t="n"/>
      <c r="M30" s="26" t="n"/>
      <c r="N30" s="429" t="inlineStr">
        <is>
          <t xml:space="preserve">Spec School</t>
        </is>
      </c>
      <c r="O30" s="26" t="n">
        <v>0.57</v>
      </c>
      <c r="P30" s="26" t="n"/>
      <c r="Q30" s="429" t="inlineStr">
        <is>
          <t xml:space="preserve">Loaded Cap Rate</t>
        </is>
      </c>
      <c r="R30" s="27" t="n"/>
    </row>
    <row r="31" s="3154" customFormat="1" ht="15" customHeight="1">
      <c r="A31" s="2242" t="inlineStr">
        <is>
          <t xml:space="preserve">PROPERTY TAX INCREMENT</t>
        </is>
      </c>
      <c r="B31" s="2243" t="e">
        <f t="array" ref="B31">OFFSET('Hotel Operating'!$C$6,0,B17)</f>
      </c>
      <c r="C31" s="2243" t="e">
        <f t="array" ref="C31">B31+1</f>
      </c>
      <c r="D31" s="2243" t="e">
        <f t="array" ref="D31">C31+1</f>
      </c>
      <c r="E31" s="2243" t="e">
        <f t="array" ref="E31">D31+1</f>
      </c>
      <c r="F31" s="2243" t="e">
        <f t="array" ref="F31">E31+1</f>
      </c>
      <c r="G31" s="2243" t="e">
        <f t="array" ref="G31">F31+1</f>
      </c>
      <c r="H31" s="2243" t="e">
        <f t="array" ref="H31">G31+1</f>
      </c>
      <c r="I31" s="2243" t="e">
        <f t="array" ref="I31">H31+1</f>
      </c>
      <c r="J31" s="2243" t="e">
        <f t="array" ref="J31">I31+1</f>
      </c>
      <c r="K31" s="2244" t="e">
        <f t="array" ref="K31">J31+1</f>
      </c>
      <c r="L31" s="25" t="n"/>
      <c r="M31" s="26" t="n"/>
      <c r="N31" s="429" t="inlineStr">
        <is>
          <t xml:space="preserve">Spec School</t>
        </is>
      </c>
      <c r="O31" s="26" t="n">
        <v>0.99</v>
      </c>
      <c r="P31" s="26" t="n"/>
      <c r="Q31" s="26" t="n"/>
      <c r="R31" s="27" t="n"/>
    </row>
    <row r="32" s="3154" customFormat="1" ht="15" customHeight="1">
      <c r="A32" s="254" t="inlineStr">
        <is>
          <t xml:space="preserve">Assessed Value</t>
        </is>
      </c>
      <c r="B32" s="3322" t="n">
        <v>4858567</v>
      </c>
      <c r="C32" s="3322" t="n">
        <f t="array" ref="C32">B32*1.02</f>
        <v>4955738.34</v>
      </c>
      <c r="D32" s="3322" t="n">
        <f t="array" ref="D32">C32*1.02</f>
        <v>5054853.1068</v>
      </c>
      <c r="E32" s="3322" t="n">
        <f t="array" ref="E32">D32*1.02</f>
        <v>5155950.168936</v>
      </c>
      <c r="F32" s="3322" t="n">
        <f t="array" ref="F32">E32*1.02</f>
        <v>5259069.17231472</v>
      </c>
      <c r="G32" s="3322" t="n">
        <f t="array" ref="G32">F32*1.02</f>
        <v>5364250.555761015</v>
      </c>
      <c r="H32" s="3322" t="n">
        <f t="array" ref="H32">G32*1.02</f>
        <v>5471535.566876235</v>
      </c>
      <c r="I32" s="3322" t="n">
        <f t="array" ref="I32">H32*1.02</f>
        <v>5580966.27821376</v>
      </c>
      <c r="J32" s="3322" t="n">
        <f t="array" ref="J32">I32*1.02</f>
        <v>5692585.603778035</v>
      </c>
      <c r="K32" s="3322" t="n">
        <f t="array" ref="K32">J32*1.02</f>
        <v>5806437.315853596</v>
      </c>
      <c r="L32" s="26" t="n"/>
      <c r="M32" s="26" t="n"/>
      <c r="N32" s="429" t="inlineStr">
        <is>
          <t xml:space="preserve">Spec School MB</t>
        </is>
      </c>
      <c r="O32" s="26" t="n">
        <v>1.85</v>
      </c>
      <c r="P32" s="26" t="n"/>
      <c r="Q32" s="429" t="inlineStr">
        <is>
          <t xml:space="preserve">Assessment</t>
        </is>
      </c>
      <c r="R32" s="4022" t="n">
        <f t="array" ref="R32">IFERROR(R15/R30,0)</f>
        <v>0</v>
      </c>
    </row>
    <row r="33" s="3154" customFormat="1" ht="15" customHeight="1">
      <c r="A33" s="254" t="inlineStr">
        <is>
          <t xml:space="preserve">Millage Rate</t>
        </is>
      </c>
      <c r="B33" s="4025" t="n">
        <v>0.0365</v>
      </c>
      <c r="C33" s="4025" t="n">
        <f t="array" ref="C33">B33*1.02</f>
        <v>0.03723</v>
      </c>
      <c r="D33" s="4025" t="n">
        <f t="array" ref="D33">C33*1.02</f>
        <v>0.0379746</v>
      </c>
      <c r="E33" s="4025" t="n">
        <f t="array" ref="E33">D33*1.02</f>
        <v>0.038734092</v>
      </c>
      <c r="F33" s="4025" t="n">
        <f t="array" ref="F33">E33*1.02</f>
        <v>0.03950877384</v>
      </c>
      <c r="G33" s="4025" t="n">
        <f t="array" ref="G33">F33*1.02</f>
        <v>0.0402989493168</v>
      </c>
      <c r="H33" s="4025" t="n">
        <f t="array" ref="H33">G33*1.02</f>
        <v>0.041104928303135994</v>
      </c>
      <c r="I33" s="4025" t="n">
        <f t="array" ref="I33">H33*1.02</f>
        <v>0.04192702686919871</v>
      </c>
      <c r="J33" s="4025" t="n">
        <f t="array" ref="J33">I33*1.02</f>
        <v>0.04276556740658269</v>
      </c>
      <c r="K33" s="4025" t="n">
        <f t="array" ref="K33">J33*1.02</f>
        <v>0.04362087875471434</v>
      </c>
      <c r="L33" s="26" t="n"/>
      <c r="M33" s="26" t="n"/>
      <c r="N33" s="429" t="inlineStr">
        <is>
          <t xml:space="preserve">Muni Funds</t>
        </is>
      </c>
      <c r="O33" s="26" t="n">
        <v>4.67</v>
      </c>
      <c r="P33" s="26" t="n"/>
      <c r="Q33" s="26" t="n"/>
      <c r="R33" s="27" t="n"/>
    </row>
    <row r="34" s="3154" customFormat="1" ht="15" customHeight="1">
      <c r="A34" s="254" t="inlineStr">
        <is>
          <t xml:space="preserve">Less School Mills</t>
        </is>
      </c>
      <c r="B34" s="4025" t="n">
        <v>0.02</v>
      </c>
      <c r="C34" s="4025" t="n">
        <f t="array" ref="C34">B34*1.02</f>
        <v>0.0204</v>
      </c>
      <c r="D34" s="4025" t="n">
        <f t="array" ref="D34">C34*1.02</f>
        <v>0.020808000000000004</v>
      </c>
      <c r="E34" s="4025" t="n">
        <f t="array" ref="E34">D34*1.02</f>
        <v>0.021224160000000002</v>
      </c>
      <c r="F34" s="4025" t="n">
        <f t="array" ref="F34">E34*1.02</f>
        <v>0.0216486432</v>
      </c>
      <c r="G34" s="4025" t="n">
        <f t="array" ref="G34">F34*1.02</f>
        <v>0.022081616064</v>
      </c>
      <c r="H34" s="4025" t="n">
        <f t="array" ref="H34">G34*1.02</f>
        <v>0.02252324838528</v>
      </c>
      <c r="I34" s="4025" t="n">
        <f t="array" ref="I34">H34*1.02</f>
        <v>0.022973713352985602</v>
      </c>
      <c r="J34" s="4025" t="n">
        <f t="array" ref="J34">I34*1.02</f>
        <v>0.023433187620045315</v>
      </c>
      <c r="K34" s="4025" t="n">
        <f t="array" ref="K34">J34*1.02</f>
        <v>0.02390185137244622</v>
      </c>
      <c r="L34" s="26" t="n"/>
      <c r="M34" s="26" t="n"/>
      <c r="N34" s="429" t="inlineStr">
        <is>
          <t xml:space="preserve">Total</t>
        </is>
      </c>
      <c r="O34" s="26" t="n">
        <f t="array" ref="O34">SUM(O15:O33)</f>
        <v>13.72</v>
      </c>
      <c r="P34" s="26" t="n"/>
      <c r="Q34" s="429" t="inlineStr">
        <is>
          <t xml:space="preserve">Taxes</t>
        </is>
      </c>
      <c r="R34" s="4022" t="n">
        <f t="array" ref="R34">IFERROR(R32*R30,0)</f>
        <v>0</v>
      </c>
    </row>
    <row r="35" s="3154" customFormat="1" ht="15" customHeight="1">
      <c r="A35" s="254" t="inlineStr">
        <is>
          <t xml:space="preserve">Effective Tax Rate</t>
        </is>
      </c>
      <c r="B35" s="4025" t="n">
        <f t="array" ref="B35">B33-B34</f>
        <v>0.016499999999999997</v>
      </c>
      <c r="C35" s="4025" t="n">
        <f t="array" ref="C35">C33-C34</f>
        <v>0.016829999999999998</v>
      </c>
      <c r="D35" s="4025" t="n">
        <f t="array" ref="D35">D33-D34</f>
        <v>0.017166599999999994</v>
      </c>
      <c r="E35" s="4025" t="n">
        <f t="array" ref="E35">E33-E34</f>
        <v>0.017509931999999995</v>
      </c>
      <c r="F35" s="4025" t="n">
        <f t="array" ref="F35">F33-F34</f>
        <v>0.017860130639999996</v>
      </c>
      <c r="G35" s="4025" t="n">
        <f t="array" ref="G35">G33-G34</f>
        <v>0.018217333252799995</v>
      </c>
      <c r="H35" s="4025" t="n">
        <f t="array" ref="H35">H33-H34</f>
        <v>0.018581679917855993</v>
      </c>
      <c r="I35" s="4025" t="n">
        <f t="array" ref="I35">I33-I34</f>
        <v>0.01895331351621311</v>
      </c>
      <c r="J35" s="4025" t="n">
        <f t="array" ref="J35">J33-J34</f>
        <v>0.019332379786537374</v>
      </c>
      <c r="K35" s="4025" t="n">
        <f t="array" ref="K35">K33-K34</f>
        <v>0.01971902738226812</v>
      </c>
      <c r="L35" s="26" t="n"/>
      <c r="M35" s="26" t="n"/>
      <c r="N35" s="26" t="n"/>
      <c r="O35" s="26" t="n"/>
      <c r="P35" s="26" t="n"/>
      <c r="Q35" s="26" t="n"/>
      <c r="R35" s="27" t="n"/>
    </row>
    <row r="36" s="3154" customFormat="1" ht="8" customHeight="1">
      <c r="A36" s="25" t="n"/>
      <c r="B36" s="3322" t="n"/>
      <c r="C36" s="3322" t="n"/>
      <c r="D36" s="3322" t="n"/>
      <c r="E36" s="3322" t="n"/>
      <c r="F36" s="3322" t="n"/>
      <c r="G36" s="3322" t="n"/>
      <c r="H36" s="3322" t="n"/>
      <c r="I36" s="3322" t="n"/>
      <c r="J36" s="3322" t="n"/>
      <c r="K36" s="4021" t="n"/>
      <c r="L36" s="25" t="n"/>
      <c r="M36" s="26" t="n"/>
      <c r="N36" s="26" t="n"/>
      <c r="O36" s="26" t="n"/>
      <c r="P36" s="26" t="n"/>
      <c r="Q36" s="26" t="n"/>
      <c r="R36" s="27" t="n"/>
    </row>
    <row r="37" s="3154" customFormat="1" ht="15" customHeight="1">
      <c r="A37" s="254" t="inlineStr">
        <is>
          <t xml:space="preserve">Cumulative Tax Rebate</t>
        </is>
      </c>
      <c r="B37" s="3322" t="e">
        <f t="array" ref="B37">IF(B31&lt;=YEAR('Assumptions'!$G$23),(B32*B35)-(B32*B33),0)</f>
      </c>
      <c r="C37" s="3322" t="e">
        <f t="array" ref="C37">IF(C31&lt;=YEAR('Assumptions'!$G$23),(C32*C35)-(C32*C33),0)</f>
      </c>
      <c r="D37" s="3322" t="e">
        <f t="array" ref="D37">IF(D31&lt;=YEAR('Assumptions'!$G$23),(D32*D35)-(D32*D33),0)</f>
      </c>
      <c r="E37" s="3322" t="e">
        <f t="array" ref="E37">IF(E31&lt;=YEAR('Assumptions'!$G$23),(E32*E35)-(E32*E33),0)</f>
      </c>
      <c r="F37" s="3322" t="e">
        <f t="array" ref="F37">IF(F31&lt;=YEAR('Assumptions'!$G$23),(F32*F35)-(F32*F33),0)</f>
      </c>
      <c r="G37" s="3322" t="e">
        <f t="array" ref="G37">IF(G31&lt;=YEAR('Assumptions'!$G$23),(G32*G35)-(G32*G33),0)</f>
      </c>
      <c r="H37" s="3322" t="e">
        <f t="array" ref="H37">IF(H31&lt;=YEAR('Assumptions'!$G$23),(H32*H35)-(H32*H33),0)</f>
      </c>
      <c r="I37" s="3322" t="e">
        <f t="array" ref="I37">IF(I31&lt;=YEAR('Assumptions'!$G$23),(I32*I35)-(I32*I33),0)</f>
      </c>
      <c r="J37" s="3322" t="e">
        <f t="array" ref="J37">IF(J31&lt;=YEAR('Assumptions'!$G$23),(J32*J35)-(J32*J33),0)</f>
      </c>
      <c r="K37" s="3322" t="e">
        <f t="array" ref="K37">IF(K31&lt;=YEAR('Assumptions'!$G$23),(K32*K35)-(K32*K33),0)</f>
      </c>
      <c r="L37" s="26" t="n"/>
      <c r="M37" s="26" t="n"/>
      <c r="N37" s="26" t="n"/>
      <c r="O37" s="26" t="n"/>
      <c r="P37" s="26" t="n"/>
      <c r="Q37" s="26" t="n"/>
      <c r="R37" s="27" t="n"/>
    </row>
    <row r="38" s="3154" customFormat="1" ht="15" customHeight="1">
      <c r="A38" s="254" t="inlineStr">
        <is>
          <t xml:space="preserve">Remaining Rebate</t>
        </is>
      </c>
      <c r="B38" s="3322" t="n"/>
      <c r="C38" s="3322" t="n"/>
      <c r="D38" s="3322" t="n"/>
      <c r="E38" s="3322" t="n"/>
      <c r="F38" s="3322" t="n"/>
      <c r="G38" s="3322" t="n"/>
      <c r="H38" s="3322" t="n"/>
      <c r="I38" s="3322" t="n"/>
      <c r="J38" s="3322" t="n"/>
      <c r="K38" s="4021" t="n"/>
      <c r="L38" s="25" t="n"/>
      <c r="M38" s="26" t="n"/>
      <c r="N38" s="26" t="n"/>
      <c r="O38" s="26" t="n"/>
      <c r="P38" s="26" t="n"/>
      <c r="Q38" s="26" t="n"/>
      <c r="R38" s="27" t="n"/>
    </row>
    <row r="39" s="3154" customFormat="1" ht="8" customHeight="1">
      <c r="A39" s="194" t="n"/>
      <c r="B39" s="163" t="n"/>
      <c r="C39" s="26" t="n"/>
      <c r="D39" s="26" t="n"/>
      <c r="E39" s="26" t="n"/>
      <c r="F39" s="26" t="n"/>
      <c r="G39" s="26" t="n"/>
      <c r="H39" s="26" t="n"/>
      <c r="I39" s="26" t="n"/>
      <c r="J39" s="26" t="n"/>
      <c r="K39" s="177" t="n"/>
      <c r="L39" s="25" t="n"/>
      <c r="M39" s="26" t="n"/>
      <c r="N39" s="26" t="n"/>
      <c r="O39" s="26" t="n"/>
      <c r="P39" s="26" t="n"/>
      <c r="Q39" s="26" t="n"/>
      <c r="R39" s="27" t="n"/>
    </row>
    <row r="40" s="3154" customFormat="1" ht="15" customHeight="1">
      <c r="A40" s="2270" t="inlineStr">
        <is>
          <t xml:space="preserve">Net Present Value @ 8.5%</t>
        </is>
      </c>
      <c r="B40" s="4060" t="e">
        <f t="array" ref="B40">-NPV('Assumptions'!$D$113,B37:K37)</f>
      </c>
      <c r="C40" s="25" t="n"/>
      <c r="D40" s="26" t="n"/>
      <c r="E40" s="26" t="n"/>
      <c r="F40" s="26" t="n"/>
      <c r="G40" s="26" t="n"/>
      <c r="H40" s="26" t="n"/>
      <c r="I40" s="26" t="n"/>
      <c r="J40" s="26" t="n"/>
      <c r="K40" s="177" t="n"/>
      <c r="L40" s="25" t="n"/>
      <c r="M40" s="26" t="n"/>
      <c r="N40" s="26" t="n"/>
      <c r="O40" s="26" t="n"/>
      <c r="P40" s="26" t="n"/>
      <c r="Q40" s="26" t="n"/>
      <c r="R40" s="27" t="n"/>
    </row>
    <row r="41" s="3154" customFormat="1" ht="8" customHeight="1">
      <c r="A41" s="493" t="n"/>
      <c r="B41" s="201" t="n"/>
      <c r="C41" s="163" t="n"/>
      <c r="D41" s="163" t="n"/>
      <c r="E41" s="163" t="n"/>
      <c r="F41" s="163" t="n"/>
      <c r="G41" s="163" t="n"/>
      <c r="H41" s="163" t="n"/>
      <c r="I41" s="163" t="n"/>
      <c r="J41" s="163" t="n"/>
      <c r="K41" s="192" t="n"/>
      <c r="L41" s="25" t="n"/>
      <c r="M41" s="26" t="n"/>
      <c r="N41" s="26" t="n"/>
      <c r="O41" s="26" t="n"/>
      <c r="P41" s="26" t="n"/>
      <c r="Q41" s="26" t="n"/>
      <c r="R41" s="27" t="n"/>
    </row>
    <row r="42" s="3154" customFormat="1" ht="15" customHeight="1">
      <c r="A42" s="443" t="n"/>
      <c r="B42" s="158" t="n"/>
      <c r="C42" s="158" t="n"/>
      <c r="D42" s="158" t="n"/>
      <c r="E42" s="158" t="n"/>
      <c r="F42" s="158" t="n"/>
      <c r="G42" s="158" t="n"/>
      <c r="H42" s="158" t="n"/>
      <c r="I42" s="158" t="n"/>
      <c r="J42" s="158" t="n"/>
      <c r="K42" s="158" t="n"/>
      <c r="L42" s="26" t="n"/>
      <c r="M42" s="26" t="n"/>
      <c r="N42" s="26" t="n"/>
      <c r="O42" s="26" t="n"/>
      <c r="P42" s="26" t="n"/>
      <c r="Q42" s="26" t="n"/>
      <c r="R42" s="27" t="n"/>
    </row>
    <row r="43" s="3154" customFormat="1" ht="15" customHeight="1">
      <c r="A43" s="161" t="inlineStr">
        <is>
          <t xml:space="preserve">Total Incentives/Rebates</t>
        </is>
      </c>
      <c r="B43" s="3322" t="e">
        <f t="array" ref="B43">B37+B24+B12</f>
      </c>
      <c r="C43" s="3322" t="e">
        <f t="array" ref="C43">C37+C24+C12</f>
      </c>
      <c r="D43" s="3322" t="e">
        <f t="array" ref="D43">D37+D24+D12</f>
      </c>
      <c r="E43" s="3322" t="e">
        <f t="array" ref="E43">E37+E24+E12</f>
      </c>
      <c r="F43" s="3322" t="e">
        <f t="array" ref="F43">F37+F24+F12</f>
      </c>
      <c r="G43" s="3322" t="e">
        <f t="array" ref="G43">G37+G24+G12</f>
      </c>
      <c r="H43" s="3322" t="e">
        <f t="array" ref="H43">H37+H24+H12</f>
      </c>
      <c r="I43" s="3322" t="e">
        <f t="array" ref="I43">I37+I24+I12</f>
      </c>
      <c r="J43" s="3322" t="e">
        <f t="array" ref="J43">J37+J24+J12</f>
      </c>
      <c r="K43" s="3322" t="e">
        <f t="array" ref="K43">K37+K24+K12</f>
      </c>
      <c r="L43" s="26" t="n"/>
      <c r="M43" s="26" t="n"/>
      <c r="N43" s="26" t="n"/>
      <c r="O43" s="26" t="n"/>
      <c r="P43" s="26" t="n"/>
      <c r="Q43" s="26" t="n"/>
      <c r="R43" s="27" t="n"/>
    </row>
    <row r="44" s="3154" customFormat="1" ht="8" customHeight="1">
      <c r="A44" s="162" t="n"/>
      <c r="B44" s="163" t="n"/>
      <c r="C44" s="26" t="n"/>
      <c r="D44" s="26" t="n"/>
      <c r="E44" s="26" t="n"/>
      <c r="F44" s="26" t="n"/>
      <c r="G44" s="26" t="n"/>
      <c r="H44" s="26" t="n"/>
      <c r="I44" s="26" t="n"/>
      <c r="J44" s="26" t="n"/>
      <c r="K44" s="26" t="n"/>
      <c r="L44" s="26" t="n"/>
      <c r="M44" s="26" t="n"/>
      <c r="N44" s="26" t="n"/>
      <c r="O44" s="26" t="n"/>
      <c r="P44" s="26" t="n"/>
      <c r="Q44" s="26" t="n"/>
      <c r="R44" s="27" t="n"/>
    </row>
    <row r="45" s="3154" customFormat="1" ht="15" customHeight="1">
      <c r="A45" s="2270" t="inlineStr">
        <is>
          <t xml:space="preserve">Net Present Value @ 8.5%</t>
        </is>
      </c>
      <c r="B45" s="4060" t="e">
        <f t="array" ref="B45">-NPV('Assumptions'!$D$113,B43:K43)</f>
      </c>
      <c r="C45" s="25" t="n"/>
      <c r="D45" s="26" t="n"/>
      <c r="E45" s="26" t="n"/>
      <c r="F45" s="26" t="n"/>
      <c r="G45" s="26" t="n"/>
      <c r="H45" s="26" t="n"/>
      <c r="I45" s="26" t="n"/>
      <c r="J45" s="26" t="n"/>
      <c r="K45" s="26" t="n"/>
      <c r="L45" s="26" t="n"/>
      <c r="M45" s="26" t="n"/>
      <c r="N45" s="26" t="n"/>
      <c r="O45" s="26" t="n"/>
      <c r="P45" s="26" t="n"/>
      <c r="Q45" s="26" t="n"/>
      <c r="R45" s="27" t="n"/>
    </row>
    <row r="46" s="3154" customFormat="1" ht="15" customHeight="1">
      <c r="A46" s="443" t="n"/>
      <c r="B46" s="158" t="n"/>
      <c r="C46" s="26" t="n"/>
      <c r="D46" s="26" t="n"/>
      <c r="E46" s="26" t="n"/>
      <c r="F46" s="26" t="n"/>
      <c r="G46" s="26" t="n"/>
      <c r="H46" s="26" t="n"/>
      <c r="I46" s="26" t="n"/>
      <c r="J46" s="26" t="n"/>
      <c r="K46" s="26" t="n"/>
      <c r="L46" s="26" t="n"/>
      <c r="M46" s="26" t="n"/>
      <c r="N46" s="26" t="n"/>
      <c r="O46" s="26" t="n"/>
      <c r="P46" s="26" t="n"/>
      <c r="Q46" s="26" t="n"/>
      <c r="R46" s="27" t="n"/>
    </row>
    <row r="47" s="3154" customFormat="1" ht="15" customHeight="1">
      <c r="A47" s="633" t="n"/>
      <c r="B47" s="4061" t="n">
        <f t="array" ref="B47">B32*B33</f>
        <v>177337.6955</v>
      </c>
      <c r="C47" s="634" t="n"/>
      <c r="D47" s="634" t="n"/>
      <c r="E47" s="634" t="n"/>
      <c r="F47" s="634" t="n"/>
      <c r="G47" s="634" t="n"/>
      <c r="H47" s="634" t="n"/>
      <c r="I47" s="634" t="n"/>
      <c r="J47" s="634" t="n"/>
      <c r="K47" s="634" t="n"/>
      <c r="L47" s="634" t="n"/>
      <c r="M47" s="634" t="n"/>
      <c r="N47" s="634" t="n"/>
      <c r="O47" s="634" t="n"/>
      <c r="P47" s="634" t="n"/>
      <c r="Q47" s="634" t="n"/>
      <c r="R47" s="635" t="n"/>
    </row>
  </sheetData>
  <conditionalFormatting sqref="B15:B15 B27:B27 B40:B40 B45:B45">
    <cfRule type="cellIs" dxfId="0" priority="1" stopIfTrue="1" operator="lessThan">
      <formula>0</formula>
    </cfRule>
  </conditionalFormatting>
  <pageMargins left="0.7" right="0.7" top="0.75" bottom="0.75" header="0.3" footer="0.3"/>
</worksheet>
</file>

<file path=xl/worksheets/sheet2.xml><?xml version="1.0" encoding="utf-8"?>
<worksheet xmlns="http://schemas.openxmlformats.org/spreadsheetml/2006/main">
  <sheetViews>
    <sheetView showGridLines="0" workbookViewId="0"/>
  </sheetViews>
  <sheetFormatPr baseColWidth="8" defaultColWidth="8.333330154418945" defaultRowHeight="14.25"/>
  <cols>
    <col min="1" max="1" width="32" style="3136" customWidth="1"/>
    <col min="2" max="2" width="4" style="3136" customWidth="1"/>
    <col min="3" max="13" width="14" style="3136" customWidth="1"/>
    <col min="14" max="14" width="8.333330154418945" style="3136" hidden="1" customWidth="1"/>
    <col min="15" max="15" width="22" style="3136" customWidth="1"/>
    <col min="16" max="17" width="14" style="3136" customWidth="1"/>
    <col min="18" max="23" width="8.333330154418945" style="3136" hidden="1" customWidth="1"/>
    <col min="24" max="16384" width="8.35155963897705" style="3136" customWidth="1"/>
  </cols>
  <sheetData>
    <row r="1" s="3154" customFormat="1" ht="15.75" customHeight="1">
      <c r="A1" s="152" t="inlineStr">
        <is>
          <t xml:space="preserve">PROJECT OVERVIEW &amp; FINANCIAL SUMMARY</t>
        </is>
      </c>
      <c r="B1" s="536" t="n"/>
      <c r="C1" s="537" t="n"/>
      <c r="D1" s="536" t="n"/>
      <c r="E1" s="537" t="n"/>
      <c r="F1" s="537" t="n"/>
      <c r="G1" s="538" t="n"/>
      <c r="H1" s="539" t="n"/>
      <c r="I1" s="538" t="n"/>
      <c r="J1" s="540" t="n"/>
      <c r="K1" s="540" t="n"/>
      <c r="L1" s="540" t="n"/>
      <c r="M1" s="541" t="inlineStr">
        <is>
          <t xml:space="preserve">MODEL REVISED: Mar 25, 2025</t>
        </is>
      </c>
      <c r="N1" s="542" t="str"/>
      <c r="O1" s="543" t="n"/>
      <c r="P1" s="11" t="n"/>
      <c r="Q1" s="13" t="n"/>
      <c r="R1" s="49" t="n"/>
      <c r="S1" s="49" t="n"/>
      <c r="T1" s="49" t="n"/>
      <c r="U1" s="49" t="n"/>
      <c r="V1" s="49" t="n"/>
      <c r="W1" s="49" t="n"/>
    </row>
    <row r="2" s="3154" customFormat="1" ht="15.75" customHeight="1">
      <c r="A2" s="544" t="str">
        <f t="array" ref="A2">'Assumptions'!D6&amp;" · "&amp;'Assumptions'!D7</f>
        <v>INDEPENDENT (No Flag) · SLEEP SPACE — 100-KEY PREFAB (50 EP + 50 E)</v>
      </c>
      <c r="B2" s="545" t="n"/>
      <c r="C2" s="403" t="n"/>
      <c r="D2" s="545" t="n"/>
      <c r="E2" s="403" t="n"/>
      <c r="F2" s="545" t="n"/>
      <c r="G2" s="158" t="n"/>
      <c r="H2" s="403" t="n"/>
      <c r="I2" s="546" t="n"/>
      <c r="J2" s="546" t="n"/>
      <c r="K2" s="546" t="n"/>
      <c r="L2" s="546" t="n"/>
      <c r="M2" s="546" t="n"/>
      <c r="N2" s="26" t="n"/>
      <c r="O2" s="405" t="n"/>
      <c r="P2" s="26" t="n"/>
      <c r="Q2" s="27" t="n"/>
      <c r="R2" s="99" t="n"/>
      <c r="S2" s="99" t="n"/>
      <c r="T2" s="99" t="n"/>
      <c r="U2" s="99" t="n"/>
      <c r="V2" s="99" t="n"/>
      <c r="W2" s="99" t="n"/>
    </row>
    <row r="3" s="3154" customFormat="1" ht="15.75" customHeight="1">
      <c r="A3" s="547" t="n"/>
      <c r="B3" s="548" t="n"/>
      <c r="C3" s="405" t="n"/>
      <c r="D3" s="548" t="n"/>
      <c r="E3" s="405" t="n"/>
      <c r="F3" s="548" t="n"/>
      <c r="G3" s="26" t="n"/>
      <c r="H3" s="26" t="n"/>
      <c r="I3" s="26" t="n"/>
      <c r="J3" s="26" t="n"/>
      <c r="K3" s="26" t="n"/>
      <c r="L3" s="26" t="n"/>
      <c r="M3" s="26" t="n"/>
      <c r="N3" s="26" t="n"/>
      <c r="O3" s="405" t="n"/>
      <c r="P3" s="26" t="n"/>
      <c r="Q3" s="27" t="n"/>
      <c r="R3" s="99" t="n"/>
      <c r="S3" s="99" t="n"/>
      <c r="T3" s="99" t="n"/>
      <c r="U3" s="99" t="n"/>
      <c r="V3" s="99" t="n"/>
      <c r="W3" s="99" t="n"/>
    </row>
    <row r="4" s="3154" customFormat="1" ht="15.75" customHeight="1">
      <c r="A4" s="549" t="n"/>
      <c r="B4" s="18" t="n"/>
      <c r="C4" s="18" t="n"/>
      <c r="D4" s="405" t="n"/>
      <c r="E4" s="405" t="n"/>
      <c r="F4" s="26" t="n"/>
      <c r="G4" s="18" t="n"/>
      <c r="H4" s="26" t="n"/>
      <c r="I4" s="26" t="n"/>
      <c r="J4" s="26" t="n"/>
      <c r="K4" s="26" t="n"/>
      <c r="L4" s="26" t="n"/>
      <c r="M4" s="26" t="n"/>
      <c r="N4" s="26" t="n"/>
      <c r="O4" s="405" t="n"/>
      <c r="P4" s="26" t="n"/>
      <c r="Q4" s="27" t="n"/>
      <c r="R4" s="99" t="n"/>
      <c r="S4" s="99" t="n"/>
      <c r="T4" s="99" t="n"/>
      <c r="U4" s="99" t="n"/>
      <c r="V4" s="99" t="n"/>
      <c r="W4" s="99" t="n"/>
    </row>
    <row r="5" s="3154" customFormat="1" ht="15.75" customHeight="1">
      <c r="A5" s="550" t="inlineStr">
        <is>
          <t xml:space="preserve">PROJECT SOURCES</t>
        </is>
      </c>
      <c r="B5" s="551" t="n"/>
      <c r="C5" s="552" t="inlineStr">
        <is>
          <t xml:space="preserve">Amount</t>
        </is>
      </c>
      <c r="D5" s="552" t="inlineStr">
        <is>
          <t xml:space="preserve">$/GRSF</t>
        </is>
      </c>
      <c r="E5" s="552" t="inlineStr">
        <is>
          <t xml:space="preserve">$/Key</t>
        </is>
      </c>
      <c r="F5" s="26" t="n"/>
      <c r="G5" s="553" t="inlineStr">
        <is>
          <t xml:space="preserve">PROJECT SPECIFICATIONS</t>
        </is>
      </c>
      <c r="H5" s="554" t="n"/>
      <c r="I5" s="551" t="n"/>
      <c r="J5" s="26" t="n"/>
      <c r="K5" s="555" t="inlineStr">
        <is>
          <t xml:space="preserve">CONSTRUCTION FINANCING</t>
        </is>
      </c>
      <c r="L5" s="556" t="n"/>
      <c r="M5" s="551" t="n"/>
      <c r="N5" s="26" t="n"/>
      <c r="O5" s="405" t="n"/>
      <c r="P5" s="26" t="n"/>
      <c r="Q5" s="27" t="n"/>
      <c r="R5" s="99" t="n"/>
      <c r="S5" s="99" t="n"/>
      <c r="T5" s="99" t="n"/>
      <c r="U5" s="99" t="n"/>
      <c r="V5" s="99" t="n"/>
      <c r="W5" s="99" t="n"/>
    </row>
    <row r="6" s="3154" customFormat="1" ht="15.75" customHeight="1">
      <c r="A6" s="557" t="inlineStr">
        <is>
          <t xml:space="preserve">Equity</t>
        </is>
      </c>
      <c r="B6" s="3328" t="n"/>
      <c r="C6" s="3329" t="n">
        <f t="array" ref="C6">C20*20%</f>
        <v>1165627.26</v>
      </c>
      <c r="D6" s="3330" t="n">
        <f t="array" ref="D6">C6/'Assumptions'!$J$8</f>
        <v>68.428807760406144</v>
      </c>
      <c r="E6" s="3305" t="n">
        <f t="array" ref="E6">C6/$I$7</f>
        <v>11656.272600000000239</v>
      </c>
      <c r="F6" s="26" t="n"/>
      <c r="G6" s="160" t="inlineStr">
        <is>
          <t xml:space="preserve">Land Size</t>
        </is>
      </c>
      <c r="H6" s="405" t="n"/>
      <c r="I6" s="3331" t="n">
        <f t="array" ref="I6">'Assumptions'!J6</f>
        <v>1</v>
      </c>
      <c r="J6" s="26" t="n"/>
      <c r="K6" s="160" t="inlineStr">
        <is>
          <t xml:space="preserve">Term/Rate</t>
        </is>
      </c>
      <c r="L6" s="26" t="n"/>
      <c r="M6" s="562" t="inlineStr">
        <is>
          <t xml:space="preserve">2.0 yrs @ 8.50%</t>
        </is>
      </c>
      <c r="N6" s="26" t="n"/>
      <c r="O6" s="405" t="n"/>
      <c r="P6" s="26" t="n"/>
      <c r="Q6" s="27" t="n"/>
      <c r="R6" s="99" t="n"/>
      <c r="S6" s="99" t="n"/>
      <c r="T6" s="99" t="n"/>
      <c r="U6" s="99" t="n"/>
      <c r="V6" s="99" t="n"/>
      <c r="W6" s="99" t="n"/>
    </row>
    <row r="7" s="3154" customFormat="1" ht="15.75" customHeight="1">
      <c r="A7" s="557" t="inlineStr">
        <is>
          <t xml:space="preserve">Key Money</t>
        </is>
      </c>
      <c r="B7" s="405" t="n"/>
      <c r="C7" s="3305" t="n">
        <v>0</v>
      </c>
      <c r="D7" s="3330" t="n">
        <f t="array" ref="D7">C7/'Assumptions'!$J$8</f>
        <v>0</v>
      </c>
      <c r="E7" s="3305" t="n">
        <f t="array" ref="E7">C7/'Assumptions'!$J$7</f>
        <v>0</v>
      </c>
      <c r="F7" s="26" t="n"/>
      <c r="G7" s="160" t="inlineStr">
        <is>
          <t xml:space="preserve">Number of Guest Rooms</t>
        </is>
      </c>
      <c r="H7" s="405" t="n"/>
      <c r="I7" s="3332" t="n">
        <f t="array" ref="I7">'Assumptions'!J7</f>
        <v>100</v>
      </c>
      <c r="J7" s="26" t="n"/>
      <c r="K7" s="160" t="inlineStr">
        <is>
          <t xml:space="preserve">LTC (Loan to Cost): %/Amt</t>
        </is>
      </c>
      <c r="L7" s="3333" t="n">
        <f t="array" ref="L7">M7/$C$9</f>
        <v>0.8</v>
      </c>
      <c r="M7" s="3334" t="n">
        <f t="array" ref="M7">C8</f>
        <v>4662509.040000000037253</v>
      </c>
      <c r="N7" s="26" t="n"/>
      <c r="O7" s="566" t="inlineStr">
        <is>
          <t xml:space="preserve">Target keys / 100</t>
        </is>
      </c>
      <c r="P7" s="567" t="inlineStr">
        <is>
          <t xml:space="preserve">normalization</t>
        </is>
      </c>
      <c r="Q7" s="27" t="n"/>
      <c r="R7" s="99" t="n"/>
      <c r="S7" s="99" t="n"/>
      <c r="T7" s="99" t="n"/>
      <c r="U7" s="99" t="n"/>
      <c r="V7" s="99" t="n"/>
      <c r="W7" s="99" t="n"/>
    </row>
    <row r="8" s="3154" customFormat="1" ht="15.75" customHeight="1">
      <c r="A8" s="557" t="inlineStr">
        <is>
          <t xml:space="preserve">Construction Loan</t>
        </is>
      </c>
      <c r="B8" s="405" t="n"/>
      <c r="C8" s="3305" t="n">
        <f>C20-C6</f>
        <v>4662509.04</v>
      </c>
      <c r="D8" s="3335" t="n">
        <f t="array" ref="D8">C8/'Assumptions'!$J$8</f>
        <v>273.715231041624577</v>
      </c>
      <c r="E8" s="3305" t="n">
        <f t="array" ref="E8">C8/$I$7</f>
        <v>46625.090400000000955</v>
      </c>
      <c r="F8" s="26" t="n"/>
      <c r="G8" s="426" t="inlineStr">
        <is>
          <t xml:space="preserve">Hotel Gross Sq Ft</t>
        </is>
      </c>
      <c r="H8" s="18" t="n"/>
      <c r="I8" s="3336" t="n">
        <f t="array" ref="I8">'Assumptions'!J8</f>
        <v>17034.16</v>
      </c>
      <c r="J8" s="26" t="n"/>
      <c r="K8" s="160" t="inlineStr">
        <is>
          <t xml:space="preserve">Equity: %/Amt</t>
        </is>
      </c>
      <c r="L8" s="3333" t="n">
        <f t="array" ref="L8">M8/$C$9</f>
        <v>0.2</v>
      </c>
      <c r="M8" s="3334" t="n">
        <f t="array" ref="M8">C6</f>
        <v>1165627.260000000009313</v>
      </c>
      <c r="N8" s="26" t="n"/>
      <c r="O8" s="570" t="n">
        <f t="array" ref="O8">'Assumptions'!J7/100</f>
        <v>1</v>
      </c>
      <c r="P8" s="26" t="n"/>
      <c r="Q8" s="27" t="n"/>
      <c r="R8" s="99" t="n"/>
      <c r="S8" s="99" t="n"/>
      <c r="T8" s="99" t="n"/>
      <c r="U8" s="99" t="n"/>
      <c r="V8" s="99" t="n"/>
      <c r="W8" s="99" t="n"/>
    </row>
    <row r="9" s="3154" customFormat="1" ht="15.75" customHeight="1">
      <c r="A9" s="571" t="inlineStr">
        <is>
          <t xml:space="preserve">Total Project Sources</t>
        </is>
      </c>
      <c r="B9" s="572" t="n"/>
      <c r="C9" s="3337" t="n">
        <f t="array" ref="C9">SUM(C6:C8)</f>
        <v>5828136.299999999813735</v>
      </c>
      <c r="D9" s="3338" t="n">
        <f t="array" ref="D9">C9/'Assumptions'!$J$8</f>
        <v>342.144038802030707</v>
      </c>
      <c r="E9" s="3339" t="n">
        <f t="array" ref="E9">C9/$I$7</f>
        <v>58281.362999999997555</v>
      </c>
      <c r="F9" s="26" t="n"/>
      <c r="G9" s="160" t="inlineStr">
        <is>
          <t xml:space="preserve">Meeting/Conf Gross Sq Ft</t>
        </is>
      </c>
      <c r="H9" s="26" t="n"/>
      <c r="I9" s="3336" t="n">
        <f t="array" ref="I9">'Assumptions'!J10</f>
        <v>0</v>
      </c>
      <c r="J9" s="26" t="n"/>
      <c r="K9" s="160" t="inlineStr">
        <is>
          <t xml:space="preserve">Debt svc occ. / target</t>
        </is>
      </c>
      <c r="L9" s="3333" t="n">
        <v>0.18</v>
      </c>
      <c r="M9" s="3333" t="n">
        <f>'JYI-Hotel Deal Overview'!B66</f>
        <v>0.149795470871006</v>
      </c>
      <c r="N9" s="26" t="n"/>
      <c r="O9" s="405" t="n"/>
      <c r="P9" s="26" t="n"/>
      <c r="Q9" s="27" t="n"/>
      <c r="R9" s="99" t="n"/>
      <c r="S9" s="99" t="n"/>
      <c r="T9" s="99" t="n"/>
      <c r="U9" s="99" t="n"/>
      <c r="V9" s="99" t="n"/>
      <c r="W9" s="99" t="n"/>
    </row>
    <row r="10" s="3154" customFormat="1" ht="15.75" customHeight="1">
      <c r="A10" s="576" t="n"/>
      <c r="B10" s="405" t="n"/>
      <c r="C10" s="405" t="n"/>
      <c r="D10" s="405" t="n"/>
      <c r="E10" s="405" t="n"/>
      <c r="F10" s="26" t="n"/>
      <c r="G10" s="426" t="inlineStr">
        <is>
          <t xml:space="preserve">Number of Parking Spaces</t>
        </is>
      </c>
      <c r="H10" s="18" t="n"/>
      <c r="I10" s="3340" t="n">
        <f t="array" ref="I10">'Assumptions'!J9</f>
        <v>50</v>
      </c>
      <c r="J10" s="26" t="n"/>
      <c r="K10" s="555" t="inlineStr">
        <is>
          <t xml:space="preserve">PERMANENT FINANCING</t>
        </is>
      </c>
      <c r="L10" s="551" t="n"/>
      <c r="M10" s="551" t="n"/>
      <c r="N10" s="26" t="n"/>
      <c r="O10" s="405" t="n"/>
      <c r="P10" s="26" t="n"/>
      <c r="Q10" s="27" t="n"/>
      <c r="R10" s="99" t="n"/>
      <c r="S10" s="99" t="n"/>
      <c r="T10" s="99" t="n"/>
      <c r="U10" s="99" t="n"/>
      <c r="V10" s="99" t="n"/>
      <c r="W10" s="99" t="n"/>
    </row>
    <row r="11" s="3154" customFormat="1" ht="15.75" customHeight="1">
      <c r="A11" s="550" t="inlineStr">
        <is>
          <t xml:space="preserve">PROJECT USES</t>
        </is>
      </c>
      <c r="B11" s="551" t="n"/>
      <c r="C11" s="552" t="inlineStr">
        <is>
          <t xml:space="preserve">Amount</t>
        </is>
      </c>
      <c r="D11" s="552" t="inlineStr">
        <is>
          <t xml:space="preserve">$/GRSF</t>
        </is>
      </c>
      <c r="E11" s="552" t="inlineStr">
        <is>
          <t xml:space="preserve">$/Key</t>
        </is>
      </c>
      <c r="F11" s="578" t="n"/>
      <c r="G11" s="26" t="n"/>
      <c r="H11" s="26" t="n"/>
      <c r="I11" s="26" t="n"/>
      <c r="J11" s="3341" t="n"/>
      <c r="K11" s="160" t="inlineStr">
        <is>
          <t xml:space="preserve">Rate</t>
        </is>
      </c>
      <c r="L11" s="26" t="n"/>
      <c r="M11" s="562" t="inlineStr">
        <is>
          <t xml:space="preserve">25.0 yrs @ 7.50%</t>
        </is>
      </c>
      <c r="N11" s="26" t="str"/>
      <c r="O11" s="405" t="n"/>
      <c r="P11" s="26" t="n"/>
      <c r="Q11" s="27" t="n"/>
      <c r="R11" s="99" t="n"/>
      <c r="S11" s="99" t="n"/>
      <c r="T11" s="99" t="n"/>
      <c r="U11" s="99" t="n"/>
      <c r="V11" s="99" t="n"/>
      <c r="W11" s="99" t="n"/>
    </row>
    <row r="12" s="3154" customFormat="1" ht="15.75" customHeight="1">
      <c r="A12" s="580" t="str">
        <f t="array" ref="A12">PROPER('Cost Detail'!A5)</f>
        <v>Land &amp; Acquistion</v>
      </c>
      <c r="B12" s="18" t="n"/>
      <c r="C12" s="3329" t="n">
        <f t="array" ref="C12">1200000</f>
        <v>1200000</v>
      </c>
      <c r="D12" s="3330" t="n">
        <f t="array" ref="D12">C12/'Assumptions'!$J$8</f>
        <v>70.446678908734</v>
      </c>
      <c r="E12" s="3305" t="n">
        <f t="array" ref="E12">C12/'Assumptions'!$J$7</f>
        <v>12000</v>
      </c>
      <c r="F12" s="578" t="n"/>
      <c r="G12" s="553" t="inlineStr">
        <is>
          <t xml:space="preserve">DISPOSITION SUMMARY</t>
        </is>
      </c>
      <c r="H12" s="554" t="n"/>
      <c r="I12" s="551" t="n"/>
      <c r="J12" s="3342" t="n"/>
      <c r="K12" s="160" t="inlineStr">
        <is>
          <t xml:space="preserve">Perm Loan Modeled As:</t>
        </is>
      </c>
      <c r="L12" s="26" t="str"/>
      <c r="M12" s="582" t="str">
        <f t="array" ref="M12">'Assumptions'!C123</f>
        <v>Construction Loan</v>
      </c>
      <c r="N12" s="26" t="str"/>
      <c r="O12" s="405" t="n"/>
      <c r="P12" s="26" t="n"/>
      <c r="Q12" s="27" t="n"/>
      <c r="R12" s="99" t="n"/>
      <c r="S12" s="99" t="n"/>
      <c r="T12" s="99" t="n"/>
      <c r="U12" s="99" t="n"/>
      <c r="V12" s="99" t="n"/>
      <c r="W12" s="99" t="n"/>
    </row>
    <row r="13" s="3154" customFormat="1" ht="15.75" customHeight="1">
      <c r="A13" s="580" t="str">
        <f t="array" ref="A13">PROPER('Cost Detail'!A18)</f>
        <v>Development &amp; Planning</v>
      </c>
      <c r="B13" s="18" t="n"/>
      <c r="C13" s="3305" t="n">
        <v>0</v>
      </c>
      <c r="D13" s="3305" t="n">
        <f t="array" ref="D13">C13/'Assumptions'!$J$8</f>
        <v>0</v>
      </c>
      <c r="E13" s="3305" t="n">
        <f t="array" ref="E13">C13/'Assumptions'!$J$7</f>
        <v>0</v>
      </c>
      <c r="F13" s="578" t="n"/>
      <c r="G13" s="160" t="inlineStr">
        <is>
          <t xml:space="preserve">Mth/Yr of Sale</t>
        </is>
      </c>
      <c r="H13" s="3343" t="n">
        <f t="array" ref="H13">'S&amp;U-Timeline'!G29</f>
        <v>50010</v>
      </c>
      <c r="I13" s="3344" t="e">
        <f t="array" ref="I13">VLOOKUP(YEAR($H$13),'S&amp;U-Timeline'!$X$12:$Y$23,2,0)</f>
      </c>
      <c r="J13" s="3345" t="n"/>
      <c r="K13" s="160" t="inlineStr">
        <is>
          <t xml:space="preserve">Perm Loan Amt</t>
        </is>
      </c>
      <c r="L13" s="26" t="n"/>
      <c r="M13" s="3334" t="n">
        <f t="array" ref="M13">C8</f>
        <v>5718062.20486767</v>
      </c>
      <c r="N13" s="26" t="str"/>
      <c r="O13" s="405" t="n"/>
      <c r="P13" s="26" t="n"/>
      <c r="Q13" s="27" t="n"/>
      <c r="R13" s="3347" t="n"/>
      <c r="S13" s="3348" t="n"/>
      <c r="T13" s="99" t="n"/>
      <c r="U13" s="99" t="n"/>
      <c r="V13" s="99" t="n"/>
      <c r="W13" s="99" t="n"/>
    </row>
    <row r="14" s="3154" customFormat="1" ht="15.75" customHeight="1">
      <c r="A14" s="580" t="str">
        <f t="array" ref="A14">PROPER('Cost Detail'!A28)</f>
        <v>Design &amp; Engineering</v>
      </c>
      <c r="B14" s="18" t="n"/>
      <c r="C14" s="3305" t="n">
        <f t="array" ref="C14">(150000+50000)*('Assumptions'!J7/100)</f>
        <v>200000</v>
      </c>
      <c r="D14" s="3305" t="n">
        <f t="array" ref="D14">C14/'Assumptions'!$J$8</f>
        <v>11.7411131514557</v>
      </c>
      <c r="E14" s="3305" t="n">
        <f t="array" ref="E14">C14/'Assumptions'!$J$7</f>
        <v>2000</v>
      </c>
      <c r="F14" s="578" t="n"/>
      <c r="G14" s="160" t="inlineStr">
        <is>
          <t xml:space="preserve">Terminal Cap Rate</t>
        </is>
      </c>
      <c r="H14" s="26" t="n"/>
      <c r="I14" s="589" t="n">
        <f t="array" ref="I14">'Assumptions'!D134</f>
        <v>0.085</v>
      </c>
      <c r="J14" s="3305" t="n"/>
      <c r="K14" s="160" t="inlineStr">
        <is>
          <t xml:space="preserve">Takeout @ Perm Loan</t>
        </is>
      </c>
      <c r="L14" s="405" t="n"/>
      <c r="M14" s="3305" t="n">
        <f t="array" ref="M14">'Assumptions'!D125</f>
        <v>0</v>
      </c>
      <c r="N14" s="26" t="str"/>
      <c r="O14" s="405" t="n"/>
      <c r="P14" s="26" t="n"/>
      <c r="Q14" s="27" t="n"/>
      <c r="R14" s="99" t="n"/>
      <c r="S14" s="99" t="n"/>
      <c r="T14" s="99" t="n"/>
      <c r="U14" s="99" t="n"/>
      <c r="V14" s="99" t="n"/>
      <c r="W14" s="99" t="n"/>
    </row>
    <row r="15" s="3154" customFormat="1" ht="15.75" customHeight="1">
      <c r="A15" s="580" t="str">
        <f t="array" ref="A15">PROPER('Cost Detail'!A59)</f>
        <v>Marketing &amp; Pre-opening</v>
      </c>
      <c r="B15" s="18" t="n"/>
      <c r="C15" s="3305" t="n">
        <f t="array" ref="C15">(30000+35000+30000+150000+15000+10000)*('Assumptions'!J7/100)</f>
        <v>270000</v>
      </c>
      <c r="D15" s="3305" t="n">
        <f t="array" ref="D15">C15/'Assumptions'!$J$8</f>
        <v>15.8505027544651</v>
      </c>
      <c r="E15" s="3305" t="n">
        <f t="array" ref="E15">C15/'Assumptions'!$J$7</f>
        <v>2700</v>
      </c>
      <c r="F15" s="578" t="n"/>
      <c r="G15" s="160" t="inlineStr">
        <is>
          <t xml:space="preserve">NOI at Sale Year [C]</t>
        </is>
      </c>
      <c r="H15" s="3349" t="n"/>
      <c r="I15" s="3350" t="e">
        <f t="array" ref="I15">HLOOKUP(I13,$C$22:$M$34,13,0)</f>
      </c>
      <c r="J15" s="3341" t="str"/>
      <c r="K15" s="26" t="n"/>
      <c r="L15" s="26" t="n"/>
      <c r="M15" s="26" t="n"/>
      <c r="N15" s="26" t="n"/>
      <c r="O15" s="405" t="n"/>
      <c r="P15" s="26" t="n"/>
      <c r="Q15" s="27" t="n"/>
      <c r="R15" s="99" t="n"/>
      <c r="S15" s="99" t="n"/>
      <c r="T15" s="99" t="n"/>
      <c r="U15" s="99" t="n"/>
      <c r="V15" s="99" t="n"/>
      <c r="W15" s="99" t="n"/>
    </row>
    <row r="16" s="3154" customFormat="1" ht="15.75" customHeight="1">
      <c r="A16" s="580" t="str">
        <f t="array" ref="A16">PROPER('Cost Detail'!A69)</f>
        <v>Financing</v>
      </c>
      <c r="B16" s="18" t="n"/>
      <c r="C16" s="3305" t="n">
        <v>0</v>
      </c>
      <c r="D16" s="3305" t="n">
        <f t="array" ref="D16">C16/'Assumptions'!$J$8</f>
        <v>0</v>
      </c>
      <c r="E16" s="3305" t="n">
        <f t="array" ref="E16">C16/'Assumptions'!$J$7</f>
        <v>0</v>
      </c>
      <c r="F16" s="578" t="n"/>
      <c r="G16" s="160" t="inlineStr">
        <is>
          <t xml:space="preserve">Disposition Value</t>
        </is>
      </c>
      <c r="H16" s="26" t="n"/>
      <c r="I16" s="3350" t="e">
        <f t="array" ref="I16">I15/I14</f>
      </c>
      <c r="J16" s="3335" t="n"/>
      <c r="K16" s="555" t="inlineStr">
        <is>
          <t xml:space="preserve">PROJECT RETURNS</t>
        </is>
      </c>
      <c r="L16" s="551" t="str"/>
      <c r="M16" s="551" t="n"/>
      <c r="N16" s="26" t="n"/>
      <c r="O16" s="405" t="n"/>
      <c r="P16" s="26" t="n"/>
      <c r="Q16" s="27" t="n"/>
      <c r="R16" s="99" t="n"/>
      <c r="S16" s="99" t="n"/>
      <c r="T16" s="99" t="n"/>
      <c r="U16" s="99" t="n"/>
      <c r="V16" s="99" t="n"/>
      <c r="W16" s="99" t="n"/>
    </row>
    <row r="17" s="3154" customFormat="1" ht="15.75" customHeight="1">
      <c r="A17" s="580" t="str">
        <f t="array" ref="A17">PROPER('Cost Detail'!A83)</f>
        <v>Construction Hard Costs</v>
      </c>
      <c r="B17" s="18" t="n"/>
      <c r="C17" s="3305" t="n">
        <f>'CB-Summary'!B19</f>
        <v>4466416.099999999627471</v>
      </c>
      <c r="D17" s="3305" t="n">
        <f t="array" ref="D17">C17/'Assumptions'!$J$8</f>
        <v>262.203484057916569</v>
      </c>
      <c r="E17" s="3305" t="n">
        <f t="array" ref="E17">C17/'Assumptions'!$J$7</f>
        <v>44664.160999999992782</v>
      </c>
      <c r="F17" s="578" t="n"/>
      <c r="G17" s="160" t="inlineStr">
        <is>
          <t xml:space="preserve">Disposition/Key</t>
        </is>
      </c>
      <c r="H17" s="26" t="n"/>
      <c r="I17" s="3346" t="e">
        <f t="array" ref="I17">I16/I7</f>
      </c>
      <c r="J17" s="26" t="n"/>
      <c r="K17" s="592" t="inlineStr">
        <is>
          <t xml:space="preserve">Y4 Yield/Cost</t>
        </is>
      </c>
      <c r="L17" s="592" t="inlineStr">
        <is>
          <t xml:space="preserve">Y4 Cash/Cash</t>
        </is>
      </c>
      <c r="M17" s="592" t="inlineStr">
        <is>
          <t xml:space="preserve">Lev Proj IRR</t>
        </is>
      </c>
      <c r="N17" s="26" t="n"/>
      <c r="O17" s="593" t="inlineStr">
        <is>
          <t xml:space="preserve">← linked: CB-Summary!B19 (single hard-cost contingency)</t>
        </is>
      </c>
      <c r="P17" s="160" t="inlineStr">
        <is>
          <t xml:space="preserve">Y1</t>
        </is>
      </c>
      <c r="Q17" s="594" t="n">
        <v>4</v>
      </c>
      <c r="R17" s="99" t="n"/>
      <c r="S17" s="99" t="n"/>
      <c r="T17" s="99" t="n"/>
      <c r="U17" s="99" t="n"/>
      <c r="V17" s="99" t="n"/>
      <c r="W17" s="99" t="n"/>
    </row>
    <row r="18" s="3154" customFormat="1" ht="15.75" customHeight="1">
      <c r="A18" s="557" t="inlineStr">
        <is>
          <t xml:space="preserve">Construction Soft Costs</t>
        </is>
      </c>
      <c r="B18" s="18" t="n"/>
      <c r="C18" s="3305" t="n">
        <f t="array" ref="C18">(100000+10000+75000)*('Assumptions'!J7/100)</f>
        <v>185000</v>
      </c>
      <c r="D18" s="3305" t="n">
        <f t="array" ref="D18">C18/'Assumptions'!$J$8</f>
        <v>10.8605296650965</v>
      </c>
      <c r="E18" s="3305" t="n">
        <f t="array" ref="E18">C18/'Assumptions'!$J$7</f>
        <v>1850</v>
      </c>
      <c r="F18" s="578" t="n"/>
      <c r="G18" s="160" t="inlineStr">
        <is>
          <t xml:space="preserve">Sales Costs @ 1.5%</t>
        </is>
      </c>
      <c r="H18" s="595" t="n"/>
      <c r="I18" s="3346" t="e">
        <f t="array" ref="I18">I16*'Assumptions'!D135</f>
      </c>
      <c r="J18" s="26" t="n"/>
      <c r="K18" s="3351" t="e">
        <f t="array" ref="K18">HLOOKUP($Q$17,C22:$M$46,18,0)</f>
      </c>
      <c r="L18" s="3351" t="n">
        <f t="array" ref="L18">HLOOKUP($Q$17,D22:$M$46,25,0)</f>
        <v>0</v>
      </c>
      <c r="M18" s="3351" t="e">
        <f t="array" ref="M18">C47</f>
      </c>
      <c r="N18" s="26" t="n"/>
      <c r="O18" s="405" t="n"/>
      <c r="P18" s="160" t="inlineStr">
        <is>
          <t xml:space="preserve">Y2</t>
        </is>
      </c>
      <c r="Q18" s="597" t="n">
        <f t="array" ref="Q18">Q17+3</f>
        <v>7</v>
      </c>
      <c r="R18" s="99" t="n"/>
      <c r="S18" s="99" t="n"/>
      <c r="T18" s="99" t="n"/>
      <c r="U18" s="99" t="n"/>
      <c r="V18" s="99" t="n"/>
      <c r="W18" s="99" t="n"/>
    </row>
    <row r="19" s="3154" customFormat="1" ht="15.75" customHeight="1">
      <c r="A19" s="557" t="inlineStr">
        <is>
          <t xml:space="preserve">Owner Direct &amp; FFE/OSE</t>
        </is>
      </c>
      <c r="B19" s="18" t="n"/>
      <c r="C19" s="3305" t="n">
        <f>(250000+110000+75000)*('Assumptions'!J7/100)+'FFE-FF&amp;E'!J147</f>
        <v>706720.199999999953434</v>
      </c>
      <c r="D19" s="3305" t="n">
        <f t="array" ref="D19">C19/'Assumptions'!$J$8</f>
        <v>41.488409173096883</v>
      </c>
      <c r="E19" s="3305" t="n">
        <f t="array" ref="E19">C19/'Assumptions'!$J$7</f>
        <v>7067.201999999999316</v>
      </c>
      <c r="F19" s="578" t="n"/>
      <c r="G19" s="160" t="inlineStr">
        <is>
          <t xml:space="preserve">Net Disposition Value</t>
        </is>
      </c>
      <c r="H19" s="26" t="n"/>
      <c r="I19" s="3346" t="e">
        <f t="array" ref="I19">I16-I18</f>
      </c>
      <c r="J19" s="26" t="n"/>
      <c r="K19" s="26" t="n"/>
      <c r="L19" s="26" t="n"/>
      <c r="M19" s="26" t="n"/>
      <c r="N19" s="26" t="n"/>
      <c r="O19" s="593" t="inlineStr">
        <is>
          <t xml:space="preserve">← linked: FFE-FF&amp;E!J147 + Owner OS&amp;E; avoid duplicate signage/FF&amp;E contingency</t>
        </is>
      </c>
      <c r="P19" s="26" t="n"/>
      <c r="Q19" s="27" t="n"/>
      <c r="R19" s="99" t="n"/>
      <c r="S19" s="99" t="n"/>
      <c r="T19" s="99" t="n"/>
      <c r="U19" s="99" t="n"/>
      <c r="V19" s="99" t="n"/>
      <c r="W19" s="99" t="n"/>
    </row>
    <row r="20" s="3154" customFormat="1" ht="15.75" customHeight="1">
      <c r="A20" s="571" t="inlineStr">
        <is>
          <t>Total Project Uses (excl. Land)</t>
        </is>
      </c>
      <c r="B20" s="598" t="n"/>
      <c r="C20" s="3337" t="n">
        <f>SUM(C14:C19)</f>
        <v>5828136.3</v>
      </c>
      <c r="D20" s="3338" t="n">
        <f>C20/'Assumptions'!$J$8</f>
        <v>342.1440388020307</v>
      </c>
      <c r="E20" s="3339" t="n">
        <f t="array" ref="E20">C20/$I$7</f>
        <v>58281.363</v>
      </c>
      <c r="F20" s="578" t="n"/>
      <c r="G20" s="160" t="inlineStr">
        <is>
          <t xml:space="preserve">Net Proceeds at Sale [B]</t>
        </is>
      </c>
      <c r="H20" s="405" t="n"/>
      <c r="I20" s="3350" t="e">
        <f t="array" ref="I20">HLOOKUP(YEAR(H13),'Annual CF'!$B$6:$L$27,22,0)</f>
      </c>
      <c r="J20" s="26" t="n"/>
      <c r="K20" s="26" t="n"/>
      <c r="L20" s="26" t="n"/>
      <c r="M20" s="26" t="n"/>
      <c r="N20" s="26" t="n"/>
      <c r="O20" s="405" t="n"/>
      <c r="P20" s="26" t="n"/>
      <c r="Q20" s="27" t="n"/>
      <c r="R20" s="99" t="n"/>
      <c r="S20" s="99" t="n"/>
      <c r="T20" s="99" t="n"/>
      <c r="U20" s="99" t="n"/>
      <c r="V20" s="99" t="n"/>
      <c r="W20" s="99" t="n"/>
    </row>
    <row r="21" s="3154" customFormat="1" ht="15.75" customHeight="1">
      <c r="A21" s="599" t="n"/>
      <c r="B21" s="548" t="n"/>
      <c r="C21" s="3329" t="n"/>
      <c r="D21" s="26" t="n"/>
      <c r="E21" s="600" t="n"/>
      <c r="F21" s="3352" t="n"/>
      <c r="G21" s="3352" t="n"/>
      <c r="H21" s="3352" t="n"/>
      <c r="I21" s="600" t="n"/>
      <c r="J21" s="600" t="n"/>
      <c r="K21" s="600" t="n"/>
      <c r="L21" s="600" t="n"/>
      <c r="M21" s="600" t="n"/>
      <c r="N21" s="26" t="n"/>
      <c r="O21" s="405" t="n"/>
      <c r="P21" s="26" t="n"/>
      <c r="Q21" s="27" t="n"/>
      <c r="R21" s="99" t="n"/>
      <c r="S21" s="99" t="n"/>
      <c r="T21" s="99" t="n"/>
      <c r="U21" s="99" t="n"/>
      <c r="V21" s="99" t="n"/>
      <c r="W21" s="99" t="n"/>
    </row>
    <row r="22" s="3154" customFormat="1" ht="15.75" customHeight="1">
      <c r="A22" s="602" t="inlineStr">
        <is>
          <t xml:space="preserve">STABILIZED PRO FORMA</t>
        </is>
      </c>
      <c r="C22" s="3353" t="n">
        <v>0</v>
      </c>
      <c r="D22" s="3353" t="n">
        <f t="array" ref="D22">C22+1</f>
        <v>1</v>
      </c>
      <c r="E22" s="3353" t="n">
        <f t="array" ref="E22">D22+1</f>
        <v>2</v>
      </c>
      <c r="F22" s="3353" t="n">
        <f t="array" ref="F22">E22+1</f>
        <v>3</v>
      </c>
      <c r="G22" s="3353" t="n">
        <f t="array" ref="G22">F22+1</f>
        <v>4</v>
      </c>
      <c r="H22" s="3353" t="n">
        <f t="array" ref="H22">G22+1</f>
        <v>5</v>
      </c>
      <c r="I22" s="3353" t="n">
        <f t="array" ref="I22">H22+1</f>
        <v>6</v>
      </c>
      <c r="J22" s="3353" t="n">
        <f t="array" ref="J22">I22+1</f>
        <v>7</v>
      </c>
      <c r="K22" s="3353" t="n">
        <f t="array" ref="K22">J22+1</f>
        <v>8</v>
      </c>
      <c r="L22" s="3353" t="n">
        <f t="array" ref="L22">K22+1</f>
        <v>9</v>
      </c>
      <c r="M22" s="3353" t="n">
        <f t="array" ref="M22">L22+1</f>
        <v>10</v>
      </c>
      <c r="N22" s="26" t="n"/>
      <c r="O22" s="405" t="n"/>
      <c r="P22" s="26" t="n"/>
      <c r="Q22" s="27" t="n"/>
      <c r="R22" s="99" t="n"/>
      <c r="S22" s="99" t="n"/>
      <c r="T22" s="99" t="n"/>
      <c r="U22" s="99" t="n"/>
      <c r="V22" s="99" t="n"/>
      <c r="W22" s="99" t="n"/>
    </row>
    <row r="23" s="3154" customFormat="1" ht="15.75" customHeight="1">
      <c r="A23" s="3354" t="n"/>
      <c r="C23" s="556" t="n"/>
      <c r="D23" s="556" t="n">
        <v>0</v>
      </c>
      <c r="E23" s="556" t="n">
        <v>1</v>
      </c>
      <c r="F23" s="556" t="n">
        <v>2</v>
      </c>
      <c r="G23" s="556" t="n">
        <v>3</v>
      </c>
      <c r="H23" s="556" t="n">
        <v>4</v>
      </c>
      <c r="I23" s="556" t="n">
        <v>5</v>
      </c>
      <c r="J23" s="556" t="n">
        <v>5</v>
      </c>
      <c r="K23" s="556" t="n">
        <v>5</v>
      </c>
      <c r="L23" s="556" t="n">
        <v>5</v>
      </c>
      <c r="M23" s="556" t="n">
        <v>5</v>
      </c>
      <c r="N23" s="26" t="n"/>
      <c r="O23" s="405" t="n"/>
      <c r="P23" s="26" t="n"/>
      <c r="Q23" s="27" t="n"/>
      <c r="R23" s="99" t="n"/>
      <c r="S23" s="99" t="n"/>
      <c r="T23" s="99" t="n"/>
      <c r="U23" s="99" t="n"/>
      <c r="V23" s="99" t="n"/>
      <c r="W23" s="99" t="n"/>
    </row>
    <row r="24" s="3154" customFormat="1" ht="15.75" customHeight="1">
      <c r="A24" s="3354" t="n"/>
      <c r="C24" s="556" t="n">
        <f t="array" ref="C24">YEAR('S&amp;U-Timeline'!D22)</f>
        <v>2026</v>
      </c>
      <c r="D24" s="556" t="n">
        <f t="array" ref="D24">C24+1</f>
        <v>2027</v>
      </c>
      <c r="E24" s="556" t="n">
        <f t="array" ref="E24">D24+1</f>
        <v>2028</v>
      </c>
      <c r="F24" s="556" t="n">
        <f t="array" ref="F24">E24+1</f>
        <v>2029</v>
      </c>
      <c r="G24" s="556" t="n">
        <f t="array" ref="G24">F24+1</f>
        <v>2030</v>
      </c>
      <c r="H24" s="556" t="n">
        <f t="array" ref="H24">G24+1</f>
        <v>2031</v>
      </c>
      <c r="I24" s="556" t="n">
        <f t="array" ref="I24">H24+1</f>
        <v>2032</v>
      </c>
      <c r="J24" s="556" t="n">
        <f t="array" ref="J24">I24+1</f>
        <v>2033</v>
      </c>
      <c r="K24" s="556" t="n">
        <f t="array" ref="K24">J24+1</f>
        <v>2034</v>
      </c>
      <c r="L24" s="556" t="n">
        <f t="array" ref="L24">K24+1</f>
        <v>2035</v>
      </c>
      <c r="M24" s="556" t="n">
        <f t="array" ref="M24">L24+1</f>
        <v>2036</v>
      </c>
      <c r="N24" s="26" t="n"/>
      <c r="O24" s="405" t="n"/>
      <c r="P24" s="160" t="inlineStr">
        <is>
          <t xml:space="preserve">ROW</t>
        </is>
      </c>
      <c r="Q24" s="27" t="n"/>
      <c r="R24" s="99" t="n"/>
      <c r="S24" s="99" t="n"/>
      <c r="T24" s="99" t="n"/>
      <c r="U24" s="99" t="n"/>
      <c r="V24" s="99" t="n"/>
      <c r="W24" s="99" t="n"/>
    </row>
    <row r="25" s="3154" customFormat="1" ht="15.75" customHeight="1">
      <c r="A25" s="557" t="inlineStr">
        <is>
          <t xml:space="preserve">Occupancy Rate</t>
        </is>
      </c>
      <c r="B25" s="18" t="n"/>
      <c r="C25" s="424" t="n"/>
      <c r="D25" s="3355" t="e">
        <f t="array" ref="D25">IF(AND(D$24&gt;=$R$25,D$24&lt;=$R$26),HLOOKUP(D$24,'Hotel Operating'!$A$6:$G$59,$P25,0),"")</f>
      </c>
      <c r="E25" s="3355" t="e">
        <f t="array" ref="E25">IF(AND(E$24&gt;=$R$25,E$24&lt;=$R$26),HLOOKUP(E$24,'Hotel Operating'!$A$6:$L$59,$P25,0),"")</f>
      </c>
      <c r="F25" s="3355" t="e">
        <f t="array" ref="F25">IF(AND(F$24&gt;=$R$25,F$24&lt;=$R$26),HLOOKUP(F$24,'Hotel Operating'!$A$6:$L$59,$P25,0),"")</f>
      </c>
      <c r="G25" s="3355" t="e">
        <f t="array" ref="G25">IF(AND(G$24&gt;=$R$25,G$24&lt;=$R$26),HLOOKUP(G$24,'Hotel Operating'!$A$6:$L$59,$P25,0),"")</f>
      </c>
      <c r="H25" s="3355" t="e">
        <f t="array" ref="H25">IF(AND(H$24&gt;=$R$25,H$24&lt;=$R$26),HLOOKUP(H$24,'Hotel Operating'!$A$6:$L$59,$P25,0),"")</f>
      </c>
      <c r="I25" s="3355" t="e">
        <f t="array" ref="I25">IF(AND(I$24&gt;=$R$25,I$24&lt;=$R$26),HLOOKUP(I$24,'Hotel Operating'!$A$6:$L$59,$P25,0),"")</f>
      </c>
      <c r="J25" s="3355" t="e">
        <f t="array" ref="J25">IF(AND(J$24&gt;=$R$25,J$24&lt;=$R$26),HLOOKUP(J$24,'Hotel Operating'!$A$6:$L$59,$P25,0),"")</f>
      </c>
      <c r="K25" s="3355" t="e">
        <f t="array" ref="K25">IF(AND(K$24&gt;=$R$25,K$24&lt;=$R$26),HLOOKUP(K$24,'Hotel Operating'!$A$6:$L$59,$P25,0),"")</f>
      </c>
      <c r="L25" s="3355" t="e">
        <f t="array" ref="L25">IF(AND(L$24&gt;=$R$25,L$24&lt;=$R$26),HLOOKUP(L$24,'Hotel Operating'!$A$6:$L$59,$P25,0),"")</f>
      </c>
      <c r="M25" s="3355" t="e">
        <f t="array" ref="M25">IF(AND(M$24&gt;=$R$25,M$24&lt;=$R$26),HLOOKUP(M$24,'Hotel Operating'!$A$6:$L$59,$P25,0),"")</f>
      </c>
      <c r="N25" s="26" t="n"/>
      <c r="O25" s="405" t="n"/>
      <c r="P25" s="606" t="n">
        <v>6</v>
      </c>
      <c r="Q25" s="607" t="inlineStr">
        <is>
          <t xml:space="preserve">START</t>
        </is>
      </c>
      <c r="R25" s="608" t="e">
        <f t="array" ref="R25">YEAR('S&amp;U-Timeline'!D27)</f>
      </c>
      <c r="S25" s="99" t="n"/>
      <c r="T25" s="99" t="n"/>
      <c r="U25" s="99" t="n"/>
      <c r="V25" s="99" t="n"/>
      <c r="W25" s="609" t="n"/>
    </row>
    <row r="26" s="3154" customFormat="1" ht="15.75" customHeight="1">
      <c r="A26" s="557" t="inlineStr">
        <is>
          <t xml:space="preserve">Average Daily Rate (ADR)</t>
        </is>
      </c>
      <c r="B26" s="18" t="n"/>
      <c r="C26" s="424" t="n"/>
      <c r="D26" s="3335" t="e">
        <f t="array" ref="D26">IF(AND(D$24&gt;=$R$25,D$24&lt;=$R$26),HLOOKUP(D$24,'Hotel Operating'!$A$6:$G$59,$P26,0),"")</f>
      </c>
      <c r="E26" s="3356" t="e">
        <f t="array" ref="E26">IF(AND(E$24&gt;=$R$25,E$24&lt;=$R$26),HLOOKUP(E$24,'Hotel Operating'!$A$6:$L$59,$P26,0),"")</f>
      </c>
      <c r="F26" s="3335" t="e">
        <f t="array" ref="F26">IF(AND(F$24&gt;=$R$25,F$24&lt;=$R$26),HLOOKUP(F$24,'Hotel Operating'!$A$6:$L$59,$P26,0),"")</f>
      </c>
      <c r="G26" s="3356" t="e">
        <f t="array" ref="G26">IF(AND(G$24&gt;=$R$25,G$24&lt;=$R$26),HLOOKUP(G$24,'Hotel Operating'!$A$6:$L$59,$P26,0),"")</f>
      </c>
      <c r="H26" s="3356" t="e">
        <f t="array" ref="H26">IF(AND(H$24&gt;=$R$25,H$24&lt;=$R$26),HLOOKUP(H$24,'Hotel Operating'!$A$6:$L$59,$P26,0),"")</f>
      </c>
      <c r="I26" s="3356" t="e">
        <f t="array" ref="I26">IF(AND(I$24&gt;=$R$25,I$24&lt;=$R$26),HLOOKUP(I$24,'Hotel Operating'!$A$6:$L$59,$P26,0),"")</f>
      </c>
      <c r="J26" s="3356" t="e">
        <f t="array" ref="J26">IF(AND(J$24&gt;=$R$25,J$24&lt;=$R$26),HLOOKUP(J$24,'Hotel Operating'!$A$6:$L$59,$P26,0),"")</f>
      </c>
      <c r="K26" s="3356" t="e">
        <f t="array" ref="K26">IF(AND(K$24&gt;=$R$25,K$24&lt;=$R$26),HLOOKUP(K$24,'Hotel Operating'!$A$6:$L$59,$P26,0),"")</f>
      </c>
      <c r="L26" s="3356" t="e">
        <f t="array" ref="L26">IF(AND(L$24&gt;=$R$25,L$24&lt;=$R$26),HLOOKUP(L$24,'Hotel Operating'!$A$6:$L$59,$P26,0),"")</f>
      </c>
      <c r="M26" s="3356" t="e">
        <f t="array" ref="M26">IF(AND(M$24&gt;=$R$25,M$24&lt;=$R$26),HLOOKUP(M$24,'Hotel Operating'!$A$6:$L$59,$P26,0),"")</f>
      </c>
      <c r="N26" s="26" t="n"/>
      <c r="O26" s="405" t="n"/>
      <c r="P26" s="606" t="n">
        <v>7</v>
      </c>
      <c r="Q26" s="607" t="inlineStr">
        <is>
          <t xml:space="preserve">END</t>
        </is>
      </c>
      <c r="R26" s="608" t="n">
        <f t="array" ref="R26">YEAR('Assumptions'!D23)</f>
        <v>2036</v>
      </c>
      <c r="S26" s="99" t="n"/>
      <c r="T26" s="99" t="n"/>
      <c r="U26" s="99" t="n"/>
      <c r="V26" s="99" t="n"/>
      <c r="W26" s="99" t="n"/>
    </row>
    <row r="27" s="3154" customFormat="1" ht="15.75" customHeight="1">
      <c r="A27" s="557" t="inlineStr">
        <is>
          <t xml:space="preserve">RevPAR</t>
        </is>
      </c>
      <c r="B27" s="18" t="n"/>
      <c r="C27" s="424" t="n"/>
      <c r="D27" s="3335" t="e">
        <f t="array" ref="D27">IF(AND(D$24&gt;=$R$25,D$24&lt;=$R$26),HLOOKUP(D$24,'Hotel Operating'!$A$6:$G$59,$P27,0),"")</f>
      </c>
      <c r="E27" s="3356" t="e">
        <f t="array" ref="E27">IF(AND(E$24&gt;=$R$25,E$24&lt;=$R$26),HLOOKUP(E$24,'Hotel Operating'!$A$6:$L$59,$P27,0),"")</f>
      </c>
      <c r="F27" s="3335" t="e">
        <f t="array" ref="F27">IF(AND(F$24&gt;=$R$25,F$24&lt;=$R$26),HLOOKUP(F$24,'Hotel Operating'!$A$6:$L$59,$P27,0),"")</f>
      </c>
      <c r="G27" s="3356" t="e">
        <f t="array" ref="G27">IF(AND(G$24&gt;=$R$25,G$24&lt;=$R$26),HLOOKUP(G$24,'Hotel Operating'!$A$6:$L$59,$P27,0),"")</f>
      </c>
      <c r="H27" s="3356" t="e">
        <f t="array" ref="H27">IF(AND(H$24&gt;=$R$25,H$24&lt;=$R$26),HLOOKUP(H$24,'Hotel Operating'!$A$6:$L$59,$P27,0),"")</f>
      </c>
      <c r="I27" s="3356" t="e">
        <f t="array" ref="I27">IF(AND(I$24&gt;=$R$25,I$24&lt;=$R$26),HLOOKUP(I$24,'Hotel Operating'!$A$6:$L$59,$P27,0),"")</f>
      </c>
      <c r="J27" s="3356" t="e">
        <f t="array" ref="J27">IF(AND(J$24&gt;=$R$25,J$24&lt;=$R$26),HLOOKUP(J$24,'Hotel Operating'!$A$6:$L$59,$P27,0),"")</f>
      </c>
      <c r="K27" s="3356" t="e">
        <f t="array" ref="K27">IF(AND(K$24&gt;=$R$25,K$24&lt;=$R$26),HLOOKUP(K$24,'Hotel Operating'!$A$6:$L$59,$P27,0),"")</f>
      </c>
      <c r="L27" s="3356" t="e">
        <f t="array" ref="L27">IF(AND(L$24&gt;=$R$25,L$24&lt;=$R$26),HLOOKUP(L$24,'Hotel Operating'!$A$6:$L$59,$P27,0),"")</f>
      </c>
      <c r="M27" s="3356" t="e">
        <f t="array" ref="M27">IF(AND(M$24&gt;=$R$25,M$24&lt;=$R$26),HLOOKUP(M$24,'Hotel Operating'!$A$6:$L$59,$P27,0),"")</f>
      </c>
      <c r="N27" s="26" t="n"/>
      <c r="O27" s="405" t="n"/>
      <c r="P27" s="606" t="n">
        <v>8</v>
      </c>
      <c r="Q27" s="27" t="n"/>
      <c r="R27" s="99" t="n"/>
      <c r="S27" s="99" t="n"/>
      <c r="T27" s="99" t="n"/>
      <c r="U27" s="99" t="n"/>
      <c r="V27" s="99" t="n"/>
      <c r="W27" s="3347" t="n"/>
    </row>
    <row r="28" s="3154" customFormat="1" ht="15.75" customHeight="1">
      <c r="A28" s="557" t="inlineStr">
        <is>
          <t xml:space="preserve">% of Yr Operating</t>
        </is>
      </c>
      <c r="B28" s="611" t="n"/>
      <c r="C28" s="582" t="e">
        <f t="array" ref="C28">IF('S&amp;U-Timeline'!AB12=0,"",'S&amp;U-Timeline'!AB12)</f>
      </c>
      <c r="D28" s="612" t="e">
        <f t="array" ref="D28">IF('S&amp;U-Timeline'!AC12=0,"",'S&amp;U-Timeline'!AC12)</f>
      </c>
      <c r="E28" s="612" t="e">
        <f t="array" ref="E28">IF('S&amp;U-Timeline'!AD12=0,"",'S&amp;U-Timeline'!AD12)</f>
      </c>
      <c r="F28" s="612" t="e">
        <f t="array" ref="F28">IF('S&amp;U-Timeline'!AE12=0,"",'S&amp;U-Timeline'!AE12)</f>
      </c>
      <c r="G28" s="612" t="e">
        <f t="array" ref="G28">IF('S&amp;U-Timeline'!AF12=0,"",'S&amp;U-Timeline'!AF12)</f>
      </c>
      <c r="H28" s="612" t="e">
        <f t="array" ref="H28">IF('S&amp;U-Timeline'!AG12=0,"",'S&amp;U-Timeline'!AG12)</f>
      </c>
      <c r="I28" s="612" t="e">
        <f t="array" ref="I28">IF('S&amp;U-Timeline'!AH12=0,"",'S&amp;U-Timeline'!AH12)</f>
      </c>
      <c r="J28" s="612" t="e">
        <f t="array" ref="J28">IF('S&amp;U-Timeline'!AI12=0,"",'S&amp;U-Timeline'!AI12)</f>
      </c>
      <c r="K28" s="612" t="e">
        <f t="array" ref="K28">IF('S&amp;U-Timeline'!AJ12=0,"",'S&amp;U-Timeline'!AJ12)</f>
      </c>
      <c r="L28" s="612" t="e">
        <f t="array" ref="L28">IF('S&amp;U-Timeline'!AK12=0,"",'S&amp;U-Timeline'!AK12)</f>
      </c>
      <c r="M28" s="612" t="e">
        <f t="array" ref="M28">IF('S&amp;U-Timeline'!AL12=0,"",'S&amp;U-Timeline'!AL12)</f>
      </c>
      <c r="N28" s="26" t="n"/>
      <c r="O28" s="253" t="n"/>
      <c r="P28" s="253" t="n"/>
      <c r="Q28" s="613" t="n"/>
      <c r="R28" s="614" t="n"/>
      <c r="S28" s="614" t="n"/>
      <c r="T28" s="614" t="n"/>
      <c r="U28" s="614" t="n"/>
      <c r="V28" s="614" t="n"/>
      <c r="W28" s="615" t="n"/>
    </row>
    <row r="29" s="3154" customFormat="1" ht="15.75" customHeight="1">
      <c r="A29" s="557" t="inlineStr">
        <is>
          <t xml:space="preserve">Total Revenue</t>
        </is>
      </c>
      <c r="B29" s="18" t="n"/>
      <c r="C29" s="3357" t="e">
        <f t="array" ref="C29">IF(AND(C$24&gt;=$R$25,C$24&lt;=$R$26),HLOOKUP(C$24,'Hotel Operating'!$A$6:$G$59,$P29,0)*C$28,0)</f>
      </c>
      <c r="D29" s="3357" t="e">
        <f t="array" ref="D29">'Hotel Operating'!C25</f>
      </c>
      <c r="E29" s="3357" t="e">
        <f t="array" ref="E29">'Hotel Operating'!D25</f>
      </c>
      <c r="F29" s="3357" t="e">
        <f t="array" ref="F29">'Hotel Operating'!E25</f>
      </c>
      <c r="G29" s="3357" t="e">
        <f t="array" ref="G29">'Hotel Operating'!F25</f>
      </c>
      <c r="H29" s="3357" t="e">
        <f t="array" ref="H29">'Hotel Operating'!G25</f>
      </c>
      <c r="I29" s="3357" t="e">
        <f t="array" ref="I29">'Hotel Operating'!H25</f>
      </c>
      <c r="J29" s="3357" t="e">
        <f t="array" ref="J29">'Hotel Operating'!I25</f>
      </c>
      <c r="K29" s="3357" t="e">
        <f t="array" ref="K29">'Hotel Operating'!J25</f>
      </c>
      <c r="L29" s="3357" t="e">
        <f t="array" ref="L29">'Hotel Operating'!K25</f>
      </c>
      <c r="M29" s="3357" t="e">
        <f t="array" ref="M29">'Hotel Operating'!L25</f>
      </c>
      <c r="N29" s="26" t="n"/>
      <c r="O29" s="405" t="n"/>
      <c r="P29" s="606" t="n">
        <f t="array" ref="P29">'Hotel Operating'!O25</f>
        <v>20</v>
      </c>
      <c r="Q29" s="27" t="n"/>
      <c r="R29" s="99" t="n"/>
      <c r="S29" s="99" t="n"/>
      <c r="T29" s="99" t="n"/>
      <c r="U29" s="99" t="n"/>
      <c r="V29" s="99" t="n"/>
      <c r="W29" s="3348" t="n"/>
    </row>
    <row r="30" s="3154" customFormat="1" ht="15.75" customHeight="1">
      <c r="A30" s="557" t="inlineStr">
        <is>
          <t xml:space="preserve">Departmental Expenses</t>
        </is>
      </c>
      <c r="B30" s="18" t="n"/>
      <c r="C30" s="3357" t="e">
        <f t="array" ref="C30">IF(AND(C$24&gt;=$R$25,C$24&lt;=$R$26),HLOOKUP(C$24,'Hotel Operating'!$A$6:$G$59,$P30,0)*C$28,0)</f>
      </c>
      <c r="D30" s="3357" t="e">
        <f t="array" ref="D30">'Hotel Operating'!C32</f>
      </c>
      <c r="E30" s="3357" t="e">
        <f t="array" ref="E30">'Hotel Operating'!D32</f>
      </c>
      <c r="F30" s="3357" t="e">
        <f t="array" ref="F30">'Hotel Operating'!E32</f>
      </c>
      <c r="G30" s="3357" t="e">
        <f t="array" ref="G30">'Hotel Operating'!F32</f>
      </c>
      <c r="H30" s="3357" t="e">
        <f t="array" ref="H30">'Hotel Operating'!G32</f>
      </c>
      <c r="I30" s="3357" t="e">
        <f t="array" ref="I30">'Hotel Operating'!H32</f>
      </c>
      <c r="J30" s="3357" t="e">
        <f t="array" ref="J30">'Hotel Operating'!I32</f>
      </c>
      <c r="K30" s="3357" t="e">
        <f t="array" ref="K30">'Hotel Operating'!J32</f>
      </c>
      <c r="L30" s="3357" t="e">
        <f t="array" ref="L30">'Hotel Operating'!K32</f>
      </c>
      <c r="M30" s="3357" t="e">
        <f t="array" ref="M30">'Hotel Operating'!L32</f>
      </c>
      <c r="N30" s="26" t="n"/>
      <c r="O30" s="405" t="n"/>
      <c r="P30" s="606" t="n">
        <f t="array" ref="P30">'Hotel Operating'!O32</f>
        <v>27</v>
      </c>
      <c r="Q30" s="27" t="n"/>
      <c r="R30" s="99" t="n"/>
      <c r="S30" s="99" t="n"/>
      <c r="T30" s="99" t="n"/>
      <c r="U30" s="99" t="n"/>
      <c r="V30" s="99" t="n"/>
      <c r="W30" s="99" t="n"/>
    </row>
    <row r="31" s="3154" customFormat="1" ht="15.75" customHeight="1">
      <c r="A31" s="557" t="inlineStr">
        <is>
          <t xml:space="preserve">Operating Expenses</t>
        </is>
      </c>
      <c r="B31" s="18" t="n"/>
      <c r="C31" s="3357" t="e">
        <f t="array" ref="C31">IF(AND(C$24&gt;=$R$25,C$24&lt;=$R$26),(HLOOKUP(C$24,'Hotel Operating'!$A$6:$L$59,$P31,0)*C$28+HLOOKUP(C$24,'Hotel Operating'!$A$6:$L$59,$Q31,0)*C$28),0)</f>
      </c>
      <c r="D31" s="3357" t="e">
        <f t="array" ref="D31">'Hotel Operating'!C43</f>
      </c>
      <c r="E31" s="3357" t="e">
        <f t="array" ref="E31">'Hotel Operating'!D43</f>
      </c>
      <c r="F31" s="3357" t="e">
        <f t="array" ref="F31">'Hotel Operating'!E43</f>
      </c>
      <c r="G31" s="3357" t="e">
        <f t="array" ref="G31">'Hotel Operating'!F43</f>
      </c>
      <c r="H31" s="3357" t="e">
        <f t="array" ref="H31">'Hotel Operating'!G43</f>
      </c>
      <c r="I31" s="3357" t="e">
        <f t="array" ref="I31">'Hotel Operating'!H43</f>
      </c>
      <c r="J31" s="3357" t="e">
        <f t="array" ref="J31">'Hotel Operating'!I43</f>
      </c>
      <c r="K31" s="3357" t="e">
        <f t="array" ref="K31">'Hotel Operating'!J43</f>
      </c>
      <c r="L31" s="3357" t="e">
        <f t="array" ref="L31">'Hotel Operating'!K43</f>
      </c>
      <c r="M31" s="3357" t="e">
        <f t="array" ref="M31">'Hotel Operating'!L43</f>
      </c>
      <c r="N31" s="26" t="n"/>
      <c r="O31" s="405" t="n"/>
      <c r="P31" s="606" t="n">
        <f t="array" ref="P31">'Hotel Operating'!O43</f>
        <v>38</v>
      </c>
      <c r="Q31" s="597" t="n">
        <f t="array" ref="Q31">'Hotel Operating'!O48</f>
        <v>43</v>
      </c>
      <c r="R31" s="99" t="n"/>
      <c r="S31" s="99" t="n"/>
      <c r="T31" s="99" t="n"/>
      <c r="U31" s="99" t="n"/>
      <c r="V31" s="99" t="n"/>
      <c r="W31" s="99" t="n"/>
    </row>
    <row r="32" s="3154" customFormat="1" ht="15.75" customHeight="1">
      <c r="A32" s="557" t="inlineStr">
        <is>
          <t xml:space="preserve">Fixed Expenses</t>
        </is>
      </c>
      <c r="B32" s="18" t="n"/>
      <c r="C32" s="3357" t="e">
        <f t="array" ref="C32">IF(AND(C$24&gt;=$R$25,C$24&lt;=$R$26),HLOOKUP(C$24,'Hotel Operating'!$A$6:$G$63,$P32,0)*C$28,0)</f>
      </c>
      <c r="D32" s="3357" t="e">
        <f t="array" ref="D32">'Hotel Operating'!C57</f>
      </c>
      <c r="E32" s="3357" t="e">
        <f t="array" ref="E32">'Hotel Operating'!D57</f>
      </c>
      <c r="F32" s="3357" t="e">
        <f t="array" ref="F32">'Hotel Operating'!E57</f>
      </c>
      <c r="G32" s="3357" t="e">
        <f t="array" ref="G32">'Hotel Operating'!F57</f>
      </c>
      <c r="H32" s="3357" t="e">
        <f t="array" ref="H32">'Hotel Operating'!G57</f>
      </c>
      <c r="I32" s="3357" t="e">
        <f t="array" ref="I32">'Hotel Operating'!H57</f>
      </c>
      <c r="J32" s="3357" t="e">
        <f t="array" ref="J32">'Hotel Operating'!I57</f>
      </c>
      <c r="K32" s="3357" t="e">
        <f t="array" ref="K32">'Hotel Operating'!J57</f>
      </c>
      <c r="L32" s="3357" t="e">
        <f t="array" ref="L32">'Hotel Operating'!K57</f>
      </c>
      <c r="M32" s="3357" t="e">
        <f t="array" ref="M32">'Hotel Operating'!L57</f>
      </c>
      <c r="N32" s="26" t="n"/>
      <c r="O32" s="405" t="n"/>
      <c r="P32" s="606" t="n">
        <f t="array" ref="P32">'Hotel Operating'!O57</f>
        <v>52</v>
      </c>
      <c r="Q32" s="27" t="n"/>
      <c r="R32" s="99" t="n"/>
      <c r="S32" s="99" t="n"/>
      <c r="T32" s="99" t="n"/>
      <c r="U32" s="99" t="n"/>
      <c r="V32" s="99" t="n"/>
      <c r="W32" s="99" t="n"/>
    </row>
    <row r="33" s="3154" customFormat="1" ht="15.75" customHeight="1">
      <c r="A33" s="557" t="inlineStr">
        <is>
          <t xml:space="preserve">Total Expenses</t>
        </is>
      </c>
      <c r="B33" s="18" t="n"/>
      <c r="C33" s="3357" t="e">
        <f t="array" ref="C33">SUM(C30:C32)</f>
      </c>
      <c r="D33" s="3357" t="e">
        <f t="array" ref="D33">D30+D31+D32</f>
      </c>
      <c r="E33" s="3357" t="e">
        <f t="array" ref="E33">E30+E31+E32</f>
      </c>
      <c r="F33" s="3357" t="e">
        <f t="array" ref="F33">F30+F31+F32</f>
      </c>
      <c r="G33" s="3357" t="e">
        <f t="array" ref="G33">G30+G31+G32</f>
      </c>
      <c r="H33" s="3357" t="e">
        <f t="array" ref="H33">H30+H31+H32</f>
      </c>
      <c r="I33" s="3357" t="e">
        <f t="array" ref="I33">I30+I31+I32</f>
      </c>
      <c r="J33" s="3357" t="e">
        <f t="array" ref="J33">J30+J31+J32</f>
      </c>
      <c r="K33" s="3357" t="e">
        <f t="array" ref="K33">K30+K31+K32</f>
      </c>
      <c r="L33" s="3357" t="e">
        <f t="array" ref="L33">L30+L31+L32</f>
      </c>
      <c r="M33" s="3357" t="e">
        <f t="array" ref="M33">M30+M31+M32</f>
      </c>
      <c r="N33" s="26" t="n"/>
      <c r="O33" s="405" t="n"/>
      <c r="P33" s="26" t="n"/>
      <c r="Q33" s="27" t="n"/>
      <c r="R33" s="99" t="n"/>
      <c r="S33" s="99" t="n"/>
      <c r="T33" s="99" t="n"/>
      <c r="U33" s="99" t="n"/>
      <c r="V33" s="99" t="n"/>
      <c r="W33" s="99" t="n"/>
    </row>
    <row r="34" s="3154" customFormat="1" ht="15.75" customHeight="1">
      <c r="A34" s="571" t="inlineStr">
        <is>
          <t xml:space="preserve">Net Operating Income [C]</t>
        </is>
      </c>
      <c r="B34" s="617" t="n"/>
      <c r="C34" s="3358" t="e">
        <f t="array" ref="C34">C29-C33</f>
      </c>
      <c r="D34" s="3358" t="e">
        <f t="array" ref="D34">'Hotel Operating'!C59</f>
      </c>
      <c r="E34" s="3358" t="e">
        <f t="array" ref="E34">'Hotel Operating'!D59</f>
      </c>
      <c r="F34" s="3358" t="e">
        <f t="array" ref="F34">'Hotel Operating'!E59</f>
      </c>
      <c r="G34" s="3358" t="e">
        <f t="array" ref="G34">'Hotel Operating'!F59</f>
      </c>
      <c r="H34" s="3358" t="e">
        <f t="array" ref="H34">'Hotel Operating'!G59</f>
      </c>
      <c r="I34" s="3358" t="e">
        <f t="array" ref="I34">'Hotel Operating'!H59</f>
      </c>
      <c r="J34" s="3358" t="e">
        <f t="array" ref="J34">'Hotel Operating'!I59</f>
      </c>
      <c r="K34" s="3358" t="e">
        <f t="array" ref="K34">'Hotel Operating'!J59</f>
      </c>
      <c r="L34" s="3358" t="e">
        <f t="array" ref="L34">'Hotel Operating'!K59</f>
      </c>
      <c r="M34" s="3358" t="e">
        <f t="array" ref="M34">'Hotel Operating'!L59</f>
      </c>
      <c r="N34" s="26" t="n"/>
      <c r="O34" s="405" t="n"/>
      <c r="P34" s="26" t="n"/>
      <c r="Q34" s="27" t="n"/>
      <c r="R34" s="99" t="n"/>
      <c r="S34" s="99" t="n"/>
      <c r="T34" s="99" t="n"/>
      <c r="U34" s="99" t="n"/>
      <c r="V34" s="99" t="n"/>
      <c r="W34" s="99" t="n"/>
    </row>
    <row r="35" s="3154" customFormat="1" ht="15.75" customHeight="1">
      <c r="A35" s="557" t="inlineStr">
        <is>
          <t xml:space="preserve">Debt Service [A]</t>
        </is>
      </c>
      <c r="B35" s="18" t="n"/>
      <c r="C35" s="3357" t="n">
        <f t="array" ref="C35">IF(ISERROR(HLOOKUP(C$22,'Annual CF'!$B$5:$L$21,15,0)),0,-HLOOKUP(C$22,'Annual CF'!$B$5:$L$21,15,0))+IF(ISERROR(HLOOKUP(C$22,'Annual CF'!$B$5:$L$21,16,0)),0,-HLOOKUP(C$22,'Annual CF'!$B$5:$L$21,16,0))</f>
        <v>0</v>
      </c>
      <c r="D35" s="3357" t="n">
        <f t="array" ref="D35">IF(ISERROR(HLOOKUP(D$22,'Annual CF'!$B$5:$L$21,15,0)),0,-HLOOKUP(D$22,'Annual CF'!$B$5:$L$21,15,0))+IF(ISERROR(HLOOKUP(D$22,'Annual CF'!$B$5:$L$21,16,0)),0,-HLOOKUP(D$22,'Annual CF'!$B$5:$L$21,16,0))</f>
        <v>0</v>
      </c>
      <c r="E35" s="3357" t="n">
        <f t="array" ref="E35">IF(ISERROR(HLOOKUP(E$22,'Annual CF'!$B$5:$L$21,15,0)),0,-HLOOKUP(E$22,'Annual CF'!$B$5:$L$21,15,0))+IF(ISERROR(HLOOKUP(E$22,'Annual CF'!$B$5:$L$21,16,0)),0,-HLOOKUP(E$22,'Annual CF'!$B$5:$L$21,16,0))</f>
        <v>0</v>
      </c>
      <c r="F35" s="3357" t="n">
        <f t="array" ref="F35">IF(ISERROR(HLOOKUP(F$22,'Annual CF'!$B$5:$L$21,15,0)),0,-HLOOKUP(F$22,'Annual CF'!$B$5:$L$21,15,0))+IF(ISERROR(HLOOKUP(F$22,'Annual CF'!$B$5:$L$21,16,0)),0,-HLOOKUP(F$22,'Annual CF'!$B$5:$L$21,16,0))</f>
        <v>0</v>
      </c>
      <c r="G35" s="3357" t="n">
        <f t="array" ref="G35">IF(ISERROR(HLOOKUP(G$22,'Annual CF'!$B$5:$L$21,15,0)),0,-HLOOKUP(G$22,'Annual CF'!$B$5:$L$21,15,0))+IF(ISERROR(HLOOKUP(G$22,'Annual CF'!$B$5:$L$21,16,0)),0,-HLOOKUP(G$22,'Annual CF'!$B$5:$L$21,16,0))</f>
        <v>0</v>
      </c>
      <c r="H35" s="3357" t="n">
        <f t="array" ref="H35">IF(ISERROR(HLOOKUP(H$22,'Annual CF'!$B$5:$L$21,15,0)),0,-HLOOKUP(H$22,'Annual CF'!$B$5:$L$21,15,0))+IF(ISERROR(HLOOKUP(H$22,'Annual CF'!$B$5:$L$21,16,0)),0,-HLOOKUP(H$22,'Annual CF'!$B$5:$L$21,16,0))</f>
        <v>0</v>
      </c>
      <c r="I35" s="3357" t="n">
        <f t="array" ref="I35">IF(ISERROR(HLOOKUP(I$22,'Annual CF'!$B$5:$L$21,15,0)),0,-HLOOKUP(I$22,'Annual CF'!$B$5:$L$21,15,0))+IF(ISERROR(HLOOKUP(I$22,'Annual CF'!$B$5:$L$21,16,0)),0,-HLOOKUP(I$22,'Annual CF'!$B$5:$L$21,16,0))</f>
        <v>0</v>
      </c>
      <c r="J35" s="3357" t="n">
        <f t="array" ref="J35">IF(ISERROR(HLOOKUP(J$22,'Annual CF'!$B$5:$L$21,15,0)),0,-HLOOKUP(J$22,'Annual CF'!$B$5:$L$21,15,0))+IF(ISERROR(HLOOKUP(J$22,'Annual CF'!$B$5:$L$21,16,0)),0,-HLOOKUP(J$22,'Annual CF'!$B$5:$L$21,16,0))</f>
        <v>0</v>
      </c>
      <c r="K35" s="3357" t="n">
        <f t="array" ref="K35">IF(ISERROR(HLOOKUP(K$22,'Annual CF'!$B$5:$L$21,15,0)),0,-HLOOKUP(K$22,'Annual CF'!$B$5:$L$21,15,0))+IF(ISERROR(HLOOKUP(K$22,'Annual CF'!$B$5:$L$21,16,0)),0,-HLOOKUP(K$22,'Annual CF'!$B$5:$L$21,16,0))</f>
        <v>0</v>
      </c>
      <c r="L35" s="3357" t="n">
        <f t="array" ref="L35">IF(ISERROR(HLOOKUP(L$22,'Annual CF'!$B$5:$L$21,15,0)),0,-HLOOKUP(L$22,'Annual CF'!$B$5:$L$21,15,0))+IF(ISERROR(HLOOKUP(L$22,'Annual CF'!$B$5:$L$21,16,0)),0,-HLOOKUP(L$22,'Annual CF'!$B$5:$L$21,16,0))</f>
        <v>0</v>
      </c>
      <c r="M35" s="3357" t="n">
        <f t="array" ref="M35">IF(ISERROR(HLOOKUP(M$22,'Annual CF'!$B$5:$L$21,15,0)),0,-HLOOKUP(M$22,'Annual CF'!$B$5:$L$21,15,0))+IF(ISERROR(HLOOKUP(M$22,'Annual CF'!$B$5:$L$21,16,0)),0,-HLOOKUP(M$22,'Annual CF'!$B$5:$L$21,16,0))</f>
        <v>0</v>
      </c>
      <c r="N35" s="26" t="n"/>
      <c r="O35" s="405" t="n"/>
      <c r="P35" s="26" t="n"/>
      <c r="Q35" s="27" t="n"/>
      <c r="R35" s="99" t="n"/>
      <c r="S35" s="99" t="n"/>
      <c r="T35" s="99" t="n"/>
      <c r="U35" s="99" t="n"/>
      <c r="V35" s="99" t="n"/>
      <c r="W35" s="99" t="n"/>
    </row>
    <row r="36" s="3154" customFormat="1" ht="15.75" customHeight="1">
      <c r="A36" s="571" t="inlineStr">
        <is>
          <t xml:space="preserve">Cash Flow</t>
        </is>
      </c>
      <c r="B36" s="617" t="n"/>
      <c r="C36" s="3358" t="str">
        <f t="array" ref="C36">IF(C35="","",C34-C35)</f>
      </c>
      <c r="D36" s="3358" t="e">
        <f t="array" ref="D36">D34-D35</f>
      </c>
      <c r="E36" s="3358" t="e">
        <f t="array" ref="E36">E34-E35</f>
      </c>
      <c r="F36" s="3358" t="e">
        <f t="array" ref="F36">F34-F35</f>
      </c>
      <c r="G36" s="3358" t="e">
        <f t="array" ref="G36">G34-G35</f>
      </c>
      <c r="H36" s="3358" t="e">
        <f t="array" ref="H36">H34-H35</f>
      </c>
      <c r="I36" s="3358" t="e">
        <f t="array" ref="I36">I34-I35</f>
      </c>
      <c r="J36" s="3358" t="e">
        <f t="array" ref="J36">J34-J35</f>
      </c>
      <c r="K36" s="3358" t="e">
        <f t="array" ref="K36">K34-K35</f>
      </c>
      <c r="L36" s="3358" t="e">
        <f t="array" ref="L36">L34-L35</f>
      </c>
      <c r="M36" s="3358" t="e">
        <f t="array" ref="M36">M34-M35</f>
      </c>
      <c r="N36" s="26" t="n"/>
      <c r="O36" s="405" t="n"/>
      <c r="P36" s="26" t="n"/>
      <c r="Q36" s="27" t="n"/>
      <c r="R36" s="99" t="n"/>
      <c r="S36" s="99" t="n"/>
      <c r="T36" s="99" t="n"/>
      <c r="U36" s="99" t="n"/>
      <c r="V36" s="99" t="n"/>
      <c r="W36" s="99" t="n"/>
    </row>
    <row r="37" s="3154" customFormat="1" ht="15.75" customHeight="1">
      <c r="A37" s="619" t="inlineStr">
        <is>
          <t xml:space="preserve">Debt Coverage Ratio (DCR)</t>
        </is>
      </c>
      <c r="B37" s="548" t="n"/>
      <c r="C37" s="405" t="n"/>
      <c r="D37" s="3330" t="e">
        <f t="array" ref="D37">IF(AND(D$24&gt;=$R$25,D$24&lt;=$R$26),D34/D35,"")</f>
      </c>
      <c r="E37" s="3335" t="e">
        <f t="array" ref="E37">IF(AND(E$24&gt;=$R$25,E$24&lt;=$R$26),E34/E35,"")</f>
      </c>
      <c r="F37" s="3330" t="e">
        <f t="array" ref="F37">IF(AND(F$24&gt;=$R$25,F$24&lt;=$R$26),F34/F35,"")</f>
      </c>
      <c r="G37" s="3335" t="e">
        <f t="array" ref="G37">IF(AND(G$24&gt;=$R$25,G$24&lt;=$R$26),G34/G35,"")</f>
      </c>
      <c r="H37" s="3335" t="e">
        <f t="array" ref="H37">IF(AND(H$24&gt;=$R$25,H$24&lt;=$R$26),H34/H35,"")</f>
      </c>
      <c r="I37" s="3335" t="e">
        <f t="array" ref="I37">IF(AND(I$24&gt;=$R$25,I$24&lt;=$R$26),I34/I35,"")</f>
      </c>
      <c r="J37" s="3335" t="e">
        <f t="array" ref="J37">IF(AND(J$24&gt;=$R$25,J$24&lt;=$R$26),J34/J35,"")</f>
      </c>
      <c r="K37" s="3335" t="e">
        <f t="array" ref="K37">IF(AND(K$24&gt;=$R$25,K$24&lt;=$R$26),K34/K35,"")</f>
      </c>
      <c r="L37" s="3335" t="e">
        <f t="array" ref="L37">IF(AND(L$24&gt;=$R$25,L$24&lt;=$R$26),L34/L35,"")</f>
      </c>
      <c r="M37" s="3335" t="e">
        <f t="array" ref="M37">IF(AND(M$24&gt;=$R$25,M$24&lt;=$R$26),M34/M35,"")</f>
      </c>
      <c r="N37" s="26" t="n"/>
      <c r="O37" s="405" t="n"/>
      <c r="P37" s="26" t="n"/>
      <c r="Q37" s="27" t="n"/>
      <c r="R37" s="99" t="n"/>
      <c r="S37" s="99" t="n"/>
      <c r="T37" s="99" t="n"/>
      <c r="U37" s="99" t="n"/>
      <c r="V37" s="99" t="n"/>
      <c r="W37" s="99" t="n"/>
    </row>
    <row r="38" s="3154" customFormat="1" ht="15.75" customHeight="1">
      <c r="A38" s="619" t="inlineStr">
        <is>
          <t xml:space="preserve">Debt Yield</t>
        </is>
      </c>
      <c r="B38" s="548" t="n"/>
      <c r="C38" s="451" t="e">
        <f t="array" ref="C38">IF(C34=0,"",C34/$M$13)</f>
      </c>
      <c r="D38" s="3328" t="e">
        <f t="array" ref="D38">IF(D34=0,"",D34/$M$13)</f>
      </c>
      <c r="E38" s="3333" t="e">
        <f t="array" ref="E38">IF(E34=0,"",E34/$M$13)</f>
      </c>
      <c r="F38" s="3328" t="e">
        <f t="array" ref="F38">IF(F34=0,"",F34/$M$13)</f>
      </c>
      <c r="G38" s="3333" t="e">
        <f t="array" ref="G38">IF(G34=0,"",G34/$M$13)</f>
      </c>
      <c r="H38" s="3333" t="e">
        <f t="array" ref="H38">IF(H34=0,"",H34/$M$13)</f>
      </c>
      <c r="I38" s="3333" t="e">
        <f t="array" ref="I38">IF(I34=0,"",I34/$M$13)</f>
      </c>
      <c r="J38" s="3333" t="e">
        <f t="array" ref="J38">IF(J34=0,"",J34/$M$13)</f>
      </c>
      <c r="K38" s="3333" t="e">
        <f t="array" ref="K38">IF(K34=0,"",K34/$M$13)</f>
      </c>
      <c r="L38" s="3333" t="e">
        <f t="array" ref="L38">IF(L34=0,"",L34/$M$13)</f>
      </c>
      <c r="M38" s="3333" t="e">
        <f t="array" ref="M38">IF(M34=0,"",M34/$M$13)</f>
      </c>
      <c r="N38" s="26" t="n"/>
      <c r="O38" s="405" t="n"/>
      <c r="P38" s="26" t="n"/>
      <c r="Q38" s="27" t="n"/>
      <c r="R38" s="99" t="n"/>
      <c r="S38" s="99" t="n"/>
      <c r="T38" s="99" t="n"/>
      <c r="U38" s="99" t="n"/>
      <c r="V38" s="99" t="n"/>
      <c r="W38" s="99" t="n"/>
    </row>
    <row r="39" s="3154" customFormat="1" ht="15.75" customHeight="1">
      <c r="A39" s="619" t="inlineStr">
        <is>
          <t xml:space="preserve">Unleveraged Returns (Yield on Cost)</t>
        </is>
      </c>
      <c r="B39" s="548" t="n"/>
      <c r="C39" s="451" t="e">
        <f t="array" ref="C39">IF(AND(C$24&gt;=$R$25,C$24&lt;=$R$26),C34/$C$20,"")</f>
      </c>
      <c r="D39" s="3328" t="e">
        <f t="array" ref="D39">IF(AND(D$24&gt;=$R$25,D$24&lt;=$R$26),D34/$C$20,"")</f>
      </c>
      <c r="E39" s="3333" t="e">
        <f t="array" ref="E39">IF(AND(E$24&gt;=$R$25,E$24&lt;=$R$26),E34/$C$20,"")</f>
      </c>
      <c r="F39" s="3328" t="e">
        <f t="array" ref="F39">IF(AND(F$24&gt;=$R$25,F$24&lt;=$R$26),F34/$C$20,"")</f>
      </c>
      <c r="G39" s="3333" t="e">
        <f t="array" ref="G39">IF(AND(G$24&gt;=$R$25,G$24&lt;=$R$26),G34/$C$20,"")</f>
      </c>
      <c r="H39" s="3333" t="e">
        <f t="array" ref="H39">IF(AND(H$24&gt;=$R$25,H$24&lt;=$R$26),H34/$C$20,"")</f>
      </c>
      <c r="I39" s="3333" t="e">
        <f t="array" ref="I39">IF(AND(I$24&gt;=$R$25,I$24&lt;=$R$26),I34/$C$20,"")</f>
      </c>
      <c r="J39" s="3333" t="e">
        <f t="array" ref="J39">IF(AND(J$24&gt;=$R$25,J$24&lt;=$R$26),J34/$C$20,"")</f>
      </c>
      <c r="K39" s="3333" t="e">
        <f t="array" ref="K39">IF(AND(K$24&gt;=$R$25,K$24&lt;=$R$26),K34/$C$20,"")</f>
      </c>
      <c r="L39" s="3333" t="e">
        <f t="array" ref="L39">IF(AND(L$24&gt;=$R$25,L$24&lt;=$R$26),L34/$C$20,"")</f>
      </c>
      <c r="M39" s="3333" t="e">
        <f t="array" ref="M39">IF(AND(M$24&gt;=$R$25,M$24&lt;=$R$26),M34/$C$20,"")</f>
      </c>
      <c r="N39" s="26" t="n"/>
      <c r="O39" s="405" t="n"/>
      <c r="P39" s="26" t="n"/>
      <c r="Q39" s="27" t="n"/>
      <c r="R39" s="99" t="n"/>
      <c r="S39" s="99" t="n"/>
      <c r="T39" s="99" t="n"/>
      <c r="U39" s="99" t="n"/>
      <c r="V39" s="99" t="n"/>
      <c r="W39" s="99" t="n"/>
    </row>
    <row r="40" s="3154" customFormat="1" ht="15.75" customHeight="1">
      <c r="A40" s="576" t="n"/>
      <c r="B40" s="26" t="n"/>
      <c r="C40" s="405" t="n"/>
      <c r="D40" s="405" t="n"/>
      <c r="E40" s="405" t="n"/>
      <c r="F40" s="405" t="n"/>
      <c r="G40" s="405" t="n"/>
      <c r="H40" s="405" t="n"/>
      <c r="I40" s="405" t="n"/>
      <c r="J40" s="405" t="n"/>
      <c r="K40" s="405" t="n"/>
      <c r="L40" s="405" t="n"/>
      <c r="M40" s="405" t="n"/>
      <c r="N40" s="26" t="n"/>
      <c r="O40" s="606" t="n"/>
      <c r="P40" s="606" t="n"/>
      <c r="Q40" s="620" t="n"/>
      <c r="R40" s="621" t="n"/>
      <c r="S40" s="621" t="n"/>
      <c r="T40" s="621" t="n"/>
      <c r="U40" s="621" t="n"/>
      <c r="V40" s="621" t="n"/>
      <c r="W40" s="99" t="n"/>
    </row>
    <row r="41" s="3154" customFormat="1" ht="15.75" customHeight="1">
      <c r="A41" s="602" t="inlineStr">
        <is>
          <t xml:space="preserve">PROJECT IRR SUMMARY</t>
        </is>
      </c>
      <c r="B41" s="554" t="n"/>
      <c r="C41" s="3353" t="n">
        <f t="array" ref="C41">C22</f>
        <v>0</v>
      </c>
      <c r="D41" s="3353" t="n">
        <f t="array" ref="D41">D22</f>
        <v>1</v>
      </c>
      <c r="E41" s="3353" t="n">
        <f t="array" ref="E41">E22</f>
        <v>2</v>
      </c>
      <c r="F41" s="3353" t="n">
        <f t="array" ref="F41">F22</f>
        <v>3</v>
      </c>
      <c r="G41" s="3353" t="n">
        <f t="array" ref="G41">G22</f>
        <v>4</v>
      </c>
      <c r="H41" s="3353" t="n">
        <f t="array" ref="H41">H22</f>
        <v>5</v>
      </c>
      <c r="I41" s="3353" t="n">
        <f t="array" ref="I41">I22</f>
        <v>6</v>
      </c>
      <c r="J41" s="3353" t="n">
        <f t="array" ref="J41">J22</f>
        <v>7</v>
      </c>
      <c r="K41" s="3353" t="n">
        <f t="array" ref="K41">K22</f>
        <v>8</v>
      </c>
      <c r="L41" s="3353" t="n">
        <f t="array" ref="L41">L22</f>
        <v>9</v>
      </c>
      <c r="M41" s="3353" t="n">
        <f t="array" ref="M41">M22</f>
        <v>10</v>
      </c>
      <c r="N41" s="26" t="n"/>
      <c r="O41" s="405" t="n"/>
      <c r="P41" s="26" t="n"/>
      <c r="Q41" s="27" t="n"/>
      <c r="R41" s="99" t="n"/>
      <c r="S41" s="99" t="n"/>
      <c r="T41" s="99" t="n"/>
      <c r="U41" s="99" t="n"/>
      <c r="V41" s="99" t="n"/>
      <c r="W41" s="99" t="n"/>
    </row>
    <row r="42" s="3154" customFormat="1" ht="15.75" customHeight="1">
      <c r="A42" s="557" t="inlineStr">
        <is>
          <t xml:space="preserve">Project Equity (100%)</t>
        </is>
      </c>
      <c r="B42" s="18" t="n"/>
      <c r="C42" s="3334" t="n">
        <f t="array" ref="C42">-C6</f>
        <v>-1165627.260000000009313</v>
      </c>
      <c r="D42" s="3305" t="n">
        <v>0</v>
      </c>
      <c r="E42" s="3359" t="n">
        <v>0</v>
      </c>
      <c r="F42" s="3305" t="n">
        <v>0</v>
      </c>
      <c r="G42" s="3359" t="n">
        <v>0</v>
      </c>
      <c r="H42" s="3359" t="n">
        <v>0</v>
      </c>
      <c r="I42" s="3359" t="n">
        <v>0</v>
      </c>
      <c r="J42" s="3359" t="n">
        <v>0</v>
      </c>
      <c r="K42" s="3359" t="n">
        <v>0</v>
      </c>
      <c r="L42" s="3359" t="n">
        <v>0</v>
      </c>
      <c r="M42" s="3359" t="n">
        <v>0</v>
      </c>
      <c r="N42" s="26" t="n"/>
      <c r="O42" s="405" t="n"/>
      <c r="P42" s="26" t="n"/>
      <c r="Q42" s="27" t="n"/>
      <c r="R42" s="99" t="n"/>
      <c r="S42" s="99" t="n"/>
      <c r="T42" s="99" t="n"/>
      <c r="U42" s="99" t="n"/>
      <c r="V42" s="99" t="n"/>
      <c r="W42" s="99" t="n"/>
    </row>
    <row r="43" s="3154" customFormat="1" ht="15.75" customHeight="1">
      <c r="A43" s="557" t="inlineStr">
        <is>
          <t xml:space="preserve">Cash Flow from Operations</t>
        </is>
      </c>
      <c r="B43" s="18" t="n"/>
      <c r="C43" s="3305" t="e">
        <f t="array" ref="C43">IF('Annual CF'!B$21&gt;0,'Annual CF'!B$21,0)</f>
      </c>
      <c r="D43" s="3360" t="e">
        <f t="array" ref="D43">'Hotel Operating'!C59-D35</f>
      </c>
      <c r="E43" s="3305" t="e">
        <f t="array" ref="E43">'Hotel Operating'!D59-E35</f>
      </c>
      <c r="F43" s="3360" t="e">
        <f t="array" ref="F43">'Hotel Operating'!E59-F35</f>
      </c>
      <c r="G43" s="3305" t="e">
        <f t="array" ref="G43">'Hotel Operating'!F59-G35</f>
      </c>
      <c r="H43" s="3305" t="e">
        <f t="array" ref="H43">'Hotel Operating'!G59-H35</f>
      </c>
      <c r="I43" s="3305" t="e">
        <f t="array" ref="I43">'Hotel Operating'!H59-I35</f>
      </c>
      <c r="J43" s="3305" t="e">
        <f t="array" ref="J43">'Hotel Operating'!I59-J35</f>
      </c>
      <c r="K43" s="3305" t="e">
        <f t="array" ref="K43">'Hotel Operating'!J59-K35</f>
      </c>
      <c r="L43" s="3305" t="e">
        <f t="array" ref="L43">'Hotel Operating'!K59-L35</f>
      </c>
      <c r="M43" s="3305" t="e">
        <f t="array" ref="M43">'Hotel Operating'!L59-M35</f>
      </c>
      <c r="N43" s="26" t="n"/>
      <c r="O43" s="405" t="n"/>
      <c r="P43" s="26" t="n"/>
      <c r="Q43" s="27" t="n"/>
      <c r="R43" s="99" t="n"/>
      <c r="S43" s="99" t="n"/>
      <c r="T43" s="99" t="n"/>
      <c r="U43" s="99" t="n"/>
      <c r="V43" s="99" t="n"/>
      <c r="W43" s="99" t="n"/>
    </row>
    <row r="44" s="3154" customFormat="1" ht="15.75" customHeight="1">
      <c r="A44" s="557" t="inlineStr">
        <is>
          <t xml:space="preserve">Disposition/Take-Out Proceeds [B]</t>
        </is>
      </c>
      <c r="B44" s="18" t="n"/>
      <c r="C44" s="3305" t="n">
        <f t="array" ref="C44">IF('Annual CF'!B$27&gt;0,'Annual CF'!B$27,0)</f>
        <v>0</v>
      </c>
      <c r="D44" s="3360" t="n">
        <f t="array" ref="D44">IF('Annual CF'!C$27&gt;0,'Annual CF'!C$27,0)</f>
        <v>0</v>
      </c>
      <c r="E44" s="3305" t="n">
        <f t="array" ref="E44">IF('Annual CF'!D$27&gt;0,'Annual CF'!D$27,0)</f>
        <v>0</v>
      </c>
      <c r="F44" s="3360" t="n">
        <f t="array" ref="F44">IF('Annual CF'!E$27&gt;0,'Annual CF'!E$27,0)</f>
        <v>0</v>
      </c>
      <c r="G44" s="3305" t="n">
        <f t="array" ref="G44">IF('Annual CF'!F$27&gt;0,'Annual CF'!F$27,0)</f>
        <v>0</v>
      </c>
      <c r="H44" s="3305" t="n">
        <f t="array" ref="H44">IF('Annual CF'!G$27&gt;0,'Annual CF'!G$27,0)</f>
        <v>0</v>
      </c>
      <c r="I44" s="3305" t="n">
        <f t="array" ref="I44">IF('Annual CF'!H$27&gt;0,'Annual CF'!H$27,0)</f>
        <v>0</v>
      </c>
      <c r="J44" s="3305" t="n">
        <f t="array" ref="J44">IF('Annual CF'!I$27&gt;0,'Annual CF'!I$27,0)</f>
        <v>0</v>
      </c>
      <c r="K44" s="3305" t="n">
        <f t="array" ref="K44">IF('Annual CF'!J$27&gt;0,'Annual CF'!J$27,0)</f>
        <v>0</v>
      </c>
      <c r="L44" s="3305" t="n">
        <f t="array" ref="L44">IF('Annual CF'!K$27&gt;0,'Annual CF'!K$27,0)</f>
        <v>0</v>
      </c>
      <c r="M44" s="3305" t="e">
        <f t="array" ref="M44">I20</f>
      </c>
      <c r="N44" s="26" t="n"/>
      <c r="O44" s="405" t="n"/>
      <c r="P44" s="26" t="n"/>
      <c r="Q44" s="27" t="n"/>
      <c r="R44" s="99" t="n"/>
      <c r="S44" s="99" t="n"/>
      <c r="T44" s="99" t="n"/>
      <c r="U44" s="99" t="n"/>
      <c r="V44" s="99" t="n"/>
      <c r="W44" s="99" t="n"/>
    </row>
    <row r="45" s="3154" customFormat="1" ht="15.75" customHeight="1">
      <c r="A45" s="557" t="inlineStr">
        <is>
          <t xml:space="preserve">Net Leveraged Cash Flows</t>
        </is>
      </c>
      <c r="B45" s="18" t="n"/>
      <c r="C45" s="3359" t="e">
        <f t="array" ref="C45">C42+C43+C44</f>
      </c>
      <c r="D45" s="3305" t="e">
        <f t="array" ref="D45">D42+D43+D44</f>
      </c>
      <c r="E45" s="3359" t="e">
        <f t="array" ref="E45">E42+E43+E44</f>
      </c>
      <c r="F45" s="3305" t="e">
        <f t="array" ref="F45">F42+F43+F44</f>
      </c>
      <c r="G45" s="3359" t="e">
        <f t="array" ref="G45">G42+G43+G44</f>
      </c>
      <c r="H45" s="3359" t="e">
        <f t="array" ref="H45">H42+H43+H44</f>
      </c>
      <c r="I45" s="3359" t="e">
        <f t="array" ref="I45">I42+I43+I44</f>
      </c>
      <c r="J45" s="3359" t="e">
        <f t="array" ref="J45">J42+J43+J44</f>
      </c>
      <c r="K45" s="3359" t="e">
        <f t="array" ref="K45">K42+K43+K44</f>
      </c>
      <c r="L45" s="3359" t="e">
        <f t="array" ref="L45">L42+L43+L44</f>
      </c>
      <c r="M45" s="3359" t="e">
        <f t="array" ref="M45">M42+M43+M44</f>
      </c>
      <c r="N45" s="26" t="n"/>
      <c r="O45" s="405" t="n"/>
      <c r="P45" s="26" t="n"/>
      <c r="Q45" s="27" t="n"/>
      <c r="R45" s="99" t="n"/>
      <c r="S45" s="99" t="n"/>
      <c r="T45" s="99" t="n"/>
      <c r="U45" s="99" t="n"/>
      <c r="V45" s="99" t="n"/>
      <c r="W45" s="99" t="n"/>
    </row>
    <row r="46" s="3154" customFormat="1" ht="15.75" customHeight="1">
      <c r="A46" s="557" t="inlineStr">
        <is>
          <t xml:space="preserve">Cash on Cash Return</t>
        </is>
      </c>
      <c r="B46" s="18" t="n"/>
      <c r="C46" s="424" t="n"/>
      <c r="D46" s="624" t="n">
        <f t="array" ref="D46">IFERROR(D43/$C$6,0)</f>
        <v>0</v>
      </c>
      <c r="E46" s="430" t="n">
        <f t="array" ref="E46">IFERROR(E43/$C$6,0)</f>
        <v>0</v>
      </c>
      <c r="F46" s="624" t="n">
        <f t="array" ref="F46">IFERROR(F43/$C$6,0)</f>
        <v>0</v>
      </c>
      <c r="G46" s="430" t="n">
        <f t="array" ref="G46">IFERROR(G43/$C$6,0)</f>
        <v>0</v>
      </c>
      <c r="H46" s="430" t="n">
        <f t="array" ref="H46">IFERROR(H43/$C$6,0)</f>
        <v>0</v>
      </c>
      <c r="I46" s="430" t="n">
        <f t="array" ref="I46">IFERROR(I43/$C$6,0)</f>
        <v>0</v>
      </c>
      <c r="J46" s="430" t="n">
        <f t="array" ref="J46">IFERROR(J43/$C$6,0)</f>
        <v>0</v>
      </c>
      <c r="K46" s="430" t="n">
        <f t="array" ref="K46">IFERROR(K43/$C$6,0)</f>
        <v>0</v>
      </c>
      <c r="L46" s="430" t="n">
        <f t="array" ref="L46">IFERROR(L43/$C$6,0)</f>
        <v>0</v>
      </c>
      <c r="M46" s="430" t="n">
        <f t="array" ref="M46">IFERROR(M43/$C$6,0)</f>
        <v>0</v>
      </c>
      <c r="N46" s="26" t="n"/>
      <c r="O46" s="405" t="n"/>
      <c r="P46" s="26" t="n"/>
      <c r="Q46" s="27" t="n"/>
      <c r="R46" s="99" t="n"/>
      <c r="S46" s="99" t="n"/>
      <c r="T46" s="99" t="n"/>
      <c r="U46" s="99" t="n"/>
      <c r="V46" s="99" t="n"/>
      <c r="W46" s="99" t="n"/>
    </row>
    <row r="47" s="3154" customFormat="1" ht="15.75" customHeight="1">
      <c r="A47" s="571" t="inlineStr">
        <is>
          <t xml:space="preserve">Leveraged IRR</t>
        </is>
      </c>
      <c r="B47" s="617" t="n"/>
      <c r="C47" s="3361" t="e">
        <f t="array" ref="C47">IRR(C45:M45)</f>
      </c>
      <c r="D47" s="572" t="n"/>
      <c r="E47" s="598" t="n"/>
      <c r="F47" s="572" t="n"/>
      <c r="G47" s="598" t="n"/>
      <c r="H47" s="598" t="n"/>
      <c r="I47" s="3362" t="n"/>
      <c r="J47" s="598" t="n"/>
      <c r="K47" s="598" t="n"/>
      <c r="L47" s="598" t="n"/>
      <c r="M47" s="598" t="n"/>
      <c r="N47" s="26" t="n"/>
      <c r="O47" s="405" t="n"/>
      <c r="P47" s="26" t="n"/>
      <c r="Q47" s="27" t="n"/>
      <c r="R47" s="99" t="n"/>
      <c r="S47" s="99" t="n"/>
      <c r="T47" s="99" t="n"/>
      <c r="U47" s="99" t="n"/>
      <c r="V47" s="99" t="n"/>
      <c r="W47" s="99" t="n"/>
    </row>
    <row r="48" s="3154" customFormat="1" ht="15.75" customHeight="1">
      <c r="A48" s="627" t="n"/>
      <c r="B48" s="26" t="n"/>
      <c r="C48" s="3305" t="n"/>
      <c r="D48" s="3360" t="n"/>
      <c r="E48" s="3305" t="n"/>
      <c r="F48" s="3360" t="n"/>
      <c r="G48" s="3305" t="n"/>
      <c r="H48" s="3305" t="n"/>
      <c r="I48" s="26" t="n"/>
      <c r="J48" s="26" t="n"/>
      <c r="K48" s="26" t="n"/>
      <c r="L48" s="26" t="n"/>
      <c r="M48" s="26" t="n"/>
      <c r="N48" s="26" t="n"/>
      <c r="O48" s="26" t="n"/>
      <c r="P48" s="26" t="n"/>
      <c r="Q48" s="27" t="n"/>
      <c r="R48" s="99" t="n"/>
      <c r="S48" s="99" t="n"/>
      <c r="T48" s="99" t="n"/>
      <c r="U48" s="99" t="n"/>
      <c r="V48" s="99" t="n"/>
      <c r="W48" s="99" t="n"/>
    </row>
    <row r="49" s="3154" customFormat="1" ht="15.75" customHeight="1">
      <c r="A49" s="628" t="inlineStr">
        <is>
          <t xml:space="preserve">[A] COMBINATION OF CONSTRUCTION AND PERM DEBT W/ AMORT DURING REFINANING YEARS WITHOUT PROCEEDS; [B] ADJUSTED FOR AMORTIZATION. [C] ADJUSTED FOR INCENTIVES, IF APPLICABLE</t>
        </is>
      </c>
      <c r="B49" s="629" t="n"/>
      <c r="C49" s="3363" t="n"/>
      <c r="D49" s="3364" t="n"/>
      <c r="E49" s="3363" t="n"/>
      <c r="F49" s="3364" t="n"/>
      <c r="G49" s="3363" t="n"/>
      <c r="H49" s="3363" t="n"/>
      <c r="I49" s="632" t="n"/>
      <c r="J49" s="632" t="n"/>
      <c r="K49" s="632" t="n"/>
      <c r="L49" s="632" t="n"/>
      <c r="M49" s="632" t="n"/>
      <c r="N49" s="26" t="n"/>
      <c r="O49" s="26" t="n"/>
      <c r="P49" s="26" t="n"/>
      <c r="Q49" s="27" t="n"/>
      <c r="R49" s="99" t="n"/>
      <c r="S49" s="99" t="n"/>
      <c r="T49" s="99" t="n"/>
      <c r="U49" s="99" t="n"/>
      <c r="V49" s="99" t="n"/>
      <c r="W49" s="99" t="n"/>
    </row>
    <row r="50" s="3154" customFormat="1" ht="15.75" customHeight="1">
      <c r="A50" s="627" t="n"/>
      <c r="B50" s="26" t="n"/>
      <c r="C50" s="26" t="n"/>
      <c r="D50" s="26" t="n"/>
      <c r="E50" s="26" t="n"/>
      <c r="F50" s="26" t="n"/>
      <c r="G50" s="26" t="n"/>
      <c r="H50" s="26" t="n"/>
      <c r="I50" s="26" t="n"/>
      <c r="J50" s="26" t="n"/>
      <c r="K50" s="26" t="n"/>
      <c r="L50" s="26" t="n"/>
      <c r="M50" s="26" t="n"/>
      <c r="N50" s="26" t="n"/>
      <c r="O50" s="26" t="n"/>
      <c r="P50" s="26" t="n"/>
      <c r="Q50" s="27" t="n"/>
      <c r="R50" s="99" t="n"/>
      <c r="S50" s="99" t="n"/>
      <c r="T50" s="99" t="n"/>
      <c r="U50" s="99" t="n"/>
      <c r="V50" s="99" t="n"/>
      <c r="W50" s="99" t="n"/>
    </row>
    <row r="51" s="3154" customFormat="1" ht="15.75" customHeight="1">
      <c r="A51" s="627" t="n"/>
      <c r="B51" s="26" t="n"/>
      <c r="C51" s="26" t="n"/>
      <c r="D51" s="26" t="n"/>
      <c r="E51" s="26" t="n"/>
      <c r="F51" s="26" t="n"/>
      <c r="G51" s="26" t="n"/>
      <c r="H51" s="3305" t="n"/>
      <c r="I51" s="26" t="n"/>
      <c r="J51" s="26" t="n"/>
      <c r="K51" s="26" t="n"/>
      <c r="L51" s="26" t="n"/>
      <c r="M51" s="26" t="n"/>
      <c r="N51" s="26" t="n"/>
      <c r="O51" s="26" t="n"/>
      <c r="P51" s="26" t="n"/>
      <c r="Q51" s="27" t="n"/>
      <c r="R51" s="99" t="n"/>
      <c r="S51" s="99" t="n"/>
      <c r="T51" s="99" t="n"/>
      <c r="U51" s="99" t="n"/>
      <c r="V51" s="99" t="n"/>
      <c r="W51" s="99" t="n"/>
    </row>
    <row r="52" s="3154" customFormat="1" ht="15.75" customHeight="1">
      <c r="A52" s="627" t="n"/>
      <c r="B52" s="26" t="n"/>
      <c r="C52" s="26" t="n"/>
      <c r="D52" s="26" t="n"/>
      <c r="E52" s="26" t="n"/>
      <c r="F52" s="26" t="n"/>
      <c r="G52" s="26" t="n"/>
      <c r="H52" s="26" t="n"/>
      <c r="I52" s="26" t="n"/>
      <c r="J52" s="26" t="n"/>
      <c r="K52" s="26" t="n"/>
      <c r="L52" s="26" t="n"/>
      <c r="M52" s="26" t="n"/>
      <c r="N52" s="26" t="n"/>
      <c r="O52" s="26" t="n"/>
      <c r="P52" s="26" t="n"/>
      <c r="Q52" s="27" t="n"/>
      <c r="R52" s="99" t="n"/>
      <c r="S52" s="99" t="n"/>
      <c r="T52" s="99" t="n"/>
      <c r="U52" s="99" t="n"/>
      <c r="V52" s="99" t="n"/>
      <c r="W52" s="99" t="n"/>
    </row>
    <row r="53" s="3154" customFormat="1" ht="15.75" customHeight="1">
      <c r="A53" s="627" t="n"/>
      <c r="B53" s="26" t="n"/>
      <c r="C53" s="26" t="n"/>
      <c r="D53" s="26" t="n"/>
      <c r="E53" s="26" t="n"/>
      <c r="F53" s="26" t="n"/>
      <c r="G53" s="26" t="n"/>
      <c r="H53" s="26" t="n"/>
      <c r="I53" s="26" t="n"/>
      <c r="J53" s="26" t="n"/>
      <c r="K53" s="26" t="n"/>
      <c r="L53" s="26" t="n"/>
      <c r="M53" s="26" t="n"/>
      <c r="N53" s="26" t="n"/>
      <c r="O53" s="26" t="n"/>
      <c r="P53" s="26" t="n"/>
      <c r="Q53" s="27" t="n"/>
      <c r="R53" s="99" t="n"/>
      <c r="S53" s="99" t="n"/>
      <c r="T53" s="99" t="n"/>
      <c r="U53" s="99" t="n"/>
      <c r="V53" s="99" t="n"/>
      <c r="W53" s="99" t="n"/>
    </row>
    <row r="54" s="3154" customFormat="1" ht="15.75" customHeight="1">
      <c r="A54" s="627" t="n"/>
      <c r="B54" s="26" t="n"/>
      <c r="C54" s="26" t="n"/>
      <c r="D54" s="26" t="n"/>
      <c r="E54" s="26" t="n"/>
      <c r="F54" s="26" t="n"/>
      <c r="G54" s="26" t="n"/>
      <c r="H54" s="26" t="n"/>
      <c r="I54" s="26" t="n"/>
      <c r="J54" s="26" t="n"/>
      <c r="K54" s="26" t="n"/>
      <c r="L54" s="26" t="n"/>
      <c r="M54" s="26" t="n"/>
      <c r="N54" s="26" t="n"/>
      <c r="O54" s="26" t="n"/>
      <c r="P54" s="26" t="n"/>
      <c r="Q54" s="27" t="n"/>
      <c r="R54" s="99" t="n"/>
      <c r="S54" s="99" t="n"/>
      <c r="T54" s="99" t="n"/>
      <c r="U54" s="99" t="n"/>
      <c r="V54" s="99" t="n"/>
      <c r="W54" s="99" t="n"/>
    </row>
    <row r="55" s="3154" customFormat="1" ht="15.75" customHeight="1">
      <c r="A55" s="627" t="n"/>
      <c r="B55" s="26" t="n"/>
      <c r="C55" s="26" t="n"/>
      <c r="D55" s="26" t="n"/>
      <c r="E55" s="26" t="n"/>
      <c r="F55" s="26" t="n"/>
      <c r="G55" s="26" t="n"/>
      <c r="H55" s="26" t="n"/>
      <c r="I55" s="26" t="n"/>
      <c r="J55" s="26" t="n"/>
      <c r="K55" s="26" t="n"/>
      <c r="L55" s="26" t="n"/>
      <c r="M55" s="26" t="n"/>
      <c r="N55" s="26" t="n"/>
      <c r="O55" s="26" t="n"/>
      <c r="P55" s="26" t="n"/>
      <c r="Q55" s="27" t="n"/>
      <c r="R55" s="99" t="n"/>
      <c r="S55" s="99" t="n"/>
      <c r="T55" s="99" t="n"/>
      <c r="U55" s="99" t="n"/>
      <c r="V55" s="99" t="n"/>
      <c r="W55" s="99" t="n"/>
    </row>
    <row r="56" s="3154" customFormat="1" ht="15.75" customHeight="1">
      <c r="A56" s="627" t="n"/>
      <c r="B56" s="26" t="n"/>
      <c r="C56" s="26" t="n"/>
      <c r="D56" s="26" t="n"/>
      <c r="E56" s="26" t="n"/>
      <c r="F56" s="26" t="n"/>
      <c r="G56" s="26" t="n"/>
      <c r="H56" s="26" t="n"/>
      <c r="I56" s="26" t="n"/>
      <c r="J56" s="26" t="n"/>
      <c r="K56" s="26" t="n"/>
      <c r="L56" s="26" t="n"/>
      <c r="M56" s="26" t="n"/>
      <c r="N56" s="26" t="n"/>
      <c r="O56" s="26" t="n"/>
      <c r="P56" s="26" t="n"/>
      <c r="Q56" s="27" t="n"/>
      <c r="R56" s="99" t="n"/>
      <c r="S56" s="99" t="n"/>
      <c r="T56" s="99" t="n"/>
      <c r="U56" s="99" t="n"/>
      <c r="V56" s="99" t="n"/>
      <c r="W56" s="99" t="n"/>
    </row>
    <row r="57" s="3154" customFormat="1" ht="15.75" customHeight="1">
      <c r="A57" s="627" t="n"/>
      <c r="B57" s="26" t="n"/>
      <c r="C57" s="26" t="n"/>
      <c r="D57" s="26" t="n"/>
      <c r="E57" s="26" t="n"/>
      <c r="F57" s="26" t="n"/>
      <c r="G57" s="26" t="n"/>
      <c r="H57" s="26" t="n"/>
      <c r="I57" s="26" t="n"/>
      <c r="J57" s="26" t="n"/>
      <c r="K57" s="26" t="n"/>
      <c r="L57" s="26" t="n"/>
      <c r="M57" s="26" t="n"/>
      <c r="N57" s="26" t="n"/>
      <c r="O57" s="26" t="n"/>
      <c r="P57" s="26" t="n"/>
      <c r="Q57" s="27" t="n"/>
      <c r="R57" s="99" t="n"/>
      <c r="S57" s="99" t="n"/>
      <c r="T57" s="99" t="n"/>
      <c r="U57" s="99" t="n"/>
      <c r="V57" s="99" t="n"/>
      <c r="W57" s="99" t="n"/>
    </row>
    <row r="58" s="3154" customFormat="1" ht="15.75" customHeight="1">
      <c r="A58" s="627" t="n"/>
      <c r="B58" s="26" t="n"/>
      <c r="C58" s="26" t="n"/>
      <c r="D58" s="26" t="n"/>
      <c r="E58" s="26" t="n"/>
      <c r="F58" s="26" t="n"/>
      <c r="G58" s="26" t="n"/>
      <c r="H58" s="26" t="n"/>
      <c r="I58" s="26" t="n"/>
      <c r="J58" s="26" t="n"/>
      <c r="K58" s="26" t="n"/>
      <c r="L58" s="26" t="n"/>
      <c r="M58" s="26" t="n"/>
      <c r="N58" s="26" t="n"/>
      <c r="O58" s="26" t="n"/>
      <c r="P58" s="26" t="n"/>
      <c r="Q58" s="27" t="n"/>
      <c r="R58" s="99" t="n"/>
      <c r="S58" s="99" t="n"/>
      <c r="T58" s="99" t="n"/>
      <c r="U58" s="99" t="n"/>
      <c r="V58" s="99" t="n"/>
      <c r="W58" s="99" t="n"/>
    </row>
    <row r="59" s="3154" customFormat="1" ht="15.75" customHeight="1">
      <c r="A59" s="627" t="n"/>
      <c r="B59" s="26" t="n"/>
      <c r="C59" s="26" t="n"/>
      <c r="D59" s="26" t="n"/>
      <c r="E59" s="26" t="n"/>
      <c r="F59" s="26" t="n"/>
      <c r="G59" s="26" t="n"/>
      <c r="H59" s="26" t="n"/>
      <c r="I59" s="26" t="n"/>
      <c r="J59" s="26" t="n"/>
      <c r="K59" s="26" t="n"/>
      <c r="L59" s="26" t="n"/>
      <c r="M59" s="26" t="n"/>
      <c r="N59" s="26" t="n"/>
      <c r="O59" s="26" t="n"/>
      <c r="P59" s="26" t="n"/>
      <c r="Q59" s="27" t="n"/>
      <c r="R59" s="99" t="n"/>
      <c r="S59" s="99" t="n"/>
      <c r="T59" s="99" t="n"/>
      <c r="U59" s="99" t="n"/>
      <c r="V59" s="99" t="n"/>
      <c r="W59" s="99" t="n"/>
    </row>
    <row r="60" s="3154" customFormat="1" ht="15.75" customHeight="1">
      <c r="A60" s="633" t="n"/>
      <c r="B60" s="634" t="n"/>
      <c r="C60" s="634" t="n"/>
      <c r="D60" s="634" t="n"/>
      <c r="E60" s="634" t="n"/>
      <c r="F60" s="634" t="n"/>
      <c r="G60" s="634" t="n"/>
      <c r="H60" s="634" t="n"/>
      <c r="I60" s="634" t="n"/>
      <c r="J60" s="634" t="n"/>
      <c r="K60" s="634" t="n"/>
      <c r="L60" s="634" t="n"/>
      <c r="M60" s="634" t="n"/>
      <c r="N60" s="634" t="n"/>
      <c r="O60" s="634" t="n"/>
      <c r="P60" s="634" t="n"/>
      <c r="Q60" s="635" t="n"/>
      <c r="R60" s="82" t="n"/>
      <c r="S60" s="82" t="n"/>
      <c r="T60" s="82" t="n"/>
      <c r="U60" s="82" t="n"/>
      <c r="V60" s="82" t="n"/>
      <c r="W60" s="82" t="n"/>
    </row>
  </sheetData>
  <mergeCells>
    <mergeCell ref="A22:B24"/>
  </mergeCells>
  <pageMargins left="0.7" right="0.7" top="0.75" bottom="0.75" header="0.3" footer="0.3"/>
</worksheet>
</file>

<file path=xl/worksheets/sheet20.xml><?xml version="1.0" encoding="utf-8"?>
<worksheet xmlns="http://schemas.openxmlformats.org/spreadsheetml/2006/main" xmlns:r="http://schemas.openxmlformats.org/officeDocument/2006/relationships">
  <sheetViews>
    <sheetView showGridLines="0" workbookViewId="0"/>
  </sheetViews>
  <sheetFormatPr baseColWidth="8" defaultColWidth="8.333330154418945" defaultRowHeight="15"/>
  <cols>
    <col min="1" max="4" width="8.35155963897705" style="3136" customWidth="1"/>
    <col min="5" max="5" width="13.35159969329834" style="3136" customWidth="1"/>
    <col min="6" max="7" width="8.35155963897705" style="3136" customWidth="1"/>
    <col min="8" max="8" width="11.35159969329834" style="3136" customWidth="1"/>
    <col min="9" max="11" width="8.35155963897705" style="3136" customWidth="1"/>
    <col min="12" max="12" width="2.351560115814209" style="3136" customWidth="1"/>
    <col min="13" max="47" width="8.35155963897705" style="3136" customWidth="1"/>
    <col min="48" max="16384" width="8.35155963897705" style="3136" customWidth="1"/>
  </cols>
  <sheetData>
    <row r="1" s="3154" customFormat="1" ht="19.5" customHeight="1">
      <c r="A1" s="2274" t="inlineStr">
        <is>
          <t xml:space="preserve">SOURCES &amp; USES &amp; TIMELINE</t>
        </is>
      </c>
      <c r="B1" s="11" t="n"/>
      <c r="C1" s="11" t="n"/>
      <c r="D1" s="11" t="n"/>
      <c r="E1" s="11" t="n"/>
      <c r="F1" s="11" t="n"/>
      <c r="G1" s="11" t="n"/>
      <c r="H1" s="11" t="n"/>
      <c r="I1" s="11" t="n"/>
      <c r="J1" s="2275" t="inlineStr">
        <is>
          <t xml:space="preserve">MODEL REVISED: Mar 25, 2025</t>
        </is>
      </c>
      <c r="K1" s="2276" t="inlineStr">
        <is>
          <t xml:space="preserve">HIDE</t>
        </is>
      </c>
      <c r="L1" s="4062" t="n"/>
      <c r="M1" s="11" t="n"/>
      <c r="N1" s="11" t="n"/>
      <c r="O1" s="11" t="n"/>
      <c r="P1" s="11" t="n"/>
      <c r="Q1" s="11" t="n"/>
      <c r="R1" s="11" t="n"/>
      <c r="S1" s="11" t="n"/>
      <c r="T1" s="11" t="n"/>
      <c r="U1" s="11" t="n"/>
      <c r="V1" s="11" t="n"/>
      <c r="W1" s="11" t="n"/>
      <c r="X1" s="11" t="n"/>
      <c r="Y1" s="11" t="n"/>
      <c r="Z1" s="11" t="n"/>
      <c r="AA1" s="11" t="n"/>
      <c r="AB1" s="11" t="n"/>
      <c r="AC1" s="11" t="n"/>
      <c r="AD1" s="11" t="n"/>
      <c r="AE1" s="11" t="n"/>
      <c r="AF1" s="11" t="n"/>
      <c r="AG1" s="11" t="n"/>
      <c r="AH1" s="11" t="n"/>
      <c r="AI1" s="11" t="n"/>
      <c r="AJ1" s="11" t="n"/>
      <c r="AK1" s="11" t="n"/>
      <c r="AL1" s="11" t="n"/>
      <c r="AM1" s="11" t="n"/>
      <c r="AN1" s="11" t="n"/>
      <c r="AO1" s="11" t="n"/>
      <c r="AP1" s="11" t="n"/>
      <c r="AQ1" s="11" t="n"/>
      <c r="AR1" s="11" t="n"/>
      <c r="AS1" s="11" t="n"/>
      <c r="AT1" s="11" t="n"/>
      <c r="AU1" s="13" t="n"/>
    </row>
    <row r="2" s="3154" customFormat="1" ht="17.25" customHeight="1">
      <c r="A2" s="2278" t="str">
        <f t="array" ref="A2">'Assumptions'!$D$6&amp;" / "&amp;'Assumptions'!$D$7&amp;" / "&amp;'Assumptions'!$D$9</f>
        <v>INDEPENDENT (No Flag) / SLEEP SPACE — 100-KEY PREFAB (50 EP + 50 E) / Austin, TX</v>
      </c>
      <c r="B2" s="26" t="n"/>
      <c r="C2" s="26" t="n"/>
      <c r="D2" s="26" t="n"/>
      <c r="E2" s="26" t="n"/>
      <c r="F2" s="26" t="n"/>
      <c r="G2" s="26" t="n"/>
      <c r="H2" s="26" t="n"/>
      <c r="I2" s="26" t="n"/>
      <c r="J2" s="2101" t="n"/>
      <c r="K2" s="26" t="n"/>
      <c r="L2" s="26" t="n"/>
      <c r="M2" s="26" t="n"/>
      <c r="N2" s="26" t="n"/>
      <c r="O2" s="26" t="n"/>
      <c r="P2" s="26" t="n"/>
      <c r="Q2" s="26" t="n"/>
      <c r="R2" s="26" t="n"/>
      <c r="S2" s="26" t="n"/>
      <c r="T2" s="26" t="n"/>
      <c r="U2" s="26" t="n"/>
      <c r="V2" s="26" t="n"/>
      <c r="W2" s="26" t="n"/>
      <c r="X2" s="26" t="n"/>
      <c r="Y2" s="26" t="n"/>
      <c r="Z2" s="26" t="n"/>
      <c r="AA2" s="26" t="n"/>
      <c r="AB2" s="26" t="n"/>
      <c r="AC2" s="26" t="n"/>
      <c r="AD2" s="26" t="n"/>
      <c r="AE2" s="26" t="n"/>
      <c r="AF2" s="26" t="n"/>
      <c r="AG2" s="26" t="n"/>
      <c r="AH2" s="26" t="n"/>
      <c r="AI2" s="26" t="n"/>
      <c r="AJ2" s="26" t="n"/>
      <c r="AK2" s="26" t="n"/>
      <c r="AL2" s="26" t="n"/>
      <c r="AM2" s="26" t="n"/>
      <c r="AN2" s="26" t="n"/>
      <c r="AO2" s="26" t="n"/>
      <c r="AP2" s="26" t="n"/>
      <c r="AQ2" s="26" t="n"/>
      <c r="AR2" s="26" t="n"/>
      <c r="AS2" s="26" t="n"/>
      <c r="AT2" s="26" t="n"/>
      <c r="AU2" s="27" t="n"/>
    </row>
    <row r="3" s="3154" customFormat="1" ht="13.5" customHeight="1">
      <c r="A3" s="162" t="n"/>
      <c r="B3" s="163" t="n"/>
      <c r="C3" s="163" t="n"/>
      <c r="D3" s="163" t="n"/>
      <c r="E3" s="3915" t="n"/>
      <c r="F3" s="163" t="n"/>
      <c r="G3" s="163" t="n"/>
      <c r="H3" s="163" t="n"/>
      <c r="I3" s="163" t="n"/>
      <c r="J3" s="163" t="n"/>
      <c r="K3" s="26" t="n"/>
      <c r="L3" s="2100" t="n"/>
      <c r="M3" s="429" t="inlineStr">
        <is>
          <t xml:space="preserve">&gt;&gt;OUT OF PRINT AREA</t>
        </is>
      </c>
      <c r="N3" s="26" t="n"/>
      <c r="O3" s="26" t="n"/>
      <c r="P3" s="26" t="n"/>
      <c r="Q3" s="26" t="n"/>
      <c r="R3" s="26" t="n"/>
      <c r="S3" s="26" t="n"/>
      <c r="T3" s="26" t="n"/>
      <c r="U3" s="26" t="n"/>
      <c r="V3" s="26" t="n"/>
      <c r="W3" s="26" t="n"/>
      <c r="X3" s="26" t="n"/>
      <c r="Y3" s="26" t="n"/>
      <c r="Z3" s="26" t="n"/>
      <c r="AA3" s="26" t="n"/>
      <c r="AB3" s="26" t="n"/>
      <c r="AC3" s="26" t="n"/>
      <c r="AD3" s="26" t="n"/>
      <c r="AE3" s="26" t="n"/>
      <c r="AF3" s="26" t="n"/>
      <c r="AG3" s="26" t="n"/>
      <c r="AH3" s="26" t="n"/>
      <c r="AI3" s="26" t="n"/>
      <c r="AJ3" s="26" t="n"/>
      <c r="AK3" s="26" t="n"/>
      <c r="AL3" s="26" t="n"/>
      <c r="AM3" s="26" t="n"/>
      <c r="AN3" s="26" t="n"/>
      <c r="AO3" s="26" t="n"/>
      <c r="AP3" s="26" t="n"/>
      <c r="AQ3" s="26" t="n"/>
      <c r="AR3" s="26" t="n"/>
      <c r="AS3" s="26" t="n"/>
      <c r="AT3" s="26" t="n"/>
      <c r="AU3" s="27" t="n"/>
    </row>
    <row r="4" s="3154" customFormat="1" ht="13.5" customHeight="1">
      <c r="A4" s="525" t="inlineStr">
        <is>
          <t xml:space="preserve">SOURCES OF FUNDS</t>
        </is>
      </c>
      <c r="B4" s="526" t="n"/>
      <c r="C4" s="526" t="n"/>
      <c r="D4" s="526" t="n"/>
      <c r="E4" s="2279" t="inlineStr">
        <is>
          <t xml:space="preserve">AMOUNT</t>
        </is>
      </c>
      <c r="F4" s="2279" t="inlineStr">
        <is>
          <t xml:space="preserve">% TOTAL</t>
        </is>
      </c>
      <c r="G4" s="2279" t="inlineStr">
        <is>
          <t xml:space="preserve">PGSF</t>
        </is>
      </c>
      <c r="H4" s="2279" t="inlineStr">
        <is>
          <t xml:space="preserve">PKEY</t>
        </is>
      </c>
      <c r="I4" s="2280" t="n"/>
      <c r="J4" s="2281" t="n"/>
      <c r="K4" s="25" t="n"/>
      <c r="L4" s="2100" t="n"/>
      <c r="M4" s="26" t="n"/>
      <c r="N4" s="26" t="n"/>
      <c r="O4" s="26" t="n"/>
      <c r="P4" s="26" t="n"/>
      <c r="Q4" s="26" t="n"/>
      <c r="R4" s="26" t="n"/>
      <c r="S4" s="26" t="n"/>
      <c r="T4" s="26" t="n"/>
      <c r="U4" s="26" t="n"/>
      <c r="V4" s="26" t="n"/>
      <c r="W4" s="26" t="n"/>
      <c r="X4" s="26" t="n"/>
      <c r="Y4" s="26" t="n"/>
      <c r="Z4" s="26" t="n"/>
      <c r="AA4" s="26" t="n"/>
      <c r="AB4" s="26" t="n"/>
      <c r="AC4" s="26" t="n"/>
      <c r="AD4" s="26" t="n"/>
      <c r="AE4" s="26" t="n"/>
      <c r="AF4" s="26" t="n"/>
      <c r="AG4" s="26" t="n"/>
      <c r="AH4" s="26" t="n"/>
      <c r="AI4" s="26" t="n"/>
      <c r="AJ4" s="26" t="n"/>
      <c r="AK4" s="26" t="n"/>
      <c r="AL4" s="26" t="n"/>
      <c r="AM4" s="26" t="n"/>
      <c r="AN4" s="26" t="n"/>
      <c r="AO4" s="26" t="n"/>
      <c r="AP4" s="26" t="n"/>
      <c r="AQ4" s="26" t="n"/>
      <c r="AR4" s="26" t="n"/>
      <c r="AS4" s="26" t="n"/>
      <c r="AT4" s="26" t="n"/>
      <c r="AU4" s="27" t="n"/>
    </row>
    <row r="5" s="3154" customFormat="1" ht="13.5" customHeight="1">
      <c r="A5" s="472" t="inlineStr">
        <is>
          <t xml:space="preserve">Construction Loan</t>
        </is>
      </c>
      <c r="B5" s="158" t="n"/>
      <c r="C5" s="158" t="n"/>
      <c r="D5" s="158" t="n"/>
      <c r="E5" s="3226" t="n">
        <f t="array" ref="E5">'Assumptions'!D101</f>
        <v>5003304.429259213</v>
      </c>
      <c r="F5" s="2197" t="n">
        <f t="array" ref="F5">E5/$E$18</f>
        <v>0.6931209410563974</v>
      </c>
      <c r="G5" s="4063" t="n">
        <f t="array" ref="G5">E5/'Project Summary'!$I$8</f>
        <v>275.65292130131115</v>
      </c>
      <c r="H5" s="3226" t="n">
        <f t="array" ref="H5">E5/'Project Summary'!$I$7</f>
        <v>50033.04429259212</v>
      </c>
      <c r="I5" s="158" t="n"/>
      <c r="J5" s="475" t="n"/>
      <c r="K5" s="2283" t="str">
        <f t="array" ref="K5">IF(E5=0,"HIDE","")</f>
      </c>
      <c r="L5" s="2100" t="n"/>
      <c r="M5" s="26" t="n"/>
      <c r="N5" s="26" t="n"/>
      <c r="O5" s="26" t="n"/>
      <c r="P5" s="26" t="n"/>
      <c r="Q5" s="26" t="n"/>
      <c r="R5" s="26" t="n"/>
      <c r="S5" s="26" t="n"/>
      <c r="T5" s="26" t="n"/>
      <c r="U5" s="26" t="n"/>
      <c r="V5" s="26" t="n"/>
      <c r="W5" s="26" t="n"/>
      <c r="X5" s="26" t="n"/>
      <c r="Y5" s="26" t="n"/>
      <c r="Z5" s="26" t="n"/>
      <c r="AA5" s="26" t="n"/>
      <c r="AB5" s="26" t="n"/>
      <c r="AC5" s="26" t="n"/>
      <c r="AD5" s="26" t="n"/>
      <c r="AE5" s="26" t="n"/>
      <c r="AF5" s="26" t="n"/>
      <c r="AG5" s="26" t="n"/>
      <c r="AH5" s="26" t="n"/>
      <c r="AI5" s="26" t="n"/>
      <c r="AJ5" s="26" t="n"/>
      <c r="AK5" s="26" t="n"/>
      <c r="AL5" s="26" t="n"/>
      <c r="AM5" s="26" t="n"/>
      <c r="AN5" s="26" t="n"/>
      <c r="AO5" s="26" t="n"/>
      <c r="AP5" s="26" t="n"/>
      <c r="AQ5" s="26" t="n"/>
      <c r="AR5" s="26" t="n"/>
      <c r="AS5" s="26" t="n"/>
      <c r="AT5" s="26" t="n"/>
      <c r="AU5" s="27" t="n"/>
    </row>
    <row r="6" s="3154" customFormat="1" ht="13.5" customHeight="1">
      <c r="A6" s="468" t="inlineStr">
        <is>
          <t xml:space="preserve">Equity</t>
        </is>
      </c>
      <c r="B6" s="163" t="n"/>
      <c r="C6" s="163" t="n"/>
      <c r="D6" s="163" t="n"/>
      <c r="E6" s="3915" t="n">
        <f t="array" ref="E6">'Assumptions'!D104</f>
        <v>2215211.3201475088</v>
      </c>
      <c r="F6" s="2284" t="n">
        <f t="array" ref="F6">E6/$E$18</f>
        <v>0.30687905894360257</v>
      </c>
      <c r="G6" s="4064" t="n">
        <f t="array" ref="G6">E6/'Project Summary'!$I$8</f>
        <v>122.04523636967745</v>
      </c>
      <c r="H6" s="3915" t="n">
        <f t="array" ref="H6">E6/'Project Summary'!$I$7</f>
        <v>22152.113201475087</v>
      </c>
      <c r="I6" s="163" t="n"/>
      <c r="J6" s="192" t="n"/>
      <c r="K6" s="2283" t="str">
        <f t="array" ref="K6">IF(E6=0,"HIDE","")</f>
      </c>
      <c r="L6" s="2100" t="n"/>
      <c r="M6" s="26" t="n"/>
      <c r="N6" s="26" t="n"/>
      <c r="O6" s="26" t="n"/>
      <c r="P6" s="26" t="n"/>
      <c r="Q6" s="26" t="n"/>
      <c r="R6" s="26" t="n"/>
      <c r="S6" s="26" t="n"/>
      <c r="T6" s="26" t="n"/>
      <c r="U6" s="26" t="n"/>
      <c r="V6" s="26" t="n"/>
      <c r="W6" s="26" t="n"/>
      <c r="X6" s="26" t="n"/>
      <c r="Y6" s="26" t="n"/>
      <c r="Z6" s="26" t="n"/>
      <c r="AA6" s="26" t="n"/>
      <c r="AB6" s="26" t="n"/>
      <c r="AC6" s="26" t="n"/>
      <c r="AD6" s="26" t="n"/>
      <c r="AE6" s="26" t="n"/>
      <c r="AF6" s="26" t="n"/>
      <c r="AG6" s="26" t="n"/>
      <c r="AH6" s="26" t="n"/>
      <c r="AI6" s="26" t="n"/>
      <c r="AJ6" s="26" t="n"/>
      <c r="AK6" s="26" t="n"/>
      <c r="AL6" s="26" t="n"/>
      <c r="AM6" s="26" t="n"/>
      <c r="AN6" s="26" t="n"/>
      <c r="AO6" s="26" t="n"/>
      <c r="AP6" s="26" t="n"/>
      <c r="AQ6" s="26" t="n"/>
      <c r="AR6" s="26" t="n"/>
      <c r="AS6" s="26" t="n"/>
      <c r="AT6" s="26" t="n"/>
      <c r="AU6" s="27" t="n"/>
    </row>
    <row r="7" s="3154" customFormat="1" ht="13.5" customHeight="1">
      <c r="A7" s="2286" t="inlineStr">
        <is>
          <t xml:space="preserve">Total Sources of Funds</t>
        </is>
      </c>
      <c r="B7" s="2287" t="n"/>
      <c r="C7" s="2287" t="n"/>
      <c r="D7" s="2287" t="n"/>
      <c r="E7" s="4065" t="n">
        <f t="array" ref="E7">SUM(E5:E6)</f>
        <v>7218515.749406721</v>
      </c>
      <c r="F7" s="2289" t="n">
        <f t="array" ref="F7">SUM(F5:F6)</f>
        <v>1</v>
      </c>
      <c r="G7" s="4066" t="n">
        <f t="array" ref="G7">SUM(G5:G6)</f>
        <v>397.6981576709886</v>
      </c>
      <c r="H7" s="4065" t="n">
        <f t="array" ref="H7">SUM(H5:H6)</f>
        <v>72185.15749406721</v>
      </c>
      <c r="I7" s="2287" t="n"/>
      <c r="J7" s="2291" t="n"/>
      <c r="K7" s="25" t="n"/>
      <c r="L7" s="2100" t="n"/>
      <c r="M7" s="26" t="n"/>
      <c r="N7" s="26" t="n"/>
      <c r="O7" s="26" t="n"/>
      <c r="P7" s="295" t="inlineStr">
        <is>
          <t xml:space="preserve">MASTER TIMELINE</t>
        </is>
      </c>
      <c r="Q7" s="203" t="n"/>
      <c r="R7" s="203" t="n"/>
      <c r="S7" s="203" t="n"/>
      <c r="T7" s="203" t="n"/>
      <c r="U7" s="203" t="n"/>
      <c r="V7" s="203" t="n"/>
      <c r="W7" s="26" t="n"/>
      <c r="X7" s="295" t="inlineStr">
        <is>
          <t xml:space="preserve">YEARS</t>
        </is>
      </c>
      <c r="Y7" s="203" t="n"/>
      <c r="Z7" s="203" t="n"/>
      <c r="AA7" s="26" t="n"/>
      <c r="AB7" s="295" t="inlineStr">
        <is>
          <t xml:space="preserve">PERCENTAGE OF YEAR OPERATING</t>
        </is>
      </c>
      <c r="AC7" s="203" t="n"/>
      <c r="AD7" s="203" t="n"/>
      <c r="AE7" s="203" t="n"/>
      <c r="AF7" s="203" t="n"/>
      <c r="AG7" s="203" t="n"/>
      <c r="AH7" s="203" t="n"/>
      <c r="AI7" s="203" t="n"/>
      <c r="AJ7" s="203" t="n"/>
      <c r="AK7" s="203" t="n"/>
      <c r="AL7" s="203" t="n"/>
      <c r="AM7" s="203" t="n"/>
      <c r="AN7" s="203" t="n"/>
      <c r="AO7" s="203" t="n"/>
      <c r="AP7" s="203" t="n"/>
      <c r="AQ7" s="203" t="n"/>
      <c r="AR7" s="203" t="n"/>
      <c r="AS7" s="203" t="n"/>
      <c r="AT7" s="203" t="n"/>
      <c r="AU7" s="2292" t="n"/>
    </row>
    <row r="8" s="3154" customFormat="1" ht="13.5" customHeight="1">
      <c r="A8" s="200" t="n"/>
      <c r="B8" s="201" t="n"/>
      <c r="C8" s="201" t="n"/>
      <c r="D8" s="201" t="n"/>
      <c r="E8" s="3916" t="n"/>
      <c r="F8" s="201" t="n"/>
      <c r="G8" s="201" t="n"/>
      <c r="H8" s="201" t="n"/>
      <c r="I8" s="201" t="n"/>
      <c r="J8" s="201" t="n"/>
      <c r="K8" s="26" t="n"/>
      <c r="L8" s="2100" t="n"/>
      <c r="M8" s="26" t="n"/>
      <c r="N8" s="26" t="n"/>
      <c r="O8" s="26" t="n"/>
      <c r="P8" s="429" t="inlineStr">
        <is>
          <t xml:space="preserve">Month</t>
        </is>
      </c>
      <c r="Q8" s="429" t="inlineStr">
        <is>
          <t xml:space="preserve">Year</t>
        </is>
      </c>
      <c r="R8" s="429" t="inlineStr">
        <is>
          <t xml:space="preserve">Date</t>
        </is>
      </c>
      <c r="S8" s="26" t="n"/>
      <c r="T8" s="429" t="inlineStr">
        <is>
          <t xml:space="preserve">Activity</t>
        </is>
      </c>
      <c r="U8" s="26" t="n"/>
      <c r="V8" s="429" t="inlineStr">
        <is>
          <t xml:space="preserve">Proj Yr</t>
        </is>
      </c>
      <c r="W8" s="26" t="n"/>
      <c r="X8" s="429" t="inlineStr">
        <is>
          <t xml:space="preserve">MIN</t>
        </is>
      </c>
      <c r="Y8" s="4067" t="e">
        <f t="array" ref="Y8">MIN(R9:R117)</f>
      </c>
      <c r="Z8" s="26" t="e">
        <f t="array" ref="Z8">YEAR(Y8)</f>
      </c>
      <c r="AA8" s="26" t="n"/>
      <c r="AB8" s="1100" t="n">
        <f t="array" ref="AB8">YEAR(D22)</f>
        <v>2026</v>
      </c>
      <c r="AC8" s="1100" t="n">
        <f t="array" ref="AC8">IF(AB8="","",IF((AB8+1)&gt;YEAR($G$29),"",AB8+1))</f>
        <v>2027</v>
      </c>
      <c r="AD8" s="1100" t="n">
        <f t="array" ref="AD8">IF(AC8="","",IF((AC8+1)&gt;YEAR($G$29),"",AC8+1))</f>
        <v>2028</v>
      </c>
      <c r="AE8" s="1100" t="n">
        <f t="array" ref="AE8">IF(AD8="","",IF((AD8+1)&gt;YEAR($G$29),"",AD8+1))</f>
        <v>2029</v>
      </c>
      <c r="AF8" s="1100" t="n">
        <f t="array" ref="AF8">IF(AE8="","",IF((AE8+1)&gt;YEAR($G$29),"",AE8+1))</f>
        <v>2030</v>
      </c>
      <c r="AG8" s="1100" t="n">
        <f t="array" ref="AG8">IF(AF8="","",IF((AF8+1)&gt;YEAR($G$29),"",AF8+1))</f>
        <v>2031</v>
      </c>
      <c r="AH8" s="1100" t="n">
        <f t="array" ref="AH8">IF(AG8="","",IF((AG8+1)&gt;YEAR($G$29),"",AG8+1))</f>
        <v>2032</v>
      </c>
      <c r="AI8" s="1100" t="n">
        <f t="array" ref="AI8">IF(AH8="","",IF((AH8+1)&gt;YEAR($G$29),"",AH8+1))</f>
        <v>2033</v>
      </c>
      <c r="AJ8" s="1100" t="n">
        <f t="array" ref="AJ8">IF(AI8="","",IF((AI8+1)&gt;YEAR($G$29),"",AI8+1))</f>
        <v>2034</v>
      </c>
      <c r="AK8" s="1100" t="n">
        <f t="array" ref="AK8">IF(AJ8="","",IF((AJ8+1)&gt;YEAR($G$29),"",AJ8+1))</f>
        <v>2035</v>
      </c>
      <c r="AL8" s="1100" t="n">
        <f t="array" ref="AL8">IF(AK8="","",IF((AK8+1)&gt;YEAR($G$29),"",AK8+1))</f>
        <v>2036</v>
      </c>
      <c r="AM8" s="2159" t="str">
        <f t="array" ref="AM8">IF(AL8="","",IF((AL8+1)&gt;YEAR($G$29),"",AL8+1))</f>
      </c>
      <c r="AN8" s="2159" t="str">
        <f t="array" ref="AN8">IF(AM8="","",IF((AM8+1)&gt;YEAR($G$29),"",AM8+1))</f>
      </c>
      <c r="AO8" s="2159" t="str">
        <f t="array" ref="AO8">IF(AN8="","",IF((AN8+1)&gt;YEAR($G$29),"",AN8+1))</f>
      </c>
      <c r="AP8" s="2159" t="str">
        <f t="array" ref="AP8">IF(AO8="","",IF((AO8+1)&gt;YEAR($G$29),"",AO8+1))</f>
      </c>
      <c r="AQ8" s="2159" t="str">
        <f t="array" ref="AQ8">IF(AP8="","",IF((AP8+1)&gt;YEAR($G$29),"",AP8+1))</f>
      </c>
      <c r="AR8" s="2159" t="str">
        <f t="array" ref="AR8">IF(AQ8="","",IF((AQ8+1)&gt;YEAR($G$29),"",AQ8+1))</f>
      </c>
      <c r="AS8" s="2159" t="str">
        <f t="array" ref="AS8">IF(AR8="","",IF((AR8+1)&gt;YEAR($G$29),"",AR8+1))</f>
      </c>
      <c r="AT8" s="2159" t="str">
        <f t="array" ref="AT8">IF(AS8="","",IF((AS8+1)&gt;YEAR($G$29),"",AS8+1))</f>
      </c>
      <c r="AU8" s="2294" t="str">
        <f t="array" ref="AU8">IF(AT8="","",IF((AT8+1)&gt;YEAR($G$29),"",AT8+1))</f>
      </c>
    </row>
    <row r="9" s="3154" customFormat="1" ht="13.5" customHeight="1">
      <c r="A9" s="525" t="inlineStr">
        <is>
          <t xml:space="preserve">USES OF FUNDS</t>
        </is>
      </c>
      <c r="B9" s="526" t="n"/>
      <c r="C9" s="526" t="n"/>
      <c r="D9" s="526" t="n"/>
      <c r="E9" s="2279" t="inlineStr">
        <is>
          <t xml:space="preserve">AMOUNT</t>
        </is>
      </c>
      <c r="F9" s="2279" t="inlineStr">
        <is>
          <t xml:space="preserve">% TOTAL</t>
        </is>
      </c>
      <c r="G9" s="2279" t="inlineStr">
        <is>
          <t xml:space="preserve">PGSF</t>
        </is>
      </c>
      <c r="H9" s="2279" t="inlineStr">
        <is>
          <t xml:space="preserve">PKEY</t>
        </is>
      </c>
      <c r="I9" s="2280" t="n"/>
      <c r="J9" s="2281" t="n"/>
      <c r="K9" s="25" t="n"/>
      <c r="L9" s="2100" t="n"/>
      <c r="M9" s="26" t="n"/>
      <c r="N9" s="26" t="n"/>
      <c r="O9" s="26" t="n"/>
      <c r="P9" s="1100" t="n">
        <v>0</v>
      </c>
      <c r="Q9" s="1100" t="n">
        <f t="array" ref="Q9">YEAR(R9)</f>
        <v>2026</v>
      </c>
      <c r="R9" s="4015" t="n">
        <f t="array" ref="R9">D22</f>
        <v>46113</v>
      </c>
      <c r="S9" s="1100" t="n">
        <f t="array" ref="S9">P9</f>
        <v>0</v>
      </c>
      <c r="T9" s="429" t="str">
        <f t="array" ref="T9">IF(P9&lt;$E$26,"Pre-Development",IF(AND(P9&gt;=$E$26,P9&lt;=$H$26),"Construction",IF(P9='Assumptions'!$T$110,"Terminal Sale","Operating")))</f>
        <v>Pre-Development</v>
      </c>
      <c r="U9" s="26" t="n"/>
      <c r="V9" s="26" t="n">
        <v>1</v>
      </c>
      <c r="W9" s="26" t="n"/>
      <c r="X9" s="429" t="inlineStr">
        <is>
          <t xml:space="preserve">MAX</t>
        </is>
      </c>
      <c r="Y9" s="4067" t="e">
        <f t="array" ref="Y9">MAX(R9:R140)</f>
      </c>
      <c r="Z9" s="26" t="e">
        <f t="array" ref="Z9">YEAR(Y9)</f>
      </c>
      <c r="AA9" s="26" t="n"/>
      <c r="AB9" s="26" t="n"/>
      <c r="AC9" s="26" t="n"/>
      <c r="AD9" s="26" t="n"/>
      <c r="AE9" s="26" t="n"/>
      <c r="AF9" s="26" t="n"/>
      <c r="AG9" s="26" t="n"/>
      <c r="AH9" s="26" t="n"/>
      <c r="AI9" s="26" t="n"/>
      <c r="AJ9" s="26" t="n"/>
      <c r="AK9" s="26" t="n"/>
      <c r="AL9" s="26" t="n"/>
      <c r="AM9" s="26" t="n"/>
      <c r="AN9" s="26" t="n"/>
      <c r="AO9" s="26" t="n"/>
      <c r="AP9" s="26" t="n"/>
      <c r="AQ9" s="26" t="n"/>
      <c r="AR9" s="26" t="n"/>
      <c r="AS9" s="26" t="n"/>
      <c r="AT9" s="26" t="n"/>
      <c r="AU9" s="27" t="n"/>
    </row>
    <row r="10" s="3154" customFormat="1" ht="13.5" customHeight="1">
      <c r="A10" s="2295" t="str">
        <f t="array" ref="A10">PROPER('Cost Detail'!$A$5)</f>
        <v>Land &amp; Acquistion</v>
      </c>
      <c r="B10" s="158" t="n"/>
      <c r="C10" s="158" t="n"/>
      <c r="D10" s="158" t="n"/>
      <c r="E10" s="3226" t="n">
        <f t="array" ref="E10">'Cost Detail'!C16</f>
        <v>1240400</v>
      </c>
      <c r="F10" s="2197" t="n">
        <f t="array" ref="F10">E10/$E$18</f>
        <v>0.171835879155898</v>
      </c>
      <c r="G10" s="4063" t="n">
        <f t="array" ref="G10">E10/'Project Summary'!$I$8</f>
        <v>68.33881256207528</v>
      </c>
      <c r="H10" s="3226" t="n">
        <f t="array" ref="H10">E10/'Project Summary'!$I$7</f>
        <v>12404</v>
      </c>
      <c r="I10" s="158" t="n"/>
      <c r="J10" s="475" t="n"/>
      <c r="K10" s="25" t="n"/>
      <c r="L10" s="2100" t="n"/>
      <c r="M10" s="26" t="n"/>
      <c r="N10" s="26" t="n"/>
      <c r="O10" s="26" t="n"/>
      <c r="P10" s="1100" t="e">
        <f t="array" ref="P10">IF((P9+1)&gt;H29,"",P9+1)</f>
      </c>
      <c r="Q10" s="1100" t="e">
        <f t="array" ref="Q10">IF(P10="","",YEAR(R10))</f>
      </c>
      <c r="R10" s="4015" t="e">
        <f t="array" ref="R10">IF(P10="","",EDATE($R$9,P10))</f>
      </c>
      <c r="S10" s="1100" t="e">
        <f t="array" ref="S10">P10</f>
      </c>
      <c r="T10" s="429" t="e">
        <f t="array" ref="T10">IF(P10&lt;$E$26,"Pre-Development",IF(AND(P10&gt;=$E$26,P10&lt;=$H$26),"Construction",IF(P10='Assumptions'!$T$110,"Terminal Sale","Operating")))</f>
      </c>
      <c r="U10" s="26" t="n"/>
      <c r="V10" s="26" t="n">
        <f t="array" ref="V10">V9</f>
        <v>1</v>
      </c>
      <c r="W10" s="26" t="n"/>
      <c r="X10" s="26" t="n"/>
      <c r="Y10" s="26" t="n"/>
      <c r="Z10" s="26" t="n"/>
      <c r="AA10" s="26" t="n"/>
      <c r="AB10" s="26" t="n"/>
      <c r="AC10" s="26" t="n"/>
      <c r="AD10" s="26" t="n"/>
      <c r="AE10" s="26" t="n"/>
      <c r="AF10" s="26" t="n"/>
      <c r="AG10" s="26" t="n"/>
      <c r="AH10" s="26" t="n"/>
      <c r="AI10" s="26" t="n"/>
      <c r="AJ10" s="26" t="n"/>
      <c r="AK10" s="26" t="n"/>
      <c r="AL10" s="26" t="n"/>
      <c r="AM10" s="26" t="n"/>
      <c r="AN10" s="26" t="n"/>
      <c r="AO10" s="26" t="n"/>
      <c r="AP10" s="26" t="n"/>
      <c r="AQ10" s="26" t="n"/>
      <c r="AR10" s="26" t="n"/>
      <c r="AS10" s="26" t="n"/>
      <c r="AT10" s="26" t="n"/>
      <c r="AU10" s="27" t="n"/>
    </row>
    <row r="11" s="3154" customFormat="1" ht="13.5" customHeight="1">
      <c r="A11" s="2283" t="str">
        <f t="array" ref="A11">PROPER('Cost Detail'!$A$18)</f>
        <v>Development &amp; Planning</v>
      </c>
      <c r="B11" s="26" t="n"/>
      <c r="C11" s="26" t="n"/>
      <c r="D11" s="26" t="n"/>
      <c r="E11" s="3322" t="n">
        <f t="array" ref="E11">'Cost Detail'!C26</f>
        <v>120000</v>
      </c>
      <c r="F11" s="1922" t="n">
        <f t="array" ref="F11">E11/$E$18</f>
        <v>0.01662391607441774</v>
      </c>
      <c r="G11" s="4026" t="n">
        <f t="array" ref="G11">E11/'Project Summary'!$I$8</f>
        <v>6.611300796073067</v>
      </c>
      <c r="H11" s="3322" t="n">
        <f t="array" ref="H11">E11/'Project Summary'!$I$7</f>
        <v>1200</v>
      </c>
      <c r="I11" s="26" t="n"/>
      <c r="J11" s="177" t="n"/>
      <c r="K11" s="25" t="n"/>
      <c r="L11" s="2100" t="n"/>
      <c r="M11" s="26" t="n"/>
      <c r="N11" s="26" t="n"/>
      <c r="O11" s="26" t="n"/>
      <c r="P11" s="1100" t="e">
        <f t="array" ref="P11">P10+1</f>
      </c>
      <c r="Q11" s="1100" t="e">
        <f t="array" ref="Q11">YEAR(R11)</f>
      </c>
      <c r="R11" s="4015" t="e">
        <f t="array" ref="R11">EDATE($R$9,P11)</f>
      </c>
      <c r="S11" s="1100" t="e">
        <f t="array" ref="S11">P11</f>
      </c>
      <c r="T11" s="429" t="e">
        <f t="array" ref="T11">IF(P11&lt;$E$26,"Pre-Development",IF(AND(P11&gt;=$E$26,P11&lt;=$H$26),"Construction",IF(P11='Assumptions'!$T$110,"Terminal Sale","Operating")))</f>
      </c>
      <c r="U11" s="26" t="n"/>
      <c r="V11" s="26" t="n">
        <f t="array" ref="V11">V10</f>
        <v>1</v>
      </c>
      <c r="W11" s="26" t="n"/>
      <c r="X11" s="295" t="inlineStr">
        <is>
          <t xml:space="preserve">RANGE FOR ANN CASH FLOW TAB</t>
        </is>
      </c>
      <c r="Y11" s="203" t="n"/>
      <c r="Z11" s="203" t="n"/>
      <c r="AA11" s="26" t="n"/>
      <c r="AB11" s="26" t="n"/>
      <c r="AC11" s="26" t="n"/>
      <c r="AD11" s="26" t="n"/>
      <c r="AE11" s="26" t="n"/>
      <c r="AF11" s="26" t="n"/>
      <c r="AG11" s="26" t="n"/>
      <c r="AH11" s="26" t="n"/>
      <c r="AI11" s="26" t="n"/>
      <c r="AJ11" s="26" t="n"/>
      <c r="AK11" s="26" t="n"/>
      <c r="AL11" s="26" t="n"/>
      <c r="AM11" s="26" t="n"/>
      <c r="AN11" s="26" t="n"/>
      <c r="AO11" s="26" t="n"/>
      <c r="AP11" s="26" t="n"/>
      <c r="AQ11" s="26" t="n"/>
      <c r="AR11" s="26" t="n"/>
      <c r="AS11" s="26" t="n"/>
      <c r="AT11" s="26" t="n"/>
      <c r="AU11" s="27" t="n"/>
    </row>
    <row r="12" s="3154" customFormat="1" ht="13.5" customHeight="1">
      <c r="A12" s="2283" t="str">
        <f t="array" ref="A12">PROPER('Cost Detail'!$A$28)</f>
        <v>Design &amp; Engineering</v>
      </c>
      <c r="B12" s="26" t="n"/>
      <c r="C12" s="26" t="n"/>
      <c r="D12" s="26" t="n"/>
      <c r="E12" s="3322" t="n">
        <f t="array" ref="E12">'Cost Detail'!C57</f>
        <v>183425</v>
      </c>
      <c r="F12" s="1922" t="n">
        <f t="array" ref="F12">E12/$E$18</f>
        <v>0.02541034838291728</v>
      </c>
      <c r="G12" s="4026" t="n">
        <f t="array" ref="G12">E12/'Project Summary'!$I$8</f>
        <v>10.105648737664186</v>
      </c>
      <c r="H12" s="3322" t="n">
        <f t="array" ref="H12">E12/'Project Summary'!$I$7</f>
        <v>1834.25</v>
      </c>
      <c r="I12" s="26" t="n"/>
      <c r="J12" s="177" t="n"/>
      <c r="K12" s="25" t="n"/>
      <c r="L12" s="2100" t="n"/>
      <c r="M12" s="26" t="n"/>
      <c r="N12" s="26" t="n"/>
      <c r="O12" s="26" t="n"/>
      <c r="P12" s="1100" t="e">
        <f t="array" ref="P12">P11+1</f>
      </c>
      <c r="Q12" s="1100" t="e">
        <f t="array" ref="Q12">YEAR(R12)</f>
      </c>
      <c r="R12" s="4015" t="e">
        <f t="array" ref="R12">EDATE($R$9,P12)</f>
      </c>
      <c r="S12" s="1100" t="e">
        <f t="array" ref="S12">P12</f>
      </c>
      <c r="T12" s="429" t="e">
        <f t="array" ref="T12">IF(P12&lt;$E$26,"Pre-Development",IF(AND(P12&gt;=$E$26,P12&lt;=$H$26),"Construction",IF(P12='Assumptions'!$T$110,"Terminal Sale","Operating")))</f>
      </c>
      <c r="U12" s="26" t="n"/>
      <c r="V12" s="26" t="n">
        <f t="array" ref="V12">V11</f>
        <v>1</v>
      </c>
      <c r="W12" s="26" t="n"/>
      <c r="X12" s="1100" t="e">
        <f t="array" ref="X12">Z8</f>
      </c>
      <c r="Y12" s="26" t="n">
        <v>0</v>
      </c>
      <c r="Z12" s="26" t="n"/>
      <c r="AA12" s="26" t="n"/>
      <c r="AB12" s="2105" t="e">
        <f t="array" ref="AB12">IF(AB8="","",IF(AB8&lt;YEAR($D$27),0,IF(AB8=YEAR($D$27),CEILING(1-MONTH($D$27)/12,0.1),IF(AND(AB8&gt;YEAR($D$27),AB8&lt;YEAR($G$29)),1,IF(AB8=YEAR($G$29),MONTH($G$29)/12,IF(AB8&gt;YEAR($G$29),0))))))</f>
      </c>
      <c r="AC12" s="2105" t="e">
        <f t="array" ref="AC12">IF(AC8="","",IF(AC8&lt;YEAR($D$27),0,IF(AC8=YEAR($D$27),CEILING(1-MONTH($D$27)/12,0.1),IF(AND(AC8&gt;YEAR($D$27),AC8&lt;YEAR($G$29)),1,IF(AC8=YEAR($G$29),MONTH($G$29)/12,IF(AC8&gt;YEAR($G$29),0))))))</f>
      </c>
      <c r="AD12" s="2105" t="e">
        <f t="array" ref="AD12">IF(AD8="","",IF(AD8&lt;YEAR($D$27),0,IF(AD8=YEAR($D$27),CEILING(1-MONTH($D$27)/12,0.1),IF(AND(AD8&gt;YEAR($D$27),AD8&lt;YEAR($G$29)),1,IF(AD8=YEAR($G$29),MONTH($G$29)/12,IF(AD8&gt;YEAR($G$29),0))))))</f>
      </c>
      <c r="AE12" s="2105" t="e">
        <f t="array" ref="AE12">IF(AE8="","",IF(AE8&lt;YEAR($D$27),0,IF(AE8=YEAR($D$27),CEILING(1-MONTH($D$27)/12,0.1),IF(AND(AE8&gt;YEAR($D$27),AE8&lt;YEAR($G$29)),1,IF(AE8=YEAR($G$29),MONTH($G$29)/12,IF(AE8&gt;YEAR($G$29),0))))))</f>
      </c>
      <c r="AF12" s="2105" t="e">
        <f t="array" ref="AF12">IF(AF8="","",IF(AF8&lt;YEAR($D$27),0,IF(AF8=YEAR($D$27),CEILING(1-MONTH($D$27)/12,0.1),IF(AND(AF8&gt;YEAR($D$27),AF8&lt;YEAR($G$29)),1,IF(AF8=YEAR($G$29),MONTH($G$29)/12,IF(AF8&gt;YEAR($G$29),0))))))</f>
      </c>
      <c r="AG12" s="2105" t="e">
        <f t="array" ref="AG12">IF(AG8="","",IF(AG8&lt;YEAR($D$27),0,IF(AG8=YEAR($D$27),CEILING(1-MONTH($D$27)/12,0.1),IF(AND(AG8&gt;YEAR($D$27),AG8&lt;YEAR($G$29)),1,IF(AG8=YEAR($G$29),MONTH($G$29)/12,IF(AG8&gt;YEAR($G$29),0))))))</f>
      </c>
      <c r="AH12" s="2105" t="e">
        <f t="array" ref="AH12">IF(AH8="","",IF(AH8&lt;YEAR($D$27),0,IF(AH8=YEAR($D$27),CEILING(MONTH($D$27)/12,0.1),IF(AND(AH8&gt;YEAR($D$27),AH8&lt;YEAR($G$29)),1,IF(AH8=YEAR($G$29),MONTH($G$29)/12,IF(AH8&gt;YEAR($G$29),0))))))</f>
      </c>
      <c r="AI12" s="2105" t="e">
        <f t="array" ref="AI12">IF(AI8="","",IF(AI8&lt;YEAR($D$27),0,IF(AI8=YEAR($D$27),CEILING(MONTH($D$27)/12,0.1),IF(AND(AI8&gt;YEAR($D$27),AI8&lt;YEAR($G$29)),1,IF(AI8=YEAR($G$29),MONTH($G$29)/12,IF(AI8&gt;YEAR($G$29),0))))))</f>
      </c>
      <c r="AJ12" s="2105" t="e">
        <f t="array" ref="AJ12">IF(AJ8="","",IF(AJ8&lt;YEAR($D$27),0,IF(AJ8=YEAR($D$27),CEILING(MONTH($D$27)/12,0.1),IF(AND(AJ8&gt;YEAR($D$27),AJ8&lt;YEAR($G$29)),1,IF(AJ8=YEAR($G$29),MONTH($G$29)/12,IF(AJ8&gt;YEAR($G$29),0))))))</f>
      </c>
      <c r="AK12" s="2105" t="e">
        <f t="array" ref="AK12">IF(AK8="","",IF(AK8&lt;YEAR($D$27),0,IF(AK8=YEAR($D$27),CEILING(MONTH($D$27)/12,0.1),IF(AND(AK8&gt;YEAR($D$27),AK8&lt;YEAR($G$29)),1,IF(AK8=YEAR($G$29),MONTH($G$29)/12,IF(AK8&gt;YEAR($G$29),0))))))</f>
      </c>
      <c r="AL12" s="2105" t="e">
        <f t="array" ref="AL12">IF(AL8="","",IF(AL8&lt;YEAR($D$27),0,IF(AL8=YEAR($D$27),CEILING(MONTH($D$27)/12,0.1),IF(AND(AL8&gt;YEAR($D$27),AL8&lt;YEAR($G$29)),1,IF(AL8=YEAR($G$29),MONTH($G$29)/12,IF(AL8&gt;YEAR($G$29),0))))))</f>
      </c>
      <c r="AM12" s="2159" t="str">
        <f t="array" ref="AM12">IF(AM8="","",IF(AM8&lt;YEAR($D$27),0,IF(AM8=YEAR($D$27),CEILING(MONTH($D$27)/12,0.1),IF(AND(AM8&gt;YEAR($D$27),AM8&lt;YEAR($G$29)),1,IF(AM8=YEAR($G$29),MONTH($G$29)/12,IF(AM8&gt;YEAR($G$29),0))))))</f>
      </c>
      <c r="AN12" s="2159" t="str">
        <f t="array" ref="AN12">IF(AN8="","",IF(AN8&lt;YEAR($D$27),0,IF(AN8=YEAR($D$27),CEILING(MONTH($D$27)/12,0.1),IF(AND(AN8&gt;YEAR($D$27),AN8&lt;YEAR($G$29)),1,IF(AN8=YEAR($G$29),MONTH($G$29)/12,IF(AN8&gt;YEAR($G$29),0))))))</f>
      </c>
      <c r="AO12" s="2159" t="str">
        <f t="array" ref="AO12">IF(AO8="","",IF(AO8&lt;YEAR($D$27),0,IF(AO8=YEAR($D$27),CEILING(MONTH($D$27)/12,0.1),IF(AND(AO8&gt;YEAR($D$27),AO8&lt;YEAR($G$29)),1,IF(AO8=YEAR($G$29),MONTH($G$29)/12,IF(AO8&gt;YEAR($G$29),0))))))</f>
      </c>
      <c r="AP12" s="2159" t="str">
        <f t="array" ref="AP12">IF(AP8="","",IF(AP8&lt;YEAR($D$27),0,IF(AP8=YEAR($D$27),CEILING(MONTH($D$27)/12,0.1),IF(AND(AP8&gt;YEAR($D$27),AP8&lt;YEAR($G$29)),1,IF(AP8=YEAR($G$29),MONTH($G$29)/12,IF(AP8&gt;YEAR($G$29),0))))))</f>
      </c>
      <c r="AQ12" s="2159" t="str">
        <f t="array" ref="AQ12">IF(AQ8="","",IF(AQ8&lt;YEAR($D$27),0,IF(AQ8=YEAR($D$27),CEILING(MONTH($D$27)/12,0.1),IF(AND(AQ8&gt;YEAR($D$27),AQ8&lt;YEAR($G$29)),1,IF(AQ8=YEAR($G$29),MONTH($G$29)/12,IF(AQ8&gt;YEAR($G$29),0))))))</f>
      </c>
      <c r="AR12" s="2159" t="str">
        <f t="array" ref="AR12">IF(AR8="","",IF(AR8&lt;YEAR($D$27),0,IF(AR8=YEAR($D$27),CEILING(MONTH($D$27)/12,0.1),IF(AND(AR8&gt;YEAR($D$27),AR8&lt;YEAR($G$29)),1,IF(AR8=YEAR($G$29),MONTH($G$29)/12,IF(AR8&gt;YEAR($G$29),0))))))</f>
      </c>
      <c r="AS12" s="2159" t="str">
        <f t="array" ref="AS12">IF(AS8="","",IF(AS8&lt;YEAR($D$27),0,IF(AS8=YEAR($D$27),CEILING(MONTH($D$27)/12,0.1),IF(AND(AS8&gt;YEAR($D$27),AS8&lt;YEAR($G$29)),1,IF(AS8=YEAR($G$29),MONTH($G$29)/12,IF(AS8&gt;YEAR($G$29),0))))))</f>
      </c>
      <c r="AT12" s="2159" t="str">
        <f t="array" ref="AT12">IF(AT8="","",IF(AT8&lt;YEAR($D$27),0,IF(AT8=YEAR($D$27),CEILING(MONTH($D$27)/12,0.1),IF(AND(AT8&gt;YEAR($D$27),AT8&lt;YEAR($G$29)),1,IF(AT8=YEAR($G$29),MONTH($G$29)/12,IF(AT8&gt;YEAR($G$29),0))))))</f>
      </c>
      <c r="AU12" s="2294" t="str">
        <f t="array" ref="AU12">IF(AU8="","",IF(AU8&lt;YEAR($D$27),0,IF(AU8=YEAR($D$27),CEILING(MONTH($D$27)/12,0.1),IF(AND(AU8&gt;YEAR($D$27),AU8&lt;YEAR($G$29)),1,IF(AU8=YEAR($G$29),MONTH($G$29)/12,IF(AU8&gt;YEAR($G$29),0))))))</f>
      </c>
    </row>
    <row r="13" s="3154" customFormat="1" ht="13.5" customHeight="1">
      <c r="A13" s="2283" t="str">
        <f t="array" ref="A13">PROPER('Cost Detail'!$A$59)</f>
        <v>Marketing &amp; Pre-opening</v>
      </c>
      <c r="B13" s="26" t="n"/>
      <c r="C13" s="26" t="n"/>
      <c r="D13" s="26" t="n"/>
      <c r="E13" s="3322" t="n">
        <f t="array" ref="E13">'Cost Detail'!C67</f>
        <v>195000</v>
      </c>
      <c r="F13" s="1922" t="n">
        <f t="array" ref="F13">E13/$E$18</f>
        <v>0.027013863620928825</v>
      </c>
      <c r="G13" s="4026" t="n">
        <f t="array" ref="G13">E13/'Project Summary'!$I$8</f>
        <v>10.743363793618734</v>
      </c>
      <c r="H13" s="3322" t="n">
        <f t="array" ref="H13">E13/'Project Summary'!$I$7</f>
        <v>1950</v>
      </c>
      <c r="I13" s="26" t="n"/>
      <c r="J13" s="177" t="n"/>
      <c r="K13" s="25" t="n"/>
      <c r="L13" s="2100" t="n"/>
      <c r="M13" s="26" t="n"/>
      <c r="N13" s="26" t="n"/>
      <c r="O13" s="26" t="n"/>
      <c r="P13" s="1100" t="e">
        <f t="array" ref="P13">P12+1</f>
      </c>
      <c r="Q13" s="1100" t="e">
        <f t="array" ref="Q13">YEAR(R13)</f>
      </c>
      <c r="R13" s="4015" t="e">
        <f t="array" ref="R13">EDATE($R$9,P13)</f>
      </c>
      <c r="S13" s="1100" t="e">
        <f t="array" ref="S13">P13</f>
      </c>
      <c r="T13" s="429" t="e">
        <f t="array" ref="T13">IF(P13&lt;$E$26,"Pre-Development",IF(AND(P13&gt;=$E$26,P13&lt;=$H$26),"Construction",IF(P13='Assumptions'!$T$110,"Terminal Sale","Operating")))</f>
      </c>
      <c r="U13" s="26" t="n"/>
      <c r="V13" s="26" t="n">
        <f t="array" ref="V13">V12</f>
        <v>1</v>
      </c>
      <c r="W13" s="26" t="n"/>
      <c r="X13" s="1100" t="e">
        <f t="array" ref="X13">IF(X12="","",IF((X12+1)&gt;$Z$9,"",(X12+1)))</f>
      </c>
      <c r="Y13" s="26" t="e">
        <f t="array" ref="Y13">IF(X13="","",Y12+1)</f>
      </c>
      <c r="Z13" s="26" t="n"/>
      <c r="AA13" s="26" t="n"/>
      <c r="AB13" s="26" t="n"/>
      <c r="AC13" s="26" t="n"/>
      <c r="AD13" s="26" t="n"/>
      <c r="AE13" s="26" t="n"/>
      <c r="AF13" s="26" t="n"/>
      <c r="AG13" s="26" t="n"/>
      <c r="AH13" s="26" t="n"/>
      <c r="AI13" s="26" t="n"/>
      <c r="AJ13" s="26" t="n"/>
      <c r="AK13" s="26" t="n"/>
      <c r="AL13" s="26" t="n"/>
      <c r="AM13" s="26" t="n"/>
      <c r="AN13" s="26" t="n"/>
      <c r="AO13" s="26" t="n"/>
      <c r="AP13" s="26" t="n"/>
      <c r="AQ13" s="26" t="n"/>
      <c r="AR13" s="26" t="n"/>
      <c r="AS13" s="26" t="n"/>
      <c r="AT13" s="26" t="n"/>
      <c r="AU13" s="27" t="n"/>
    </row>
    <row r="14" s="3154" customFormat="1" ht="13.5" customHeight="1">
      <c r="A14" s="2283" t="str">
        <f t="array" ref="A14">PROPER('Cost Detail'!$A$69)</f>
        <v>Financing</v>
      </c>
      <c r="B14" s="26" t="n"/>
      <c r="C14" s="26" t="n"/>
      <c r="D14" s="26" t="n"/>
      <c r="E14" s="3322" t="n">
        <f t="array" ref="E14">'Cost Detail'!C81</f>
        <v>538000</v>
      </c>
      <c r="F14" s="1922" t="n">
        <f t="array" ref="F14">E14/$E$18</f>
        <v>0.07453055706697286</v>
      </c>
      <c r="G14" s="4026" t="n">
        <f t="array" ref="G14">E14/'Project Summary'!$I$8</f>
        <v>29.640665235727585</v>
      </c>
      <c r="H14" s="3322" t="n">
        <f t="array" ref="H14">E14/'Project Summary'!$I$7</f>
        <v>5380</v>
      </c>
      <c r="I14" s="26" t="n"/>
      <c r="J14" s="177" t="n"/>
      <c r="K14" s="25" t="n"/>
      <c r="L14" s="2100" t="n"/>
      <c r="M14" s="26" t="n"/>
      <c r="N14" s="26" t="n"/>
      <c r="O14" s="26" t="n"/>
      <c r="P14" s="1100" t="e">
        <f t="array" ref="P14">P13+1</f>
      </c>
      <c r="Q14" s="1100" t="e">
        <f t="array" ref="Q14">YEAR(R14)</f>
      </c>
      <c r="R14" s="4015" t="e">
        <f t="array" ref="R14">EDATE($R$9,P14)</f>
      </c>
      <c r="S14" s="1100" t="e">
        <f t="array" ref="S14">P14</f>
      </c>
      <c r="T14" s="429" t="e">
        <f t="array" ref="T14">IF(P14&lt;$E$26,"Pre-Development",IF(AND(P14&gt;=$E$26,P14&lt;=$H$26),"Construction",IF(P14='Assumptions'!$T$110,"Terminal Sale","Operating")))</f>
      </c>
      <c r="U14" s="26" t="n"/>
      <c r="V14" s="26" t="n">
        <f t="array" ref="V14">V13</f>
        <v>1</v>
      </c>
      <c r="W14" s="26" t="n"/>
      <c r="X14" s="1100" t="e">
        <f t="array" ref="X14">IF(X13="","",IF((X13+1)&gt;$Z$9,"",(X13+1)))</f>
      </c>
      <c r="Y14" s="26" t="e">
        <f t="array" ref="Y14">IF(X14="","",Y13+1)</f>
      </c>
      <c r="Z14" s="26" t="n"/>
      <c r="AA14" s="26" t="n"/>
      <c r="AB14" s="26" t="n"/>
      <c r="AC14" s="26" t="n"/>
      <c r="AD14" s="26" t="n"/>
      <c r="AE14" s="26" t="n"/>
      <c r="AF14" s="26" t="n"/>
      <c r="AG14" s="26" t="n"/>
      <c r="AH14" s="26" t="n"/>
      <c r="AI14" s="26" t="n"/>
      <c r="AJ14" s="26" t="n"/>
      <c r="AK14" s="26" t="n"/>
      <c r="AL14" s="26" t="n"/>
      <c r="AM14" s="26" t="n"/>
      <c r="AN14" s="26" t="n"/>
      <c r="AO14" s="26" t="n"/>
      <c r="AP14" s="26" t="n"/>
      <c r="AQ14" s="26" t="n"/>
      <c r="AR14" s="26" t="n"/>
      <c r="AS14" s="26" t="n"/>
      <c r="AT14" s="26" t="n"/>
      <c r="AU14" s="27" t="n"/>
    </row>
    <row r="15" s="3154" customFormat="1" ht="13.5" customHeight="1">
      <c r="A15" s="2283" t="str">
        <f t="array" ref="A15">PROPER('Cost Detail'!$A$83)</f>
        <v>Construction Hard Costs</v>
      </c>
      <c r="B15" s="26" t="n"/>
      <c r="C15" s="26" t="n"/>
      <c r="D15" s="26" t="n"/>
      <c r="E15" s="3322" t="n">
        <f t="array" ref="E15">'Cost Detail'!C108</f>
        <v>4410870.4519178085</v>
      </c>
      <c r="F15" s="1922" t="n">
        <f t="array" ref="F15">E15/$E$18</f>
        <v>0.6110495017317558</v>
      </c>
      <c r="G15" s="4026" t="n">
        <f t="array" ref="G15">E15/'Project Summary'!$I$8</f>
        <v>243.01326108449481</v>
      </c>
      <c r="H15" s="3322" t="n">
        <f t="array" ref="H15">E15/'Project Summary'!$I$7</f>
        <v>44108.704519178085</v>
      </c>
      <c r="I15" s="26" t="n"/>
      <c r="J15" s="177" t="n"/>
      <c r="K15" s="25" t="n"/>
      <c r="L15" s="2100" t="n"/>
      <c r="M15" s="26" t="n"/>
      <c r="N15" s="26" t="n"/>
      <c r="O15" s="26" t="n"/>
      <c r="P15" s="1100" t="e">
        <f t="array" ref="P15">P14+1</f>
      </c>
      <c r="Q15" s="1100" t="e">
        <f t="array" ref="Q15">YEAR(R15)</f>
      </c>
      <c r="R15" s="4015" t="e">
        <f t="array" ref="R15">EDATE($R$9,P15)</f>
      </c>
      <c r="S15" s="1100" t="e">
        <f t="array" ref="S15">P15</f>
      </c>
      <c r="T15" s="429" t="e">
        <f t="array" ref="T15">IF(P15&lt;$E$26,"Pre-Development",IF(AND(P15&gt;=$E$26,P15&lt;=$H$26),"Construction",IF(P15='Assumptions'!$T$110,"Terminal Sale","Operating")))</f>
      </c>
      <c r="U15" s="26" t="n"/>
      <c r="V15" s="26" t="n">
        <f t="array" ref="V15">V14</f>
        <v>1</v>
      </c>
      <c r="W15" s="26" t="n"/>
      <c r="X15" s="1100" t="e">
        <f t="array" ref="X15">IF(X14="","",IF((X14+1)&gt;$Z$9,"",(X14+1)))</f>
      </c>
      <c r="Y15" s="26" t="e">
        <f t="array" ref="Y15">IF(X15="","",Y14+1)</f>
      </c>
      <c r="Z15" s="26" t="n"/>
      <c r="AA15" s="26" t="n"/>
      <c r="AB15" s="26" t="n"/>
      <c r="AC15" s="26" t="n"/>
      <c r="AD15" s="26" t="n"/>
      <c r="AE15" s="26" t="n"/>
      <c r="AF15" s="26" t="n"/>
      <c r="AG15" s="26" t="n"/>
      <c r="AH15" s="26" t="n"/>
      <c r="AI15" s="26" t="n"/>
      <c r="AJ15" s="26" t="n"/>
      <c r="AK15" s="26" t="n"/>
      <c r="AL15" s="26" t="n"/>
      <c r="AM15" s="26" t="n"/>
      <c r="AN15" s="26" t="n"/>
      <c r="AO15" s="26" t="n"/>
      <c r="AP15" s="26" t="n"/>
      <c r="AQ15" s="26" t="n"/>
      <c r="AR15" s="26" t="n"/>
      <c r="AS15" s="26" t="n"/>
      <c r="AT15" s="26" t="n"/>
      <c r="AU15" s="27" t="n"/>
    </row>
    <row r="16" s="3154" customFormat="1" ht="13.5" customHeight="1">
      <c r="A16" s="2283" t="str">
        <f t="array" ref="A16">PROPER('Cost Detail'!$A$144)</f>
        <v>Owner Direct Costs</v>
      </c>
      <c r="B16" s="26" t="n"/>
      <c r="C16" s="26" t="n"/>
      <c r="D16" s="26" t="n"/>
      <c r="E16" s="3322" t="n">
        <f t="array" ref="E16">'Cost Detail'!C175</f>
        <v>287635.76544937503</v>
      </c>
      <c r="F16" s="1922" t="n">
        <f t="array" ref="F16">E16/$E$18</f>
        <v>0.03984694020692763</v>
      </c>
      <c r="G16" s="4026" t="n">
        <f t="array" ref="G16">E16/'Project Summary'!$I$8</f>
        <v>15.84705470912116</v>
      </c>
      <c r="H16" s="3322" t="n">
        <f t="array" ref="H16">E16/'Project Summary'!$I$7</f>
        <v>2876.3576544937505</v>
      </c>
      <c r="I16" s="26" t="n"/>
      <c r="J16" s="177" t="n"/>
      <c r="K16" s="25" t="n"/>
      <c r="L16" s="2100" t="n"/>
      <c r="M16" s="26" t="n"/>
      <c r="N16" s="26" t="n"/>
      <c r="O16" s="26" t="n"/>
      <c r="P16" s="1100" t="e">
        <f t="array" ref="P16">P15+1</f>
      </c>
      <c r="Q16" s="1100" t="e">
        <f t="array" ref="Q16">YEAR(R16)</f>
      </c>
      <c r="R16" s="4015" t="e">
        <f t="array" ref="R16">EDATE($R$9,P16)</f>
      </c>
      <c r="S16" s="1100" t="e">
        <f t="array" ref="S16">P16</f>
      </c>
      <c r="T16" s="429" t="e">
        <f t="array" ref="T16">IF(P16&lt;$E$26,"Pre-Development",IF(AND(P16&gt;=$E$26,P16&lt;=$H$26),"Construction",IF(P16='Assumptions'!$T$110,"Terminal Sale","Operating")))</f>
      </c>
      <c r="U16" s="26" t="n"/>
      <c r="V16" s="26" t="n">
        <f t="array" ref="V16">V15</f>
        <v>1</v>
      </c>
      <c r="W16" s="26" t="n"/>
      <c r="X16" s="1100" t="e">
        <f t="array" ref="X16">IF(X15="","",IF((X15+1)&gt;$Z$9,"",(X15+1)))</f>
      </c>
      <c r="Y16" s="26" t="e">
        <f t="array" ref="Y16">IF(X16="","",Y15+1)</f>
      </c>
      <c r="Z16" s="26" t="n"/>
      <c r="AA16" s="26" t="n"/>
      <c r="AB16" s="26" t="n"/>
      <c r="AC16" s="26" t="n"/>
      <c r="AD16" s="26" t="n"/>
      <c r="AE16" s="26" t="n"/>
      <c r="AF16" s="26" t="n"/>
      <c r="AG16" s="26" t="n"/>
      <c r="AH16" s="26" t="n"/>
      <c r="AI16" s="26" t="n"/>
      <c r="AJ16" s="26" t="n"/>
      <c r="AK16" s="26" t="n"/>
      <c r="AL16" s="26" t="n"/>
      <c r="AM16" s="26" t="n"/>
      <c r="AN16" s="26" t="n"/>
      <c r="AO16" s="26" t="n"/>
      <c r="AP16" s="26" t="n"/>
      <c r="AQ16" s="26" t="n"/>
      <c r="AR16" s="26" t="n"/>
      <c r="AS16" s="26" t="n"/>
      <c r="AT16" s="26" t="n"/>
      <c r="AU16" s="27" t="n"/>
    </row>
    <row r="17" s="3154" customFormat="1" ht="13.5" customHeight="1">
      <c r="A17" s="2296" t="str">
        <f t="array" ref="A17">PROPER('Cost Detail'!$A$110)</f>
        <v>Construction Soft Costs</v>
      </c>
      <c r="B17" s="163" t="n"/>
      <c r="C17" s="163" t="n"/>
      <c r="D17" s="163" t="n"/>
      <c r="E17" s="3915" t="n">
        <f t="array" ref="E17">'Cost Detail'!C142</f>
        <v>243184.5320395377</v>
      </c>
      <c r="F17" s="2284" t="n">
        <f t="array" ref="F17">E17/$E$18</f>
        <v>0.03368899376018188</v>
      </c>
      <c r="G17" s="4064" t="n">
        <f t="array" ref="G17">E17/'Project Summary'!$I$8</f>
        <v>13.398050752213766</v>
      </c>
      <c r="H17" s="3915" t="n">
        <f t="array" ref="H17">E17/'Project Summary'!$I$7</f>
        <v>2431.8453203953773</v>
      </c>
      <c r="I17" s="163" t="n"/>
      <c r="J17" s="192" t="n"/>
      <c r="K17" s="25" t="n"/>
      <c r="L17" s="2100" t="n"/>
      <c r="M17" s="26" t="n"/>
      <c r="N17" s="26" t="n"/>
      <c r="O17" s="26" t="n"/>
      <c r="P17" s="1100" t="e">
        <f t="array" ref="P17">P16+1</f>
      </c>
      <c r="Q17" s="1100" t="e">
        <f t="array" ref="Q17">YEAR(R17)</f>
      </c>
      <c r="R17" s="4015" t="e">
        <f t="array" ref="R17">EDATE($R$9,P17)</f>
      </c>
      <c r="S17" s="1100" t="e">
        <f t="array" ref="S17">P17</f>
      </c>
      <c r="T17" s="429" t="e">
        <f t="array" ref="T17">IF(P17&lt;$E$26,"Pre-Development",IF(AND(P17&gt;=$E$26,P17&lt;=$H$26),"Construction",IF(P17='Assumptions'!$T$110,"Terminal Sale","Operating")))</f>
      </c>
      <c r="U17" s="26" t="n"/>
      <c r="V17" s="26" t="n">
        <f t="array" ref="V17">V16</f>
        <v>1</v>
      </c>
      <c r="W17" s="26" t="n"/>
      <c r="X17" s="1100" t="e">
        <f t="array" ref="X17">IF(X16="","",IF((X16+1)&gt;$Z$9,"",(X16+1)))</f>
      </c>
      <c r="Y17" s="26" t="e">
        <f t="array" ref="Y17">IF(X17="","",Y16+1)</f>
      </c>
      <c r="Z17" s="26" t="n"/>
      <c r="AA17" s="26" t="n"/>
      <c r="AB17" s="26" t="n"/>
      <c r="AC17" s="26" t="n"/>
      <c r="AD17" s="26" t="n"/>
      <c r="AE17" s="26" t="n"/>
      <c r="AF17" s="26" t="n"/>
      <c r="AG17" s="26" t="n"/>
      <c r="AH17" s="26" t="n"/>
      <c r="AI17" s="26" t="n"/>
      <c r="AJ17" s="26" t="n"/>
      <c r="AK17" s="26" t="n"/>
      <c r="AL17" s="26" t="n"/>
      <c r="AM17" s="26" t="n"/>
      <c r="AN17" s="26" t="n"/>
      <c r="AO17" s="26" t="n"/>
      <c r="AP17" s="26" t="n"/>
      <c r="AQ17" s="26" t="n"/>
      <c r="AR17" s="26" t="n"/>
      <c r="AS17" s="26" t="n"/>
      <c r="AT17" s="26" t="n"/>
      <c r="AU17" s="27" t="n"/>
    </row>
    <row r="18" s="3154" customFormat="1" ht="13.5" customHeight="1">
      <c r="A18" s="2286" t="inlineStr">
        <is>
          <t xml:space="preserve">Total Uses of Funds</t>
        </is>
      </c>
      <c r="B18" s="2287" t="n"/>
      <c r="C18" s="2287" t="n"/>
      <c r="D18" s="2287" t="n"/>
      <c r="E18" s="4065" t="n">
        <f t="array" ref="E18">SUM(E10:E17)</f>
        <v>7218515.749406721</v>
      </c>
      <c r="F18" s="2289" t="n">
        <f t="array" ref="F18">SUM(F10:F17)</f>
        <v>0.9999999999999999</v>
      </c>
      <c r="G18" s="4066" t="n">
        <f t="array" ref="G18">SUM(G10:G17)</f>
        <v>397.69815767098856</v>
      </c>
      <c r="H18" s="4065" t="n">
        <f t="array" ref="H18">SUM(H10:H17)</f>
        <v>72185.15749406721</v>
      </c>
      <c r="I18" s="2287" t="n"/>
      <c r="J18" s="2291" t="n"/>
      <c r="K18" s="25" t="n"/>
      <c r="L18" s="2100" t="n"/>
      <c r="M18" s="26" t="n"/>
      <c r="N18" s="26" t="n"/>
      <c r="O18" s="26" t="n"/>
      <c r="P18" s="1100" t="e">
        <f t="array" ref="P18">P17+1</f>
      </c>
      <c r="Q18" s="1100" t="e">
        <f t="array" ref="Q18">YEAR(R18)</f>
      </c>
      <c r="R18" s="4015" t="e">
        <f t="array" ref="R18">EDATE($R$9,P18)</f>
      </c>
      <c r="S18" s="1100" t="e">
        <f t="array" ref="S18">P18</f>
      </c>
      <c r="T18" s="429" t="e">
        <f t="array" ref="T18">IF(P18&lt;$E$26,"Pre-Development",IF(AND(P18&gt;=$E$26,P18&lt;=$H$26),"Construction",IF(P18='Assumptions'!$T$110,"Terminal Sale","Operating")))</f>
      </c>
      <c r="U18" s="26" t="n"/>
      <c r="V18" s="26" t="n">
        <f t="array" ref="V18">V17</f>
        <v>1</v>
      </c>
      <c r="W18" s="26" t="n"/>
      <c r="X18" s="1100" t="e">
        <f t="array" ref="X18">IF(X17="","",IF((X17+1)&gt;$Z$9,"",(X17+1)))</f>
      </c>
      <c r="Y18" s="26" t="e">
        <f t="array" ref="Y18">IF(X18="","",Y17+1)</f>
      </c>
      <c r="Z18" s="26" t="n"/>
      <c r="AA18" s="26" t="n"/>
      <c r="AB18" s="26" t="n"/>
      <c r="AC18" s="26" t="n"/>
      <c r="AD18" s="26" t="n"/>
      <c r="AE18" s="26" t="n"/>
      <c r="AF18" s="26" t="n"/>
      <c r="AG18" s="26" t="n"/>
      <c r="AH18" s="26" t="n"/>
      <c r="AI18" s="26" t="n"/>
      <c r="AJ18" s="26" t="n"/>
      <c r="AK18" s="26" t="n"/>
      <c r="AL18" s="26" t="n"/>
      <c r="AM18" s="26" t="n"/>
      <c r="AN18" s="26" t="n"/>
      <c r="AO18" s="26" t="n"/>
      <c r="AP18" s="26" t="n"/>
      <c r="AQ18" s="26" t="n"/>
      <c r="AR18" s="26" t="n"/>
      <c r="AS18" s="26" t="n"/>
      <c r="AT18" s="26" t="n"/>
      <c r="AU18" s="27" t="n"/>
    </row>
    <row r="19" s="3154" customFormat="1" ht="13.5" customHeight="1">
      <c r="A19" s="443" t="n"/>
      <c r="B19" s="158" t="n"/>
      <c r="C19" s="158" t="n"/>
      <c r="D19" s="158" t="n"/>
      <c r="E19" s="3226" t="n"/>
      <c r="F19" s="158" t="n"/>
      <c r="G19" s="158" t="n"/>
      <c r="H19" s="158" t="n"/>
      <c r="I19" s="158" t="n"/>
      <c r="J19" s="158" t="n"/>
      <c r="K19" s="26" t="n"/>
      <c r="L19" s="2100" t="n"/>
      <c r="M19" s="26" t="n"/>
      <c r="N19" s="26" t="n"/>
      <c r="O19" s="26" t="n"/>
      <c r="P19" s="1100" t="e">
        <f t="array" ref="P19">P18+1</f>
      </c>
      <c r="Q19" s="1100" t="e">
        <f t="array" ref="Q19">YEAR(R19)</f>
      </c>
      <c r="R19" s="4015" t="e">
        <f t="array" ref="R19">EDATE($R$9,P19)</f>
      </c>
      <c r="S19" s="1100" t="e">
        <f t="array" ref="S19">P19</f>
      </c>
      <c r="T19" s="429" t="e">
        <f t="array" ref="T19">IF(P19&lt;$E$26,"Pre-Development",IF(AND(P19&gt;=$E$26,P19&lt;=$H$26),"Construction",IF(P19='Assumptions'!$T$110,"Terminal Sale","Operating")))</f>
      </c>
      <c r="U19" s="26" t="n"/>
      <c r="V19" s="26" t="n">
        <f t="array" ref="V19">V18</f>
        <v>1</v>
      </c>
      <c r="W19" s="26" t="n"/>
      <c r="X19" s="1100" t="e">
        <f t="array" ref="X19">IF(X18="","",IF((X18+1)&gt;$Z$9,"",(X18+1)))</f>
      </c>
      <c r="Y19" s="26" t="e">
        <f t="array" ref="Y19">IF(X19="","",Y18+1)</f>
      </c>
      <c r="Z19" s="26" t="n"/>
      <c r="AA19" s="26" t="n"/>
      <c r="AB19" s="26" t="n"/>
      <c r="AC19" s="26" t="n"/>
      <c r="AD19" s="26" t="n"/>
      <c r="AE19" s="26" t="n"/>
      <c r="AF19" s="26" t="n"/>
      <c r="AG19" s="26" t="n"/>
      <c r="AH19" s="26" t="n"/>
      <c r="AI19" s="26" t="n"/>
      <c r="AJ19" s="26" t="n"/>
      <c r="AK19" s="26" t="n"/>
      <c r="AL19" s="26" t="n"/>
      <c r="AM19" s="26" t="n"/>
      <c r="AN19" s="26" t="n"/>
      <c r="AO19" s="26" t="n"/>
      <c r="AP19" s="26" t="n"/>
      <c r="AQ19" s="26" t="n"/>
      <c r="AR19" s="26" t="n"/>
      <c r="AS19" s="26" t="n"/>
      <c r="AT19" s="26" t="n"/>
      <c r="AU19" s="27" t="n"/>
    </row>
    <row r="20" s="3154" customFormat="1" ht="13.5" customHeight="1">
      <c r="A20" s="162" t="n"/>
      <c r="B20" s="163" t="n"/>
      <c r="C20" s="163" t="n"/>
      <c r="D20" s="163" t="n"/>
      <c r="E20" s="3915" t="n"/>
      <c r="F20" s="163" t="n"/>
      <c r="G20" s="163" t="n"/>
      <c r="H20" s="163" t="n"/>
      <c r="I20" s="26" t="n"/>
      <c r="J20" s="26" t="n"/>
      <c r="K20" s="26" t="n"/>
      <c r="L20" s="2100" t="n"/>
      <c r="M20" s="26" t="n"/>
      <c r="N20" s="26" t="n"/>
      <c r="O20" s="26" t="n"/>
      <c r="P20" s="1100" t="e">
        <f t="array" ref="P20">P19+1</f>
      </c>
      <c r="Q20" s="1100" t="e">
        <f t="array" ref="Q20">YEAR(R20)</f>
      </c>
      <c r="R20" s="4015" t="e">
        <f t="array" ref="R20">EDATE($R$9,P20)</f>
      </c>
      <c r="S20" s="1100" t="e">
        <f t="array" ref="S20">P20</f>
      </c>
      <c r="T20" s="429" t="e">
        <f t="array" ref="T20">IF(P20&lt;$E$26,"Pre-Development",IF(AND(P20&gt;=$E$26,P20&lt;=$H$26),"Construction",IF(P20='Assumptions'!$T$110,"Terminal Sale","Operating")))</f>
      </c>
      <c r="U20" s="26" t="n"/>
      <c r="V20" s="26" t="n">
        <f t="array" ref="V20">V19</f>
        <v>1</v>
      </c>
      <c r="W20" s="26" t="n"/>
      <c r="X20" s="1100" t="e">
        <f t="array" ref="X20">IF(X19="","",IF((X19+1)&gt;$Z$9,"",(X19+1)))</f>
      </c>
      <c r="Y20" s="26" t="e">
        <f t="array" ref="Y20">IF(X20="","",Y19+1)</f>
      </c>
      <c r="Z20" s="26" t="n"/>
      <c r="AA20" s="26" t="n"/>
      <c r="AB20" s="26" t="n"/>
      <c r="AC20" s="26" t="n"/>
      <c r="AD20" s="26" t="n"/>
      <c r="AE20" s="26" t="n"/>
      <c r="AF20" s="26" t="n"/>
      <c r="AG20" s="26" t="n"/>
      <c r="AH20" s="26" t="n"/>
      <c r="AI20" s="26" t="n"/>
      <c r="AJ20" s="26" t="n"/>
      <c r="AK20" s="26" t="n"/>
      <c r="AL20" s="26" t="n"/>
      <c r="AM20" s="26" t="n"/>
      <c r="AN20" s="26" t="n"/>
      <c r="AO20" s="26" t="n"/>
      <c r="AP20" s="26" t="n"/>
      <c r="AQ20" s="26" t="n"/>
      <c r="AR20" s="26" t="n"/>
      <c r="AS20" s="26" t="n"/>
      <c r="AT20" s="26" t="n"/>
      <c r="AU20" s="27" t="n"/>
    </row>
    <row r="21" s="3154" customFormat="1" ht="13.5" customHeight="1">
      <c r="A21" s="525" t="inlineStr">
        <is>
          <t xml:space="preserve">TIMELINE</t>
        </is>
      </c>
      <c r="B21" s="526" t="n"/>
      <c r="C21" s="2280" t="n"/>
      <c r="D21" s="2279" t="inlineStr">
        <is>
          <t xml:space="preserve">START</t>
        </is>
      </c>
      <c r="E21" s="2279" t="inlineStr">
        <is>
          <t xml:space="preserve">MTH</t>
        </is>
      </c>
      <c r="F21" s="2279" t="inlineStr">
        <is>
          <t xml:space="preserve">DUR</t>
        </is>
      </c>
      <c r="G21" s="2279" t="inlineStr">
        <is>
          <t xml:space="preserve">END</t>
        </is>
      </c>
      <c r="H21" s="2297" t="inlineStr">
        <is>
          <t xml:space="preserve">MTH</t>
        </is>
      </c>
      <c r="I21" s="25" t="n"/>
      <c r="J21" s="26" t="n"/>
      <c r="K21" s="26" t="n"/>
      <c r="L21" s="2100" t="n"/>
      <c r="M21" s="26" t="n"/>
      <c r="N21" s="26" t="n"/>
      <c r="O21" s="26" t="n"/>
      <c r="P21" s="1100" t="e">
        <f t="array" ref="P21">P20+1</f>
      </c>
      <c r="Q21" s="1100" t="e">
        <f t="array" ref="Q21">YEAR(R21)</f>
      </c>
      <c r="R21" s="4015" t="e">
        <f t="array" ref="R21">EDATE($R$9,P21)</f>
      </c>
      <c r="S21" s="1100" t="e">
        <f t="array" ref="S21">P21</f>
      </c>
      <c r="T21" s="429" t="e">
        <f t="array" ref="T21">IF(P21&lt;$E$26,"Pre-Development",IF(AND(P21&gt;=$E$26,P21&lt;=$H$26),"Construction",IF(P21='Assumptions'!$T$110,"Terminal Sale","Operating")))</f>
      </c>
      <c r="U21" s="26" t="n"/>
      <c r="V21" s="26" t="n">
        <f t="array" ref="V21">V20+1</f>
        <v>2</v>
      </c>
      <c r="W21" s="26" t="n"/>
      <c r="X21" s="1100" t="e">
        <f t="array" ref="X21">IF(X20="","",IF((X20+1)&gt;$Z$9,"",(X20+1)))</f>
      </c>
      <c r="Y21" s="26" t="e">
        <f t="array" ref="Y21">IF(X21="","",Y20+1)</f>
      </c>
      <c r="Z21" s="26" t="n"/>
      <c r="AA21" s="26" t="n"/>
      <c r="AB21" s="26" t="n"/>
      <c r="AC21" s="26" t="n"/>
      <c r="AD21" s="26" t="n"/>
      <c r="AE21" s="26" t="n"/>
      <c r="AF21" s="26" t="n"/>
      <c r="AG21" s="26" t="n"/>
      <c r="AH21" s="26" t="n"/>
      <c r="AI21" s="26" t="n"/>
      <c r="AJ21" s="26" t="n"/>
      <c r="AK21" s="26" t="n"/>
      <c r="AL21" s="26" t="n"/>
      <c r="AM21" s="26" t="n"/>
      <c r="AN21" s="26" t="n"/>
      <c r="AO21" s="26" t="n"/>
      <c r="AP21" s="26" t="n"/>
      <c r="AQ21" s="26" t="n"/>
      <c r="AR21" s="26" t="n"/>
      <c r="AS21" s="26" t="n"/>
      <c r="AT21" s="26" t="n"/>
      <c r="AU21" s="27" t="n"/>
    </row>
    <row r="22" s="3154" customFormat="1" ht="13.5" customHeight="1">
      <c r="A22" s="1905" t="str">
        <f t="array" ref="A22">'Assumptions'!A16</f>
        <v>Land Acquisition</v>
      </c>
      <c r="B22" s="1906" t="n"/>
      <c r="C22" s="2298" t="n"/>
      <c r="D22" s="4068" t="n">
        <f t="array" ref="D22">'Assumptions'!D16</f>
        <v>46113</v>
      </c>
      <c r="E22" s="2298" t="n">
        <f t="array" ref="E22">'Assumptions'!E16</f>
        <v>0</v>
      </c>
      <c r="F22" s="2298" t="n">
        <f t="array" ref="F22">'Assumptions'!F16</f>
        <v>0</v>
      </c>
      <c r="G22" s="4068" t="n">
        <f t="array" ref="G22">'Assumptions'!G16</f>
        <v>46113</v>
      </c>
      <c r="H22" s="2298" t="n">
        <f t="array" ref="H22">'Assumptions'!H16</f>
        <v>0</v>
      </c>
      <c r="I22" s="26" t="n"/>
      <c r="J22" s="26" t="n"/>
      <c r="K22" s="26" t="n"/>
      <c r="L22" s="2100" t="n"/>
      <c r="M22" s="26" t="n"/>
      <c r="N22" s="26" t="n"/>
      <c r="O22" s="26" t="n"/>
      <c r="P22" s="1100" t="e">
        <f t="array" ref="P22">P21+1</f>
      </c>
      <c r="Q22" s="1100" t="e">
        <f t="array" ref="Q22">YEAR(R22)</f>
      </c>
      <c r="R22" s="4015" t="e">
        <f t="array" ref="R22">EDATE($R$9,P22)</f>
      </c>
      <c r="S22" s="1100" t="e">
        <f t="array" ref="S22">P22</f>
      </c>
      <c r="T22" s="429" t="e">
        <f t="array" ref="T22">IF(P22&lt;$E$26,"Pre-Development",IF(AND(P22&gt;=$E$26,P22&lt;=$H$26),"Construction",IF(P22='Assumptions'!$T$110,"Terminal Sale","Operating")))</f>
      </c>
      <c r="U22" s="26" t="n"/>
      <c r="V22" s="26" t="n">
        <f t="array" ref="V22">V21</f>
        <v>2</v>
      </c>
      <c r="W22" s="26" t="n"/>
      <c r="X22" s="1100" t="e">
        <f t="array" ref="X22">IF(X21="","",IF((X21+1)&gt;$Z$9,"",(X21+1)))</f>
      </c>
      <c r="Y22" s="26" t="e">
        <f t="array" ref="Y22">IF(X22="","",Y21+1)</f>
      </c>
      <c r="Z22" s="26" t="n"/>
      <c r="AA22" s="26" t="n"/>
      <c r="AB22" s="26" t="n"/>
      <c r="AC22" s="26" t="n"/>
      <c r="AD22" s="26" t="n"/>
      <c r="AE22" s="26" t="n"/>
      <c r="AF22" s="26" t="n"/>
      <c r="AG22" s="26" t="n"/>
      <c r="AH22" s="26" t="n"/>
      <c r="AI22" s="26" t="n"/>
      <c r="AJ22" s="26" t="n"/>
      <c r="AK22" s="26" t="n"/>
      <c r="AL22" s="26" t="n"/>
      <c r="AM22" s="26" t="n"/>
      <c r="AN22" s="26" t="n"/>
      <c r="AO22" s="26" t="n"/>
      <c r="AP22" s="26" t="n"/>
      <c r="AQ22" s="26" t="n"/>
      <c r="AR22" s="26" t="n"/>
      <c r="AS22" s="26" t="n"/>
      <c r="AT22" s="26" t="n"/>
      <c r="AU22" s="27" t="n"/>
    </row>
    <row r="23" s="3154" customFormat="1" ht="13.5" customHeight="1">
      <c r="A23" s="1910" t="str">
        <f t="array" ref="A23">'Assumptions'!A17</f>
        <v>Appprovals</v>
      </c>
      <c r="B23" s="179" t="n"/>
      <c r="C23" s="215" t="n"/>
      <c r="D23" s="3233" t="n">
        <f t="array" ref="D23">'Assumptions'!D17</f>
        <v>46113</v>
      </c>
      <c r="E23" s="215" t="n">
        <f t="array" ref="E23">'Assumptions'!E17</f>
        <v>0</v>
      </c>
      <c r="F23" s="215" t="n">
        <f t="array" ref="F23">'Assumptions'!F17</f>
        <v>0</v>
      </c>
      <c r="G23" s="3233" t="n">
        <f t="array" ref="G23">'Assumptions'!G17</f>
        <v>46113</v>
      </c>
      <c r="H23" s="215" t="n">
        <f t="array" ref="H23">'Assumptions'!H17</f>
        <v>0</v>
      </c>
      <c r="I23" s="26" t="n"/>
      <c r="J23" s="26" t="n"/>
      <c r="K23" s="26" t="n"/>
      <c r="L23" s="2100" t="n"/>
      <c r="M23" s="26" t="n"/>
      <c r="N23" s="26" t="n"/>
      <c r="O23" s="26" t="n"/>
      <c r="P23" s="1100" t="e">
        <f t="array" ref="P23">P22+1</f>
      </c>
      <c r="Q23" s="1100" t="e">
        <f t="array" ref="Q23">YEAR(R23)</f>
      </c>
      <c r="R23" s="4015" t="e">
        <f t="array" ref="R23">EDATE($R$9,P23)</f>
      </c>
      <c r="S23" s="1100" t="e">
        <f t="array" ref="S23">P23</f>
      </c>
      <c r="T23" s="429" t="e">
        <f t="array" ref="T23">IF(P23&lt;$E$26,"Pre-Development",IF(AND(P23&gt;=$E$26,P23&lt;=$H$26),"Construction",IF(P23='Assumptions'!$T$110,"Terminal Sale","Operating")))</f>
      </c>
      <c r="U23" s="26" t="n"/>
      <c r="V23" s="26" t="n">
        <f t="array" ref="V23">V22</f>
        <v>2</v>
      </c>
      <c r="W23" s="26" t="n"/>
      <c r="X23" s="1100" t="e">
        <f t="array" ref="X23">IF(X22="","",IF((X22+1)&gt;$Z$9,"",(X22+1)))</f>
      </c>
      <c r="Y23" s="26" t="e">
        <f t="array" ref="Y23">IF(X23="","",Y22+1)</f>
      </c>
      <c r="Z23" s="26" t="n"/>
      <c r="AA23" s="26" t="n"/>
      <c r="AB23" s="26" t="n"/>
      <c r="AC23" s="26" t="n"/>
      <c r="AD23" s="26" t="n"/>
      <c r="AE23" s="26" t="n"/>
      <c r="AF23" s="26" t="n"/>
      <c r="AG23" s="26" t="n"/>
      <c r="AH23" s="26" t="n"/>
      <c r="AI23" s="26" t="n"/>
      <c r="AJ23" s="26" t="n"/>
      <c r="AK23" s="26" t="n"/>
      <c r="AL23" s="26" t="n"/>
      <c r="AM23" s="26" t="n"/>
      <c r="AN23" s="26" t="n"/>
      <c r="AO23" s="26" t="n"/>
      <c r="AP23" s="26" t="n"/>
      <c r="AQ23" s="26" t="n"/>
      <c r="AR23" s="26" t="n"/>
      <c r="AS23" s="26" t="n"/>
      <c r="AT23" s="26" t="n"/>
      <c r="AU23" s="27" t="n"/>
    </row>
    <row r="24" s="3154" customFormat="1" ht="13.5" customHeight="1">
      <c r="A24" s="1910" t="str">
        <f t="array" ref="A24">'Assumptions'!A18</f>
        <v>Design</v>
      </c>
      <c r="B24" s="179" t="n"/>
      <c r="C24" s="215" t="n"/>
      <c r="D24" s="3233" t="n">
        <f t="array" ref="D24">'Assumptions'!D18</f>
        <v>46113</v>
      </c>
      <c r="E24" s="215" t="n">
        <f t="array" ref="E24">'Assumptions'!E18</f>
        <v>0</v>
      </c>
      <c r="F24" s="215" t="n">
        <f t="array" ref="F24">'Assumptions'!F18</f>
        <v>3</v>
      </c>
      <c r="G24" s="3233" t="e">
        <f t="array" ref="G24">'Assumptions'!G18</f>
      </c>
      <c r="H24" s="215" t="n">
        <f t="array" ref="H24">'Assumptions'!H18</f>
        <v>3</v>
      </c>
      <c r="I24" s="26" t="n"/>
      <c r="J24" s="26" t="n"/>
      <c r="K24" s="26" t="n"/>
      <c r="L24" s="2100" t="n"/>
      <c r="M24" s="2300" t="inlineStr">
        <is>
          <t xml:space="preserve">DAYS</t>
        </is>
      </c>
      <c r="N24" s="26" t="n"/>
      <c r="O24" s="26" t="n"/>
      <c r="P24" s="1100" t="e">
        <f t="array" ref="P24">P23+1</f>
      </c>
      <c r="Q24" s="1100" t="e">
        <f t="array" ref="Q24">YEAR(R24)</f>
      </c>
      <c r="R24" s="4015" t="e">
        <f t="array" ref="R24">EDATE($R$9,P24)</f>
      </c>
      <c r="S24" s="1100" t="e">
        <f t="array" ref="S24">P24</f>
      </c>
      <c r="T24" s="429" t="e">
        <f t="array" ref="T24">IF(P24&lt;$E$26,"Pre-Development",IF(AND(P24&gt;=$E$26,P24&lt;=$H$26),"Construction",IF(P24='Assumptions'!$T$110,"Terminal Sale","Operating")))</f>
      </c>
      <c r="U24" s="26" t="n"/>
      <c r="V24" s="26" t="n">
        <f t="array" ref="V24">V23</f>
        <v>2</v>
      </c>
      <c r="W24" s="26" t="n"/>
      <c r="X24" s="2159" t="e">
        <f t="array" ref="X24">IF(X23="","",IF((X23+1)&gt;$Z$9,"",(X23+1)))</f>
      </c>
      <c r="Y24" s="38" t="e">
        <f t="array" ref="Y24">IF(X24="","",Y23+1)</f>
      </c>
      <c r="Z24" s="26" t="n"/>
      <c r="AA24" s="26" t="n"/>
      <c r="AB24" s="26" t="n"/>
      <c r="AC24" s="26" t="n"/>
      <c r="AD24" s="26" t="n"/>
      <c r="AE24" s="26" t="n"/>
      <c r="AF24" s="26" t="n"/>
      <c r="AG24" s="26" t="n"/>
      <c r="AH24" s="26" t="n"/>
      <c r="AI24" s="26" t="n"/>
      <c r="AJ24" s="26" t="n"/>
      <c r="AK24" s="26" t="n"/>
      <c r="AL24" s="26" t="n"/>
      <c r="AM24" s="26" t="n"/>
      <c r="AN24" s="26" t="n"/>
      <c r="AO24" s="26" t="n"/>
      <c r="AP24" s="26" t="n"/>
      <c r="AQ24" s="26" t="n"/>
      <c r="AR24" s="26" t="n"/>
      <c r="AS24" s="26" t="n"/>
      <c r="AT24" s="26" t="n"/>
      <c r="AU24" s="27" t="n"/>
    </row>
    <row r="25" s="3154" customFormat="1" ht="13.5" customHeight="1">
      <c r="A25" s="1910" t="str">
        <f t="array" ref="A25">'Assumptions'!A19</f>
        <v>Permitting</v>
      </c>
      <c r="B25" s="179" t="n"/>
      <c r="C25" s="215" t="n"/>
      <c r="D25" s="3233" t="e">
        <f t="array" ref="D25">'Assumptions'!D19</f>
      </c>
      <c r="E25" s="215" t="n">
        <f t="array" ref="E25">'Assumptions'!E19</f>
        <v>1</v>
      </c>
      <c r="F25" s="215" t="n">
        <f t="array" ref="F25">'Assumptions'!F19</f>
        <v>2</v>
      </c>
      <c r="G25" s="3233" t="e">
        <f t="array" ref="G25">'Assumptions'!G19</f>
      </c>
      <c r="H25" s="215" t="n">
        <f t="array" ref="H25">'Assumptions'!H19</f>
        <v>3</v>
      </c>
      <c r="I25" s="26" t="n"/>
      <c r="J25" s="26" t="n"/>
      <c r="K25" s="26" t="n"/>
      <c r="L25" s="2100" t="n"/>
      <c r="M25" s="2301" t="n">
        <f t="array" ref="M25">IF(F22=0,90,(F22*30))</f>
        <v>90</v>
      </c>
      <c r="N25" s="26" t="n"/>
      <c r="O25" s="26" t="n"/>
      <c r="P25" s="1100" t="e">
        <f t="array" ref="P25">P24+1</f>
      </c>
      <c r="Q25" s="1100" t="e">
        <f t="array" ref="Q25">YEAR(R25)</f>
      </c>
      <c r="R25" s="4015" t="e">
        <f t="array" ref="R25">EDATE($R$9,P25)</f>
      </c>
      <c r="S25" s="1100" t="e">
        <f t="array" ref="S25">P25</f>
      </c>
      <c r="T25" s="429" t="e">
        <f t="array" ref="T25">IF(P25&lt;$E$26,"Pre-Development",IF(AND(P25&gt;=$E$26,P25&lt;=$H$26),"Construction",IF(P25='Assumptions'!$T$110,"Terminal Sale","Operating")))</f>
      </c>
      <c r="U25" s="26" t="n"/>
      <c r="V25" s="26" t="n">
        <f t="array" ref="V25">V24</f>
        <v>2</v>
      </c>
      <c r="W25" s="26" t="n"/>
      <c r="X25" s="2159" t="e">
        <f t="array" ref="X25">IF(X24="","",IF((X24+1)&gt;$Z$9,"",(X24+1)))</f>
      </c>
      <c r="Y25" s="38" t="e">
        <f t="array" ref="Y25">IF(X25="","",Y24+1)</f>
      </c>
      <c r="Z25" s="26" t="n"/>
      <c r="AA25" s="26" t="n"/>
      <c r="AB25" s="26" t="n"/>
      <c r="AC25" s="26" t="n"/>
      <c r="AD25" s="26" t="n"/>
      <c r="AE25" s="26" t="n"/>
      <c r="AF25" s="26" t="n"/>
      <c r="AG25" s="26" t="n"/>
      <c r="AH25" s="26" t="n"/>
      <c r="AI25" s="26" t="n"/>
      <c r="AJ25" s="26" t="n"/>
      <c r="AK25" s="26" t="n"/>
      <c r="AL25" s="26" t="n"/>
      <c r="AM25" s="26" t="n"/>
      <c r="AN25" s="26" t="n"/>
      <c r="AO25" s="26" t="n"/>
      <c r="AP25" s="26" t="n"/>
      <c r="AQ25" s="26" t="n"/>
      <c r="AR25" s="26" t="n"/>
      <c r="AS25" s="26" t="n"/>
      <c r="AT25" s="26" t="n"/>
      <c r="AU25" s="27" t="n"/>
    </row>
    <row r="26" s="3154" customFormat="1" ht="13.5" customHeight="1">
      <c r="A26" s="1910" t="str">
        <f t="array" ref="A26">'Assumptions'!A20</f>
        <v>Construction</v>
      </c>
      <c r="B26" s="179" t="n"/>
      <c r="C26" s="215" t="n"/>
      <c r="D26" s="3233" t="e">
        <f t="array" ref="D26">'Assumptions'!D20</f>
      </c>
      <c r="E26" s="215" t="n">
        <f t="array" ref="E26">'Assumptions'!E20</f>
        <v>3</v>
      </c>
      <c r="F26" s="215" t="n">
        <f t="array" ref="F26">'Assumptions'!F20</f>
        <v>9</v>
      </c>
      <c r="G26" s="3233" t="e">
        <f t="array" ref="G26">'Assumptions'!G20</f>
      </c>
      <c r="H26" s="215" t="n">
        <f t="array" ref="H26">'Assumptions'!H20</f>
        <v>12</v>
      </c>
      <c r="I26" s="26" t="n"/>
      <c r="J26" s="26" t="n"/>
      <c r="K26" s="26" t="n"/>
      <c r="L26" s="2100" t="n"/>
      <c r="M26" s="2302" t="n">
        <f t="array" ref="M26">IF(F23=0,90,(F23*30))</f>
        <v>90</v>
      </c>
      <c r="N26" s="26" t="n"/>
      <c r="O26" s="26" t="n"/>
      <c r="P26" s="1100" t="e">
        <f t="array" ref="P26">P25+1</f>
      </c>
      <c r="Q26" s="1100" t="e">
        <f t="array" ref="Q26">YEAR(R26)</f>
      </c>
      <c r="R26" s="4015" t="e">
        <f t="array" ref="R26">EDATE($R$9,P26)</f>
      </c>
      <c r="S26" s="1100" t="e">
        <f t="array" ref="S26">P26</f>
      </c>
      <c r="T26" s="429" t="e">
        <f t="array" ref="T26">IF(P26&lt;$E$26,"Pre-Development",IF(AND(P26&gt;=$E$26,P26&lt;=$H$26),"Construction",IF(P26='Assumptions'!$T$110,"Terminal Sale","Operating")))</f>
      </c>
      <c r="U26" s="26" t="n"/>
      <c r="V26" s="26" t="n">
        <f t="array" ref="V26">V25</f>
        <v>2</v>
      </c>
      <c r="W26" s="26" t="n"/>
      <c r="X26" s="2159" t="e">
        <f t="array" ref="X26">IF(X25="","",IF((X25+1)&gt;$Z$9,"",(X25+1)))</f>
      </c>
      <c r="Y26" s="38" t="e">
        <f t="array" ref="Y26">IF(X26="","",Y25+1)</f>
      </c>
      <c r="Z26" s="26" t="n"/>
      <c r="AA26" s="26" t="n"/>
      <c r="AB26" s="26" t="n"/>
      <c r="AC26" s="26" t="n"/>
      <c r="AD26" s="26" t="n"/>
      <c r="AE26" s="26" t="n"/>
      <c r="AF26" s="26" t="n"/>
      <c r="AG26" s="26" t="n"/>
      <c r="AH26" s="26" t="n"/>
      <c r="AI26" s="26" t="n"/>
      <c r="AJ26" s="26" t="n"/>
      <c r="AK26" s="26" t="n"/>
      <c r="AL26" s="26" t="n"/>
      <c r="AM26" s="26" t="n"/>
      <c r="AN26" s="26" t="n"/>
      <c r="AO26" s="26" t="n"/>
      <c r="AP26" s="26" t="n"/>
      <c r="AQ26" s="26" t="n"/>
      <c r="AR26" s="26" t="n"/>
      <c r="AS26" s="26" t="n"/>
      <c r="AT26" s="26" t="n"/>
      <c r="AU26" s="27" t="n"/>
    </row>
    <row r="27" s="3154" customFormat="1" ht="13.5" customHeight="1">
      <c r="A27" s="1910" t="str">
        <f t="array" ref="A27">'Assumptions'!A21</f>
        <v>Initial Stabilization</v>
      </c>
      <c r="B27" s="179" t="n"/>
      <c r="C27" s="215" t="n"/>
      <c r="D27" s="3233" t="e">
        <f t="array" ref="D27">'Assumptions'!D21</f>
      </c>
      <c r="E27" s="215" t="n">
        <f t="array" ref="E27">'Assumptions'!E21</f>
        <v>13</v>
      </c>
      <c r="F27" s="215" t="n">
        <f t="array" ref="F27">'Assumptions'!F21</f>
        <v>12</v>
      </c>
      <c r="G27" s="3233" t="e">
        <f t="array" ref="G27">'Assumptions'!G21</f>
      </c>
      <c r="H27" s="215" t="n">
        <f t="array" ref="H27">'Assumptions'!H21</f>
        <v>25</v>
      </c>
      <c r="I27" s="26" t="n"/>
      <c r="J27" s="26" t="n"/>
      <c r="K27" s="26" t="n"/>
      <c r="L27" s="2100" t="n"/>
      <c r="M27" s="2302" t="n">
        <f t="array" ref="M27">IF(F24=0,90,(F24*30))</f>
        <v>90</v>
      </c>
      <c r="N27" s="26" t="n"/>
      <c r="O27" s="26" t="n"/>
      <c r="P27" s="1100" t="e">
        <f t="array" ref="P27">P26+1</f>
      </c>
      <c r="Q27" s="1100" t="e">
        <f t="array" ref="Q27">YEAR(R27)</f>
      </c>
      <c r="R27" s="4015" t="e">
        <f t="array" ref="R27">EDATE($R$9,P27)</f>
      </c>
      <c r="S27" s="1100" t="e">
        <f t="array" ref="S27">P27</f>
      </c>
      <c r="T27" s="429" t="e">
        <f t="array" ref="T27">IF(P27&lt;$E$26,"Pre-Development",IF(AND(P27&gt;=$E$26,P27&lt;=$H$26),"Construction",IF(P27='Assumptions'!$T$110,"Terminal Sale","Operating")))</f>
      </c>
      <c r="U27" s="26" t="n"/>
      <c r="V27" s="26" t="n">
        <f t="array" ref="V27">V26</f>
        <v>2</v>
      </c>
      <c r="W27" s="26" t="n"/>
      <c r="X27" s="2159" t="e">
        <f t="array" ref="X27">IF(X26="","",IF((X26+1)&gt;$Z$9,"",(X26+1)))</f>
      </c>
      <c r="Y27" s="38" t="e">
        <f t="array" ref="Y27">IF(X27="","",Y26+1)</f>
      </c>
      <c r="Z27" s="26" t="n"/>
      <c r="AA27" s="26" t="n"/>
      <c r="AB27" s="26" t="n"/>
      <c r="AC27" s="26" t="n"/>
      <c r="AD27" s="26" t="n"/>
      <c r="AE27" s="26" t="n"/>
      <c r="AF27" s="26" t="n"/>
      <c r="AG27" s="26" t="n"/>
      <c r="AH27" s="26" t="n"/>
      <c r="AI27" s="26" t="n"/>
      <c r="AJ27" s="26" t="n"/>
      <c r="AK27" s="26" t="n"/>
      <c r="AL27" s="26" t="n"/>
      <c r="AM27" s="26" t="n"/>
      <c r="AN27" s="26" t="n"/>
      <c r="AO27" s="26" t="n"/>
      <c r="AP27" s="26" t="n"/>
      <c r="AQ27" s="26" t="n"/>
      <c r="AR27" s="26" t="n"/>
      <c r="AS27" s="26" t="n"/>
      <c r="AT27" s="26" t="n"/>
      <c r="AU27" s="27" t="n"/>
    </row>
    <row r="28" s="3154" customFormat="1" ht="13.5" customHeight="1">
      <c r="A28" s="1910" t="str">
        <f t="array" ref="A28">'Assumptions'!A22</f>
        <v>Final Stabilization</v>
      </c>
      <c r="B28" s="179" t="n"/>
      <c r="C28" s="215" t="n"/>
      <c r="D28" s="3233" t="e">
        <f t="array" ref="D28">'Assumptions'!D22</f>
      </c>
      <c r="E28" s="215" t="n">
        <f t="array" ref="E28">'Assumptions'!E22</f>
        <v>25</v>
      </c>
      <c r="F28" s="215" t="e">
        <f t="array" ref="F28">'Assumptions'!F22</f>
      </c>
      <c r="G28" s="3233" t="e">
        <f t="array" ref="G28">'Assumptions'!G22</f>
      </c>
      <c r="H28" s="215" t="e">
        <f t="array" ref="H28">'Assumptions'!H22</f>
      </c>
      <c r="I28" s="26" t="n"/>
      <c r="J28" s="26" t="n"/>
      <c r="K28" s="26" t="n"/>
      <c r="L28" s="2100" t="n"/>
      <c r="M28" s="2302" t="n">
        <f t="array" ref="M28">IF(F25=0,90,(F25*30))</f>
        <v>60</v>
      </c>
      <c r="N28" s="26" t="n"/>
      <c r="O28" s="26" t="n"/>
      <c r="P28" s="1100" t="e">
        <f t="array" ref="P28">P27+1</f>
      </c>
      <c r="Q28" s="1100" t="e">
        <f t="array" ref="Q28">YEAR(R28)</f>
      </c>
      <c r="R28" s="4015" t="e">
        <f t="array" ref="R28">EDATE($R$9,P28)</f>
      </c>
      <c r="S28" s="1100" t="e">
        <f t="array" ref="S28">P28</f>
      </c>
      <c r="T28" s="429" t="e">
        <f t="array" ref="T28">IF(P28&lt;$E$26,"Pre-Development",IF(AND(P28&gt;=$E$26,P28&lt;=$H$26),"Construction",IF(P28='Assumptions'!$T$110,"Terminal Sale","Operating")))</f>
      </c>
      <c r="U28" s="26" t="n"/>
      <c r="V28" s="26" t="n">
        <f t="array" ref="V28">V27</f>
        <v>2</v>
      </c>
      <c r="W28" s="26" t="n"/>
      <c r="X28" s="2159" t="e">
        <f t="array" ref="X28">IF(X27="","",IF((X27+1)&gt;$Z$9,"",(X27+1)))</f>
      </c>
      <c r="Y28" s="38" t="e">
        <f t="array" ref="Y28">IF(X28="","",Y27+1)</f>
      </c>
      <c r="Z28" s="26" t="n"/>
      <c r="AA28" s="26" t="n"/>
      <c r="AB28" s="26" t="n"/>
      <c r="AC28" s="26" t="n"/>
      <c r="AD28" s="26" t="n"/>
      <c r="AE28" s="26" t="n"/>
      <c r="AF28" s="26" t="n"/>
      <c r="AG28" s="26" t="n"/>
      <c r="AH28" s="26" t="n"/>
      <c r="AI28" s="26" t="n"/>
      <c r="AJ28" s="26" t="n"/>
      <c r="AK28" s="26" t="n"/>
      <c r="AL28" s="26" t="n"/>
      <c r="AM28" s="26" t="n"/>
      <c r="AN28" s="26" t="n"/>
      <c r="AO28" s="26" t="n"/>
      <c r="AP28" s="26" t="n"/>
      <c r="AQ28" s="26" t="n"/>
      <c r="AR28" s="26" t="n"/>
      <c r="AS28" s="26" t="n"/>
      <c r="AT28" s="26" t="n"/>
      <c r="AU28" s="27" t="n"/>
    </row>
    <row r="29" s="3154" customFormat="1" ht="13.5" customHeight="1">
      <c r="A29" s="1910" t="str">
        <f t="array" ref="A29">'Assumptions'!A23</f>
        <v>Terminal Sale</v>
      </c>
      <c r="B29" s="179" t="n"/>
      <c r="C29" s="215" t="n"/>
      <c r="D29" s="3233" t="n">
        <f t="array" ref="D29">'Assumptions'!D23</f>
        <v>50010</v>
      </c>
      <c r="E29" s="215" t="e">
        <f t="array" ref="E29">'Assumptions'!E23</f>
      </c>
      <c r="F29" s="215" t="n">
        <f t="array" ref="F29">'Assumptions'!F23</f>
        <v>0</v>
      </c>
      <c r="G29" s="3233" t="n">
        <f t="array" ref="G29">'Assumptions'!G23</f>
        <v>50010</v>
      </c>
      <c r="H29" s="215" t="e">
        <f t="array" ref="H29">'Assumptions'!H23</f>
      </c>
      <c r="I29" s="26" t="n"/>
      <c r="J29" s="26" t="n"/>
      <c r="K29" s="26" t="n"/>
      <c r="L29" s="2100" t="n"/>
      <c r="M29" s="2302" t="n">
        <f t="array" ref="M29">IF(F26=0,90,(F26*30))</f>
        <v>270</v>
      </c>
      <c r="N29" s="26" t="n"/>
      <c r="O29" s="26" t="n"/>
      <c r="P29" s="1100" t="e">
        <f t="array" ref="P29">P28+1</f>
      </c>
      <c r="Q29" s="1100" t="e">
        <f t="array" ref="Q29">YEAR(R29)</f>
      </c>
      <c r="R29" s="4015" t="e">
        <f t="array" ref="R29">EDATE($R$9,P29)</f>
      </c>
      <c r="S29" s="1100" t="e">
        <f t="array" ref="S29">P29</f>
      </c>
      <c r="T29" s="429" t="e">
        <f t="array" ref="T29">IF(P29&lt;$E$26,"Pre-Development",IF(AND(P29&gt;=$E$26,P29&lt;=$H$26),"Construction",IF(P29='Assumptions'!$T$110,"Terminal Sale","Operating")))</f>
      </c>
      <c r="U29" s="26" t="n"/>
      <c r="V29" s="26" t="n">
        <f t="array" ref="V29">V28</f>
        <v>2</v>
      </c>
      <c r="W29" s="26" t="n"/>
      <c r="X29" s="2159" t="e">
        <f t="array" ref="X29">IF(X28="","",IF((X28+1)&gt;$Z$9,"",(X28+1)))</f>
      </c>
      <c r="Y29" s="38" t="e">
        <f t="array" ref="Y29">IF(X29="","",Y28+1)</f>
      </c>
      <c r="Z29" s="26" t="n"/>
      <c r="AA29" s="26" t="n"/>
      <c r="AB29" s="26" t="n"/>
      <c r="AC29" s="26" t="n"/>
      <c r="AD29" s="26" t="n"/>
      <c r="AE29" s="26" t="n"/>
      <c r="AF29" s="26" t="n"/>
      <c r="AG29" s="26" t="n"/>
      <c r="AH29" s="26" t="n"/>
      <c r="AI29" s="26" t="n"/>
      <c r="AJ29" s="26" t="n"/>
      <c r="AK29" s="26" t="n"/>
      <c r="AL29" s="26" t="n"/>
      <c r="AM29" s="26" t="n"/>
      <c r="AN29" s="26" t="n"/>
      <c r="AO29" s="26" t="n"/>
      <c r="AP29" s="26" t="n"/>
      <c r="AQ29" s="26" t="n"/>
      <c r="AR29" s="26" t="n"/>
      <c r="AS29" s="26" t="n"/>
      <c r="AT29" s="26" t="n"/>
      <c r="AU29" s="27" t="n"/>
    </row>
    <row r="30" s="3154" customFormat="1" ht="13.5" customHeight="1">
      <c r="A30" s="1928" t="n"/>
      <c r="B30" s="189" t="n"/>
      <c r="C30" s="2303" t="n"/>
      <c r="D30" s="4069" t="n"/>
      <c r="E30" s="2303" t="n"/>
      <c r="F30" s="2303" t="n"/>
      <c r="G30" s="2303" t="n"/>
      <c r="H30" s="4069" t="n"/>
      <c r="I30" s="26" t="n"/>
      <c r="J30" s="26" t="n"/>
      <c r="K30" s="26" t="n"/>
      <c r="L30" s="2100" t="n"/>
      <c r="M30" s="2302" t="n">
        <f t="array" ref="M30">IF(F27=0,90,(F27*30))</f>
        <v>360</v>
      </c>
      <c r="N30" s="26" t="n"/>
      <c r="O30" s="26" t="n"/>
      <c r="P30" s="1100" t="e">
        <f t="array" ref="P30">P29+1</f>
      </c>
      <c r="Q30" s="1100" t="e">
        <f t="array" ref="Q30">YEAR(R30)</f>
      </c>
      <c r="R30" s="4015" t="e">
        <f t="array" ref="R30">EDATE($R$9,P30)</f>
      </c>
      <c r="S30" s="1100" t="e">
        <f t="array" ref="S30">P30</f>
      </c>
      <c r="T30" s="429" t="e">
        <f t="array" ref="T30">IF(P30&lt;$E$26,"Pre-Development",IF(AND(P30&gt;=$E$26,P30&lt;=$H$26),"Construction",IF(P30='Assumptions'!$T$110,"Terminal Sale","Operating")))</f>
      </c>
      <c r="U30" s="26" t="n"/>
      <c r="V30" s="26" t="n">
        <f t="array" ref="V30">V29</f>
        <v>2</v>
      </c>
      <c r="W30" s="26" t="n"/>
      <c r="X30" s="26" t="n"/>
      <c r="Y30" s="26" t="n"/>
      <c r="Z30" s="26" t="n"/>
      <c r="AA30" s="26" t="n"/>
      <c r="AB30" s="26" t="n"/>
      <c r="AC30" s="26" t="n"/>
      <c r="AD30" s="26" t="n"/>
      <c r="AE30" s="26" t="n"/>
      <c r="AF30" s="26" t="n"/>
      <c r="AG30" s="26" t="n"/>
      <c r="AH30" s="26" t="n"/>
      <c r="AI30" s="26" t="n"/>
      <c r="AJ30" s="26" t="n"/>
      <c r="AK30" s="26" t="n"/>
      <c r="AL30" s="26" t="n"/>
      <c r="AM30" s="26" t="n"/>
      <c r="AN30" s="26" t="n"/>
      <c r="AO30" s="26" t="n"/>
      <c r="AP30" s="26" t="n"/>
      <c r="AQ30" s="26" t="n"/>
      <c r="AR30" s="26" t="n"/>
      <c r="AS30" s="26" t="n"/>
      <c r="AT30" s="26" t="n"/>
      <c r="AU30" s="27" t="n"/>
    </row>
    <row r="31" s="3154" customFormat="1" ht="13.5" customHeight="1">
      <c r="A31" s="627" t="n"/>
      <c r="B31" s="26" t="n"/>
      <c r="C31" s="2208" t="n"/>
      <c r="D31" s="4070" t="n"/>
      <c r="E31" s="2208" t="n"/>
      <c r="F31" s="2208" t="n"/>
      <c r="G31" s="2208" t="n"/>
      <c r="H31" s="4070" t="n"/>
      <c r="I31" s="26" t="n"/>
      <c r="J31" s="26" t="n"/>
      <c r="K31" s="26" t="n"/>
      <c r="L31" s="2100" t="n"/>
      <c r="M31" s="2302" t="e">
        <f t="array" ref="M31">IF(F28=0,90,(F28*30))</f>
      </c>
      <c r="N31" s="26" t="n"/>
      <c r="O31" s="26" t="n"/>
      <c r="P31" s="1100" t="e">
        <f t="array" ref="P31">P30+1</f>
      </c>
      <c r="Q31" s="1100" t="e">
        <f t="array" ref="Q31">YEAR(R31)</f>
      </c>
      <c r="R31" s="4015" t="e">
        <f t="array" ref="R31">EDATE($R$9,P31)</f>
      </c>
      <c r="S31" s="1100" t="e">
        <f t="array" ref="S31">P31</f>
      </c>
      <c r="T31" s="429" t="e">
        <f t="array" ref="T31">IF(P31&lt;$E$26,"Pre-Development",IF(AND(P31&gt;=$E$26,P31&lt;=$H$26),"Construction",IF(P31='Assumptions'!$T$110,"Terminal Sale","Operating")))</f>
      </c>
      <c r="U31" s="26" t="n"/>
      <c r="V31" s="26" t="n">
        <f t="array" ref="V31">V30</f>
        <v>2</v>
      </c>
      <c r="W31" s="26" t="n"/>
      <c r="X31" s="26" t="n"/>
      <c r="Y31" s="26" t="n"/>
      <c r="Z31" s="26" t="n"/>
      <c r="AA31" s="26" t="n"/>
      <c r="AB31" s="26" t="n"/>
      <c r="AC31" s="26" t="n"/>
      <c r="AD31" s="26" t="n"/>
      <c r="AE31" s="26" t="n"/>
      <c r="AF31" s="26" t="n"/>
      <c r="AG31" s="26" t="n"/>
      <c r="AH31" s="26" t="n"/>
      <c r="AI31" s="26" t="n"/>
      <c r="AJ31" s="26" t="n"/>
      <c r="AK31" s="26" t="n"/>
      <c r="AL31" s="26" t="n"/>
      <c r="AM31" s="26" t="n"/>
      <c r="AN31" s="26" t="n"/>
      <c r="AO31" s="26" t="n"/>
      <c r="AP31" s="26" t="n"/>
      <c r="AQ31" s="26" t="n"/>
      <c r="AR31" s="26" t="n"/>
      <c r="AS31" s="26" t="n"/>
      <c r="AT31" s="26" t="n"/>
      <c r="AU31" s="27" t="n"/>
    </row>
    <row r="32" s="3154" customFormat="1" ht="13.5" customHeight="1">
      <c r="A32" s="627" t="n"/>
      <c r="B32" s="26" t="n"/>
      <c r="C32" s="2208" t="n"/>
      <c r="D32" s="4070" t="n"/>
      <c r="E32" s="2208" t="n"/>
      <c r="F32" s="2208" t="n"/>
      <c r="G32" s="2208" t="n"/>
      <c r="H32" s="4070" t="n"/>
      <c r="I32" s="26" t="n"/>
      <c r="J32" s="26" t="n"/>
      <c r="K32" s="26" t="n"/>
      <c r="L32" s="2100" t="n"/>
      <c r="M32" s="2302" t="n">
        <f t="array" ref="M32">IF(F29=0,90,(F29*30))</f>
        <v>90</v>
      </c>
      <c r="N32" s="26" t="n"/>
      <c r="O32" s="26" t="n"/>
      <c r="P32" s="1100" t="e">
        <f t="array" ref="P32">P31+1</f>
      </c>
      <c r="Q32" s="1100" t="e">
        <f t="array" ref="Q32">YEAR(R32)</f>
      </c>
      <c r="R32" s="4015" t="e">
        <f t="array" ref="R32">EDATE($R$9,P32)</f>
      </c>
      <c r="S32" s="1100" t="e">
        <f t="array" ref="S32">P32</f>
      </c>
      <c r="T32" s="429" t="e">
        <f t="array" ref="T32">IF(P32&lt;$E$26,"Pre-Development",IF(AND(P32&gt;=$E$26,P32&lt;=$H$26),"Construction",IF(P32='Assumptions'!$T$110,"Terminal Sale","Operating")))</f>
      </c>
      <c r="U32" s="26" t="n"/>
      <c r="V32" s="26" t="n">
        <f t="array" ref="V32">V31</f>
        <v>2</v>
      </c>
      <c r="W32" s="26" t="n"/>
      <c r="X32" s="26" t="n"/>
      <c r="Y32" s="26" t="n"/>
      <c r="Z32" s="26" t="n"/>
      <c r="AA32" s="26" t="n"/>
      <c r="AB32" s="26" t="n"/>
      <c r="AC32" s="26" t="n"/>
      <c r="AD32" s="26" t="n"/>
      <c r="AE32" s="26" t="n"/>
      <c r="AF32" s="26" t="n"/>
      <c r="AG32" s="26" t="n"/>
      <c r="AH32" s="26" t="n"/>
      <c r="AI32" s="26" t="n"/>
      <c r="AJ32" s="26" t="n"/>
      <c r="AK32" s="26" t="n"/>
      <c r="AL32" s="26" t="n"/>
      <c r="AM32" s="26" t="n"/>
      <c r="AN32" s="26" t="n"/>
      <c r="AO32" s="26" t="n"/>
      <c r="AP32" s="26" t="n"/>
      <c r="AQ32" s="26" t="n"/>
      <c r="AR32" s="26" t="n"/>
      <c r="AS32" s="26" t="n"/>
      <c r="AT32" s="26" t="n"/>
      <c r="AU32" s="27" t="n"/>
    </row>
    <row r="33" s="3154" customFormat="1" ht="13.5" customHeight="1">
      <c r="A33" s="627" t="n"/>
      <c r="B33" s="26" t="n"/>
      <c r="C33" s="2208" t="n"/>
      <c r="D33" s="4070" t="n"/>
      <c r="E33" s="2208" t="n"/>
      <c r="F33" s="2208" t="n"/>
      <c r="G33" s="2208" t="n"/>
      <c r="H33" s="4070" t="n"/>
      <c r="I33" s="26" t="n"/>
      <c r="J33" s="26" t="n"/>
      <c r="K33" s="26" t="n"/>
      <c r="L33" s="2100" t="n"/>
      <c r="M33" s="26" t="n"/>
      <c r="N33" s="26" t="n"/>
      <c r="O33" s="26" t="n"/>
      <c r="P33" s="1100" t="e">
        <f t="array" ref="P33">P32+1</f>
      </c>
      <c r="Q33" s="1100" t="e">
        <f t="array" ref="Q33">YEAR(R33)</f>
      </c>
      <c r="R33" s="4015" t="e">
        <f t="array" ref="R33">EDATE($R$9,P33)</f>
      </c>
      <c r="S33" s="1100" t="e">
        <f t="array" ref="S33">P33</f>
      </c>
      <c r="T33" s="429" t="e">
        <f t="array" ref="T33">IF(P33&lt;$E$26,"Pre-Development",IF(AND(P33&gt;=$E$26,P33&lt;=$H$26),"Construction",IF(P33='Assumptions'!$T$110,"Terminal Sale","Operating")))</f>
      </c>
      <c r="U33" s="26" t="n"/>
      <c r="V33" s="26" t="n">
        <f t="array" ref="V33">V32+1</f>
        <v>3</v>
      </c>
      <c r="W33" s="26" t="n"/>
      <c r="X33" s="26" t="n"/>
      <c r="Y33" s="26" t="n"/>
      <c r="Z33" s="26" t="n"/>
      <c r="AA33" s="26" t="n"/>
      <c r="AB33" s="26" t="n"/>
      <c r="AC33" s="26" t="n"/>
      <c r="AD33" s="26" t="n"/>
      <c r="AE33" s="26" t="n"/>
      <c r="AF33" s="26" t="n"/>
      <c r="AG33" s="26" t="n"/>
      <c r="AH33" s="26" t="n"/>
      <c r="AI33" s="26" t="n"/>
      <c r="AJ33" s="26" t="n"/>
      <c r="AK33" s="26" t="n"/>
      <c r="AL33" s="26" t="n"/>
      <c r="AM33" s="26" t="n"/>
      <c r="AN33" s="26" t="n"/>
      <c r="AO33" s="26" t="n"/>
      <c r="AP33" s="26" t="n"/>
      <c r="AQ33" s="26" t="n"/>
      <c r="AR33" s="26" t="n"/>
      <c r="AS33" s="26" t="n"/>
      <c r="AT33" s="26" t="n"/>
      <c r="AU33" s="27" t="n"/>
    </row>
    <row r="34" s="3154" customFormat="1" ht="13.5" customHeight="1">
      <c r="A34" s="627" t="n"/>
      <c r="B34" s="26" t="n"/>
      <c r="C34" s="2208" t="n"/>
      <c r="D34" s="4070" t="n"/>
      <c r="E34" s="2208" t="n"/>
      <c r="F34" s="2208" t="n"/>
      <c r="G34" s="2208" t="n"/>
      <c r="H34" s="4070" t="n"/>
      <c r="I34" s="26" t="n"/>
      <c r="J34" s="26" t="n"/>
      <c r="K34" s="26" t="n"/>
      <c r="L34" s="2100" t="n"/>
      <c r="M34" s="26" t="n"/>
      <c r="N34" s="26" t="n"/>
      <c r="O34" s="26" t="n"/>
      <c r="P34" s="1100" t="e">
        <f t="array" ref="P34">P33+1</f>
      </c>
      <c r="Q34" s="1100" t="e">
        <f t="array" ref="Q34">YEAR(R34)</f>
      </c>
      <c r="R34" s="4015" t="e">
        <f t="array" ref="R34">EDATE($R$9,P34)</f>
      </c>
      <c r="S34" s="1100" t="e">
        <f t="array" ref="S34">P34</f>
      </c>
      <c r="T34" s="429" t="e">
        <f t="array" ref="T34">IF(P34&lt;$E$26,"Pre-Development",IF(AND(P34&gt;=$E$26,P34&lt;=$H$26),"Construction",IF(P34='Assumptions'!$T$110,"Terminal Sale","Operating")))</f>
      </c>
      <c r="U34" s="26" t="n"/>
      <c r="V34" s="26" t="n">
        <f t="array" ref="V34">V33</f>
        <v>3</v>
      </c>
      <c r="W34" s="26" t="n"/>
      <c r="X34" s="26" t="n"/>
      <c r="Y34" s="26" t="n"/>
      <c r="Z34" s="26" t="n"/>
      <c r="AA34" s="26" t="n"/>
      <c r="AB34" s="26" t="n"/>
      <c r="AC34" s="26" t="n"/>
      <c r="AD34" s="26" t="n"/>
      <c r="AE34" s="26" t="n"/>
      <c r="AF34" s="26" t="n"/>
      <c r="AG34" s="26" t="n"/>
      <c r="AH34" s="26" t="n"/>
      <c r="AI34" s="26" t="n"/>
      <c r="AJ34" s="26" t="n"/>
      <c r="AK34" s="26" t="n"/>
      <c r="AL34" s="26" t="n"/>
      <c r="AM34" s="26" t="n"/>
      <c r="AN34" s="26" t="n"/>
      <c r="AO34" s="26" t="n"/>
      <c r="AP34" s="26" t="n"/>
      <c r="AQ34" s="26" t="n"/>
      <c r="AR34" s="26" t="n"/>
      <c r="AS34" s="26" t="n"/>
      <c r="AT34" s="26" t="n"/>
      <c r="AU34" s="27" t="n"/>
    </row>
    <row r="35" s="3154" customFormat="1" ht="13.5" customHeight="1">
      <c r="A35" s="627" t="n"/>
      <c r="B35" s="26" t="n"/>
      <c r="C35" s="2208" t="n"/>
      <c r="D35" s="4070" t="n"/>
      <c r="E35" s="2208" t="n"/>
      <c r="F35" s="2208" t="n"/>
      <c r="G35" s="2208" t="n"/>
      <c r="H35" s="4070" t="n"/>
      <c r="I35" s="26" t="n"/>
      <c r="J35" s="26" t="n"/>
      <c r="K35" s="26" t="n"/>
      <c r="L35" s="2100" t="n"/>
      <c r="M35" s="26" t="n"/>
      <c r="N35" s="26" t="n"/>
      <c r="O35" s="26" t="n"/>
      <c r="P35" s="1100" t="e">
        <f t="array" ref="P35">P34+1</f>
      </c>
      <c r="Q35" s="1100" t="e">
        <f t="array" ref="Q35">YEAR(R35)</f>
      </c>
      <c r="R35" s="4015" t="e">
        <f t="array" ref="R35">EDATE($R$9,P35)</f>
      </c>
      <c r="S35" s="1100" t="e">
        <f t="array" ref="S35">P35</f>
      </c>
      <c r="T35" s="429" t="e">
        <f t="array" ref="T35">IF(P35&lt;$E$26,"Pre-Development",IF(AND(P35&gt;=$E$26,P35&lt;=$H$26),"Construction",IF(P35='Assumptions'!$T$110,"Terminal Sale","Operating")))</f>
      </c>
      <c r="U35" s="26" t="n"/>
      <c r="V35" s="26" t="n">
        <f t="array" ref="V35">V34</f>
        <v>3</v>
      </c>
      <c r="W35" s="26" t="n"/>
      <c r="X35" s="26" t="n"/>
      <c r="Y35" s="26" t="n"/>
      <c r="Z35" s="26" t="n"/>
      <c r="AA35" s="26" t="n"/>
      <c r="AB35" s="26" t="n"/>
      <c r="AC35" s="26" t="n"/>
      <c r="AD35" s="26" t="n"/>
      <c r="AE35" s="26" t="n"/>
      <c r="AF35" s="26" t="n"/>
      <c r="AG35" s="26" t="n"/>
      <c r="AH35" s="26" t="n"/>
      <c r="AI35" s="26" t="n"/>
      <c r="AJ35" s="26" t="n"/>
      <c r="AK35" s="26" t="n"/>
      <c r="AL35" s="26" t="n"/>
      <c r="AM35" s="26" t="n"/>
      <c r="AN35" s="26" t="n"/>
      <c r="AO35" s="26" t="n"/>
      <c r="AP35" s="26" t="n"/>
      <c r="AQ35" s="26" t="n"/>
      <c r="AR35" s="26" t="n"/>
      <c r="AS35" s="26" t="n"/>
      <c r="AT35" s="26" t="n"/>
      <c r="AU35" s="27" t="n"/>
    </row>
    <row r="36" s="3154" customFormat="1" ht="13.5" customHeight="1">
      <c r="A36" s="627" t="n"/>
      <c r="B36" s="26" t="n"/>
      <c r="C36" s="2208" t="n"/>
      <c r="D36" s="4070" t="n"/>
      <c r="E36" s="2208" t="n"/>
      <c r="F36" s="2208" t="n"/>
      <c r="G36" s="2208" t="n"/>
      <c r="H36" s="4070" t="n"/>
      <c r="I36" s="26" t="n"/>
      <c r="J36" s="26" t="n"/>
      <c r="K36" s="26" t="n"/>
      <c r="L36" s="2100" t="n"/>
      <c r="M36" s="26" t="n"/>
      <c r="N36" s="26" t="n"/>
      <c r="O36" s="26" t="n"/>
      <c r="P36" s="1100" t="e">
        <f t="array" ref="P36">P35+1</f>
      </c>
      <c r="Q36" s="1100" t="e">
        <f t="array" ref="Q36">YEAR(R36)</f>
      </c>
      <c r="R36" s="4015" t="e">
        <f t="array" ref="R36">EDATE($R$9,P36)</f>
      </c>
      <c r="S36" s="1100" t="e">
        <f t="array" ref="S36">P36</f>
      </c>
      <c r="T36" s="429" t="e">
        <f t="array" ref="T36">IF(P36&lt;$E$26,"Pre-Development",IF(AND(P36&gt;=$E$26,P36&lt;=$H$26),"Construction",IF(P36='Assumptions'!$T$110,"Terminal Sale","Operating")))</f>
      </c>
      <c r="U36" s="26" t="n"/>
      <c r="V36" s="26" t="n">
        <f t="array" ref="V36">V35</f>
        <v>3</v>
      </c>
      <c r="W36" s="26" t="n"/>
      <c r="X36" s="26" t="n"/>
      <c r="Y36" s="26" t="n"/>
      <c r="Z36" s="26" t="n"/>
      <c r="AA36" s="26" t="n"/>
      <c r="AB36" s="26" t="n"/>
      <c r="AC36" s="26" t="n"/>
      <c r="AD36" s="26" t="n"/>
      <c r="AE36" s="26" t="n"/>
      <c r="AF36" s="26" t="n"/>
      <c r="AG36" s="26" t="n"/>
      <c r="AH36" s="26" t="n"/>
      <c r="AI36" s="26" t="n"/>
      <c r="AJ36" s="26" t="n"/>
      <c r="AK36" s="26" t="n"/>
      <c r="AL36" s="26" t="n"/>
      <c r="AM36" s="26" t="n"/>
      <c r="AN36" s="26" t="n"/>
      <c r="AO36" s="26" t="n"/>
      <c r="AP36" s="26" t="n"/>
      <c r="AQ36" s="26" t="n"/>
      <c r="AR36" s="26" t="n"/>
      <c r="AS36" s="26" t="n"/>
      <c r="AT36" s="26" t="n"/>
      <c r="AU36" s="27" t="n"/>
    </row>
    <row r="37" s="3154" customFormat="1" ht="13.5" customHeight="1">
      <c r="A37" s="627" t="n"/>
      <c r="B37" s="26" t="n"/>
      <c r="C37" s="2208" t="n"/>
      <c r="D37" s="4070" t="n"/>
      <c r="E37" s="2208" t="n"/>
      <c r="F37" s="2208" t="n"/>
      <c r="G37" s="2208" t="n"/>
      <c r="H37" s="4070" t="n"/>
      <c r="I37" s="26" t="n"/>
      <c r="J37" s="26" t="n"/>
      <c r="K37" s="26" t="n"/>
      <c r="L37" s="2100" t="n"/>
      <c r="M37" s="26" t="n"/>
      <c r="N37" s="26" t="n"/>
      <c r="O37" s="26" t="n"/>
      <c r="P37" s="1100" t="e">
        <f t="array" ref="P37">P36+1</f>
      </c>
      <c r="Q37" s="1100" t="e">
        <f t="array" ref="Q37">YEAR(R37)</f>
      </c>
      <c r="R37" s="4015" t="e">
        <f t="array" ref="R37">EDATE($R$9,P37)</f>
      </c>
      <c r="S37" s="1100" t="e">
        <f t="array" ref="S37">P37</f>
      </c>
      <c r="T37" s="429" t="e">
        <f t="array" ref="T37">IF(P37&lt;$E$26,"Pre-Development",IF(AND(P37&gt;=$E$26,P37&lt;=$H$26),"Construction",IF(P37='Assumptions'!$T$110,"Terminal Sale","Operating")))</f>
      </c>
      <c r="U37" s="26" t="n"/>
      <c r="V37" s="26" t="n">
        <f t="array" ref="V37">V36</f>
        <v>3</v>
      </c>
      <c r="W37" s="26" t="n"/>
      <c r="X37" s="26" t="n"/>
      <c r="Y37" s="26" t="n"/>
      <c r="Z37" s="26" t="n"/>
      <c r="AA37" s="26" t="n"/>
      <c r="AB37" s="26" t="n"/>
      <c r="AC37" s="26" t="n"/>
      <c r="AD37" s="26" t="n"/>
      <c r="AE37" s="26" t="n"/>
      <c r="AF37" s="26" t="n"/>
      <c r="AG37" s="26" t="n"/>
      <c r="AH37" s="26" t="n"/>
      <c r="AI37" s="26" t="n"/>
      <c r="AJ37" s="26" t="n"/>
      <c r="AK37" s="26" t="n"/>
      <c r="AL37" s="26" t="n"/>
      <c r="AM37" s="26" t="n"/>
      <c r="AN37" s="26" t="n"/>
      <c r="AO37" s="26" t="n"/>
      <c r="AP37" s="26" t="n"/>
      <c r="AQ37" s="26" t="n"/>
      <c r="AR37" s="26" t="n"/>
      <c r="AS37" s="26" t="n"/>
      <c r="AT37" s="26" t="n"/>
      <c r="AU37" s="27" t="n"/>
    </row>
    <row r="38" s="3154" customFormat="1" ht="13.5" customHeight="1">
      <c r="A38" s="627" t="n"/>
      <c r="B38" s="26" t="n"/>
      <c r="C38" s="2208" t="n"/>
      <c r="D38" s="4070" t="n"/>
      <c r="E38" s="2208" t="n"/>
      <c r="F38" s="2208" t="n"/>
      <c r="G38" s="2208" t="n"/>
      <c r="H38" s="4070" t="n"/>
      <c r="I38" s="26" t="n"/>
      <c r="J38" s="26" t="n"/>
      <c r="K38" s="26" t="n"/>
      <c r="L38" s="2100" t="n"/>
      <c r="M38" s="26" t="n"/>
      <c r="N38" s="26" t="n"/>
      <c r="O38" s="26" t="n"/>
      <c r="P38" s="1100" t="e">
        <f t="array" ref="P38">P37+1</f>
      </c>
      <c r="Q38" s="1100" t="e">
        <f t="array" ref="Q38">YEAR(R38)</f>
      </c>
      <c r="R38" s="4015" t="e">
        <f t="array" ref="R38">EDATE($R$9,P38)</f>
      </c>
      <c r="S38" s="1100" t="e">
        <f t="array" ref="S38">P38</f>
      </c>
      <c r="T38" s="429" t="e">
        <f t="array" ref="T38">IF(P38&lt;$E$26,"Pre-Development",IF(AND(P38&gt;=$E$26,P38&lt;=$H$26),"Construction",IF(P38='Assumptions'!$T$110,"Terminal Sale","Operating")))</f>
      </c>
      <c r="U38" s="26" t="n"/>
      <c r="V38" s="26" t="n">
        <f t="array" ref="V38">V37</f>
        <v>3</v>
      </c>
      <c r="W38" s="26" t="n"/>
      <c r="X38" s="26" t="n"/>
      <c r="Y38" s="26" t="n"/>
      <c r="Z38" s="26" t="n"/>
      <c r="AA38" s="26" t="n"/>
      <c r="AB38" s="26" t="n"/>
      <c r="AC38" s="26" t="n"/>
      <c r="AD38" s="26" t="n"/>
      <c r="AE38" s="26" t="n"/>
      <c r="AF38" s="26" t="n"/>
      <c r="AG38" s="26" t="n"/>
      <c r="AH38" s="26" t="n"/>
      <c r="AI38" s="26" t="n"/>
      <c r="AJ38" s="26" t="n"/>
      <c r="AK38" s="26" t="n"/>
      <c r="AL38" s="26" t="n"/>
      <c r="AM38" s="26" t="n"/>
      <c r="AN38" s="26" t="n"/>
      <c r="AO38" s="26" t="n"/>
      <c r="AP38" s="26" t="n"/>
      <c r="AQ38" s="26" t="n"/>
      <c r="AR38" s="26" t="n"/>
      <c r="AS38" s="26" t="n"/>
      <c r="AT38" s="26" t="n"/>
      <c r="AU38" s="27" t="n"/>
    </row>
    <row r="39" s="3154" customFormat="1" ht="13.5" customHeight="1">
      <c r="A39" s="627" t="n"/>
      <c r="B39" s="26" t="n"/>
      <c r="C39" s="2208" t="n"/>
      <c r="D39" s="4070" t="n"/>
      <c r="E39" s="2208" t="n"/>
      <c r="F39" s="2208" t="n"/>
      <c r="G39" s="2208" t="n"/>
      <c r="H39" s="4070" t="n"/>
      <c r="I39" s="26" t="n"/>
      <c r="J39" s="26" t="n"/>
      <c r="K39" s="26" t="n"/>
      <c r="L39" s="2100" t="n"/>
      <c r="M39" s="26" t="n"/>
      <c r="N39" s="26" t="n"/>
      <c r="O39" s="26" t="n"/>
      <c r="P39" s="1100" t="e">
        <f t="array" ref="P39">P38+1</f>
      </c>
      <c r="Q39" s="1100" t="e">
        <f t="array" ref="Q39">YEAR(R39)</f>
      </c>
      <c r="R39" s="4015" t="e">
        <f t="array" ref="R39">EDATE($R$9,P39)</f>
      </c>
      <c r="S39" s="1100" t="e">
        <f t="array" ref="S39">P39</f>
      </c>
      <c r="T39" s="429" t="e">
        <f t="array" ref="T39">IF(P39&lt;$E$26,"Pre-Development",IF(AND(P39&gt;=$E$26,P39&lt;=$H$26),"Construction",IF(P39='Assumptions'!$T$110,"Terminal Sale","Operating")))</f>
      </c>
      <c r="U39" s="26" t="n"/>
      <c r="V39" s="26" t="n">
        <f t="array" ref="V39">V38</f>
        <v>3</v>
      </c>
      <c r="W39" s="26" t="n"/>
      <c r="X39" s="26" t="n"/>
      <c r="Y39" s="26" t="n"/>
      <c r="Z39" s="26" t="n"/>
      <c r="AA39" s="26" t="n"/>
      <c r="AB39" s="26" t="n"/>
      <c r="AC39" s="26" t="n"/>
      <c r="AD39" s="26" t="n"/>
      <c r="AE39" s="26" t="n"/>
      <c r="AF39" s="26" t="n"/>
      <c r="AG39" s="26" t="n"/>
      <c r="AH39" s="26" t="n"/>
      <c r="AI39" s="26" t="n"/>
      <c r="AJ39" s="26" t="n"/>
      <c r="AK39" s="26" t="n"/>
      <c r="AL39" s="26" t="n"/>
      <c r="AM39" s="26" t="n"/>
      <c r="AN39" s="26" t="n"/>
      <c r="AO39" s="26" t="n"/>
      <c r="AP39" s="26" t="n"/>
      <c r="AQ39" s="26" t="n"/>
      <c r="AR39" s="26" t="n"/>
      <c r="AS39" s="26" t="n"/>
      <c r="AT39" s="26" t="n"/>
      <c r="AU39" s="27" t="n"/>
    </row>
    <row r="40" s="3154" customFormat="1" ht="13.5" customHeight="1">
      <c r="A40" s="627" t="n"/>
      <c r="B40" s="26" t="n"/>
      <c r="C40" s="2208" t="n"/>
      <c r="D40" s="4070" t="n"/>
      <c r="E40" s="2208" t="n"/>
      <c r="F40" s="2208" t="n"/>
      <c r="G40" s="2208" t="n"/>
      <c r="H40" s="4070" t="n"/>
      <c r="I40" s="26" t="n"/>
      <c r="J40" s="26" t="n"/>
      <c r="K40" s="26" t="n"/>
      <c r="L40" s="2100" t="n"/>
      <c r="M40" s="26" t="n"/>
      <c r="N40" s="26" t="n"/>
      <c r="O40" s="26" t="n"/>
      <c r="P40" s="1100" t="e">
        <f t="array" ref="P40">P39+1</f>
      </c>
      <c r="Q40" s="1100" t="e">
        <f t="array" ref="Q40">YEAR(R40)</f>
      </c>
      <c r="R40" s="4015" t="e">
        <f t="array" ref="R40">EDATE($R$9,P40)</f>
      </c>
      <c r="S40" s="1100" t="e">
        <f t="array" ref="S40">P40</f>
      </c>
      <c r="T40" s="429" t="e">
        <f t="array" ref="T40">IF(P40&lt;$E$26,"Pre-Development",IF(AND(P40&gt;=$E$26,P40&lt;=$H$26),"Construction",IF(P40='Assumptions'!$T$110,"Terminal Sale","Operating")))</f>
      </c>
      <c r="U40" s="26" t="n"/>
      <c r="V40" s="26" t="n">
        <f t="array" ref="V40">V39</f>
        <v>3</v>
      </c>
      <c r="W40" s="26" t="n"/>
      <c r="X40" s="26" t="n"/>
      <c r="Y40" s="26" t="n"/>
      <c r="Z40" s="26" t="n"/>
      <c r="AA40" s="26" t="n"/>
      <c r="AB40" s="26" t="n"/>
      <c r="AC40" s="26" t="n"/>
      <c r="AD40" s="26" t="n"/>
      <c r="AE40" s="26" t="n"/>
      <c r="AF40" s="26" t="n"/>
      <c r="AG40" s="26" t="n"/>
      <c r="AH40" s="26" t="n"/>
      <c r="AI40" s="26" t="n"/>
      <c r="AJ40" s="26" t="n"/>
      <c r="AK40" s="26" t="n"/>
      <c r="AL40" s="26" t="n"/>
      <c r="AM40" s="26" t="n"/>
      <c r="AN40" s="26" t="n"/>
      <c r="AO40" s="26" t="n"/>
      <c r="AP40" s="26" t="n"/>
      <c r="AQ40" s="26" t="n"/>
      <c r="AR40" s="26" t="n"/>
      <c r="AS40" s="26" t="n"/>
      <c r="AT40" s="26" t="n"/>
      <c r="AU40" s="27" t="n"/>
    </row>
    <row r="41" s="3154" customFormat="1" ht="13.5" customHeight="1">
      <c r="A41" s="627" t="n"/>
      <c r="B41" s="26" t="n"/>
      <c r="C41" s="2208" t="n"/>
      <c r="D41" s="4070" t="n"/>
      <c r="E41" s="2208" t="n"/>
      <c r="F41" s="2208" t="n"/>
      <c r="G41" s="2208" t="n"/>
      <c r="H41" s="4070" t="n"/>
      <c r="I41" s="26" t="n"/>
      <c r="J41" s="26" t="n"/>
      <c r="K41" s="26" t="n"/>
      <c r="L41" s="2100" t="n"/>
      <c r="M41" s="26" t="n"/>
      <c r="N41" s="26" t="n"/>
      <c r="O41" s="26" t="n"/>
      <c r="P41" s="1100" t="e">
        <f t="array" ref="P41">P40+1</f>
      </c>
      <c r="Q41" s="1100" t="e">
        <f t="array" ref="Q41">YEAR(R41)</f>
      </c>
      <c r="R41" s="4015" t="e">
        <f t="array" ref="R41">EDATE($R$9,P41)</f>
      </c>
      <c r="S41" s="1100" t="e">
        <f t="array" ref="S41">P41</f>
      </c>
      <c r="T41" s="429" t="e">
        <f t="array" ref="T41">IF(P41&lt;$E$26,"Pre-Development",IF(AND(P41&gt;=$E$26,P41&lt;=$H$26),"Construction",IF(P41='Assumptions'!$T$110,"Terminal Sale","Operating")))</f>
      </c>
      <c r="U41" s="26" t="n"/>
      <c r="V41" s="26" t="n">
        <f t="array" ref="V41">V40</f>
        <v>3</v>
      </c>
      <c r="W41" s="26" t="n"/>
      <c r="X41" s="26" t="n"/>
      <c r="Y41" s="26" t="n"/>
      <c r="Z41" s="26" t="n"/>
      <c r="AA41" s="26" t="n"/>
      <c r="AB41" s="26" t="n"/>
      <c r="AC41" s="26" t="n"/>
      <c r="AD41" s="26" t="n"/>
      <c r="AE41" s="26" t="n"/>
      <c r="AF41" s="26" t="n"/>
      <c r="AG41" s="26" t="n"/>
      <c r="AH41" s="26" t="n"/>
      <c r="AI41" s="26" t="n"/>
      <c r="AJ41" s="26" t="n"/>
      <c r="AK41" s="26" t="n"/>
      <c r="AL41" s="26" t="n"/>
      <c r="AM41" s="26" t="n"/>
      <c r="AN41" s="26" t="n"/>
      <c r="AO41" s="26" t="n"/>
      <c r="AP41" s="26" t="n"/>
      <c r="AQ41" s="26" t="n"/>
      <c r="AR41" s="26" t="n"/>
      <c r="AS41" s="26" t="n"/>
      <c r="AT41" s="26" t="n"/>
      <c r="AU41" s="27" t="n"/>
    </row>
    <row r="42" s="3154" customFormat="1" ht="13.5" customHeight="1">
      <c r="A42" s="627" t="n"/>
      <c r="B42" s="26" t="n"/>
      <c r="C42" s="2208" t="n"/>
      <c r="D42" s="4070" t="n"/>
      <c r="E42" s="2208" t="n"/>
      <c r="F42" s="2208" t="n"/>
      <c r="G42" s="2208" t="n"/>
      <c r="H42" s="4070" t="n"/>
      <c r="I42" s="26" t="n"/>
      <c r="J42" s="26" t="n"/>
      <c r="K42" s="26" t="n"/>
      <c r="L42" s="2100" t="n"/>
      <c r="M42" s="26" t="n"/>
      <c r="N42" s="26" t="n"/>
      <c r="O42" s="26" t="n"/>
      <c r="P42" s="1100" t="e">
        <f t="array" ref="P42">P41+1</f>
      </c>
      <c r="Q42" s="1100" t="e">
        <f t="array" ref="Q42">YEAR(R42)</f>
      </c>
      <c r="R42" s="4015" t="e">
        <f t="array" ref="R42">EDATE($R$9,P42)</f>
      </c>
      <c r="S42" s="1100" t="e">
        <f t="array" ref="S42">P42</f>
      </c>
      <c r="T42" s="429" t="e">
        <f t="array" ref="T42">IF(P42&lt;$E$26,"Pre-Development",IF(AND(P42&gt;=$E$26,P42&lt;=$H$26),"Construction",IF(P42='Assumptions'!$T$110,"Terminal Sale","Operating")))</f>
      </c>
      <c r="U42" s="26" t="n"/>
      <c r="V42" s="26" t="n">
        <f t="array" ref="V42">V41</f>
        <v>3</v>
      </c>
      <c r="W42" s="26" t="n"/>
      <c r="X42" s="26" t="n"/>
      <c r="Y42" s="26" t="n"/>
      <c r="Z42" s="26" t="n"/>
      <c r="AA42" s="26" t="n"/>
      <c r="AB42" s="26" t="n"/>
      <c r="AC42" s="26" t="n"/>
      <c r="AD42" s="26" t="n"/>
      <c r="AE42" s="26" t="n"/>
      <c r="AF42" s="26" t="n"/>
      <c r="AG42" s="26" t="n"/>
      <c r="AH42" s="26" t="n"/>
      <c r="AI42" s="26" t="n"/>
      <c r="AJ42" s="26" t="n"/>
      <c r="AK42" s="26" t="n"/>
      <c r="AL42" s="26" t="n"/>
      <c r="AM42" s="26" t="n"/>
      <c r="AN42" s="26" t="n"/>
      <c r="AO42" s="26" t="n"/>
      <c r="AP42" s="26" t="n"/>
      <c r="AQ42" s="26" t="n"/>
      <c r="AR42" s="26" t="n"/>
      <c r="AS42" s="26" t="n"/>
      <c r="AT42" s="26" t="n"/>
      <c r="AU42" s="27" t="n"/>
    </row>
    <row r="43" s="3154" customFormat="1" ht="13.5" customHeight="1">
      <c r="A43" s="627" t="n"/>
      <c r="B43" s="26" t="n"/>
      <c r="C43" s="2208" t="n"/>
      <c r="D43" s="4070" t="n"/>
      <c r="E43" s="2208" t="n"/>
      <c r="F43" s="2208" t="n"/>
      <c r="G43" s="2208" t="n"/>
      <c r="H43" s="4070" t="n"/>
      <c r="I43" s="26" t="n"/>
      <c r="J43" s="26" t="n"/>
      <c r="K43" s="26" t="n"/>
      <c r="L43" s="2100" t="n"/>
      <c r="M43" s="26" t="n"/>
      <c r="N43" s="26" t="n"/>
      <c r="O43" s="26" t="n"/>
      <c r="P43" s="1100" t="e">
        <f t="array" ref="P43">P42+1</f>
      </c>
      <c r="Q43" s="1100" t="e">
        <f t="array" ref="Q43">YEAR(R43)</f>
      </c>
      <c r="R43" s="4015" t="e">
        <f t="array" ref="R43">EDATE($R$9,P43)</f>
      </c>
      <c r="S43" s="1100" t="e">
        <f t="array" ref="S43">P43</f>
      </c>
      <c r="T43" s="429" t="e">
        <f t="array" ref="T43">IF(P43&lt;$E$26,"Pre-Development",IF(AND(P43&gt;=$E$26,P43&lt;=$H$26),"Construction",IF(P43='Assumptions'!$T$110,"Terminal Sale","Operating")))</f>
      </c>
      <c r="U43" s="26" t="n"/>
      <c r="V43" s="26" t="n">
        <f t="array" ref="V43">V42</f>
        <v>3</v>
      </c>
      <c r="W43" s="26" t="n"/>
      <c r="X43" s="26" t="n"/>
      <c r="Y43" s="26" t="n"/>
      <c r="Z43" s="26" t="n"/>
      <c r="AA43" s="26" t="n"/>
      <c r="AB43" s="26" t="n"/>
      <c r="AC43" s="26" t="n"/>
      <c r="AD43" s="26" t="n"/>
      <c r="AE43" s="26" t="n"/>
      <c r="AF43" s="26" t="n"/>
      <c r="AG43" s="26" t="n"/>
      <c r="AH43" s="26" t="n"/>
      <c r="AI43" s="26" t="n"/>
      <c r="AJ43" s="26" t="n"/>
      <c r="AK43" s="26" t="n"/>
      <c r="AL43" s="26" t="n"/>
      <c r="AM43" s="26" t="n"/>
      <c r="AN43" s="26" t="n"/>
      <c r="AO43" s="26" t="n"/>
      <c r="AP43" s="26" t="n"/>
      <c r="AQ43" s="26" t="n"/>
      <c r="AR43" s="26" t="n"/>
      <c r="AS43" s="26" t="n"/>
      <c r="AT43" s="26" t="n"/>
      <c r="AU43" s="27" t="n"/>
    </row>
    <row r="44" s="3154" customFormat="1" ht="13.5" customHeight="1">
      <c r="A44" s="627" t="n"/>
      <c r="B44" s="26" t="n"/>
      <c r="C44" s="2208" t="n"/>
      <c r="D44" s="4070" t="n"/>
      <c r="E44" s="2208" t="n"/>
      <c r="F44" s="2208" t="n"/>
      <c r="G44" s="2208" t="n"/>
      <c r="H44" s="4070" t="n"/>
      <c r="I44" s="26" t="n"/>
      <c r="J44" s="26" t="n"/>
      <c r="K44" s="26" t="n"/>
      <c r="L44" s="2100" t="n"/>
      <c r="M44" s="26" t="n"/>
      <c r="N44" s="26" t="n"/>
      <c r="O44" s="26" t="n"/>
      <c r="P44" s="1100" t="e">
        <f t="array" ref="P44">P43+1</f>
      </c>
      <c r="Q44" s="1100" t="e">
        <f t="array" ref="Q44">YEAR(R44)</f>
      </c>
      <c r="R44" s="4015" t="e">
        <f t="array" ref="R44">EDATE($R$9,P44)</f>
      </c>
      <c r="S44" s="1100" t="e">
        <f t="array" ref="S44">P44</f>
      </c>
      <c r="T44" s="429" t="e">
        <f t="array" ref="T44">IF(P44&lt;$E$26,"Pre-Development",IF(AND(P44&gt;=$E$26,P44&lt;=$H$26),"Construction",IF(P44='Assumptions'!$T$110,"Terminal Sale","Operating")))</f>
      </c>
      <c r="U44" s="26" t="n"/>
      <c r="V44" s="26" t="n">
        <f t="array" ref="V44">V43</f>
        <v>3</v>
      </c>
      <c r="W44" s="26" t="n"/>
      <c r="X44" s="26" t="n"/>
      <c r="Y44" s="26" t="n"/>
      <c r="Z44" s="26" t="n"/>
      <c r="AA44" s="26" t="n"/>
      <c r="AB44" s="26" t="n"/>
      <c r="AC44" s="26" t="n"/>
      <c r="AD44" s="26" t="n"/>
      <c r="AE44" s="26" t="n"/>
      <c r="AF44" s="26" t="n"/>
      <c r="AG44" s="26" t="n"/>
      <c r="AH44" s="26" t="n"/>
      <c r="AI44" s="26" t="n"/>
      <c r="AJ44" s="26" t="n"/>
      <c r="AK44" s="26" t="n"/>
      <c r="AL44" s="26" t="n"/>
      <c r="AM44" s="26" t="n"/>
      <c r="AN44" s="26" t="n"/>
      <c r="AO44" s="26" t="n"/>
      <c r="AP44" s="26" t="n"/>
      <c r="AQ44" s="26" t="n"/>
      <c r="AR44" s="26" t="n"/>
      <c r="AS44" s="26" t="n"/>
      <c r="AT44" s="26" t="n"/>
      <c r="AU44" s="27" t="n"/>
    </row>
    <row r="45" s="3154" customFormat="1" ht="13.5" customHeight="1">
      <c r="A45" s="627" t="n"/>
      <c r="B45" s="26" t="n"/>
      <c r="C45" s="2208" t="n"/>
      <c r="D45" s="4070" t="n"/>
      <c r="E45" s="2208" t="n"/>
      <c r="F45" s="2208" t="n"/>
      <c r="G45" s="2208" t="n"/>
      <c r="H45" s="4070" t="n"/>
      <c r="I45" s="26" t="n"/>
      <c r="J45" s="26" t="n"/>
      <c r="K45" s="26" t="n"/>
      <c r="L45" s="2100" t="n"/>
      <c r="M45" s="26" t="n"/>
      <c r="N45" s="26" t="n"/>
      <c r="O45" s="26" t="n"/>
      <c r="P45" s="1100" t="e">
        <f t="array" ref="P45">P44+1</f>
      </c>
      <c r="Q45" s="1100" t="e">
        <f t="array" ref="Q45">YEAR(R45)</f>
      </c>
      <c r="R45" s="4015" t="e">
        <f t="array" ref="R45">EDATE($R$9,P45)</f>
      </c>
      <c r="S45" s="1100" t="e">
        <f t="array" ref="S45">P45</f>
      </c>
      <c r="T45" s="429" t="e">
        <f t="array" ref="T45">IF(P45&lt;$E$26,"Pre-Development",IF(AND(P45&gt;=$E$26,P45&lt;=$H$26),"Construction",IF(P45='Assumptions'!$T$110,"Terminal Sale","Operating")))</f>
      </c>
      <c r="U45" s="26" t="n"/>
      <c r="V45" s="26" t="n">
        <f t="array" ref="V45">V44+1</f>
        <v>4</v>
      </c>
      <c r="W45" s="26" t="n"/>
      <c r="X45" s="26" t="n"/>
      <c r="Y45" s="26" t="n"/>
      <c r="Z45" s="26" t="n"/>
      <c r="AA45" s="26" t="n"/>
      <c r="AB45" s="26" t="n"/>
      <c r="AC45" s="26" t="n"/>
      <c r="AD45" s="26" t="n"/>
      <c r="AE45" s="26" t="n"/>
      <c r="AF45" s="26" t="n"/>
      <c r="AG45" s="26" t="n"/>
      <c r="AH45" s="26" t="n"/>
      <c r="AI45" s="26" t="n"/>
      <c r="AJ45" s="26" t="n"/>
      <c r="AK45" s="26" t="n"/>
      <c r="AL45" s="26" t="n"/>
      <c r="AM45" s="26" t="n"/>
      <c r="AN45" s="26" t="n"/>
      <c r="AO45" s="26" t="n"/>
      <c r="AP45" s="26" t="n"/>
      <c r="AQ45" s="26" t="n"/>
      <c r="AR45" s="26" t="n"/>
      <c r="AS45" s="26" t="n"/>
      <c r="AT45" s="26" t="n"/>
      <c r="AU45" s="27" t="n"/>
    </row>
    <row r="46" s="3154" customFormat="1" ht="13.5" customHeight="1">
      <c r="A46" s="627" t="n"/>
      <c r="B46" s="26" t="n"/>
      <c r="C46" s="2208" t="n"/>
      <c r="D46" s="4070" t="n"/>
      <c r="E46" s="2208" t="n"/>
      <c r="F46" s="2208" t="n"/>
      <c r="G46" s="2208" t="n"/>
      <c r="H46" s="4070" t="n"/>
      <c r="I46" s="26" t="n"/>
      <c r="J46" s="26" t="n"/>
      <c r="K46" s="26" t="n"/>
      <c r="L46" s="2100" t="n"/>
      <c r="M46" s="26" t="n"/>
      <c r="N46" s="26" t="n"/>
      <c r="O46" s="26" t="n"/>
      <c r="P46" s="1100" t="e">
        <f t="array" ref="P46">P45+1</f>
      </c>
      <c r="Q46" s="1100" t="e">
        <f t="array" ref="Q46">YEAR(R46)</f>
      </c>
      <c r="R46" s="4015" t="e">
        <f t="array" ref="R46">EDATE($R$9,P46)</f>
      </c>
      <c r="S46" s="1100" t="e">
        <f t="array" ref="S46">P46</f>
      </c>
      <c r="T46" s="429" t="e">
        <f t="array" ref="T46">IF(P46&lt;$E$26,"Pre-Development",IF(AND(P46&gt;=$E$26,P46&lt;=$H$26),"Construction",IF(P46='Assumptions'!$T$110,"Terminal Sale","Operating")))</f>
      </c>
      <c r="U46" s="26" t="n"/>
      <c r="V46" s="26" t="n">
        <f t="array" ref="V46">V45</f>
        <v>4</v>
      </c>
      <c r="W46" s="26" t="n"/>
      <c r="X46" s="26" t="n"/>
      <c r="Y46" s="26" t="n"/>
      <c r="Z46" s="26" t="n"/>
      <c r="AA46" s="26" t="n"/>
      <c r="AB46" s="26" t="n"/>
      <c r="AC46" s="26" t="n"/>
      <c r="AD46" s="26" t="n"/>
      <c r="AE46" s="26" t="n"/>
      <c r="AF46" s="26" t="n"/>
      <c r="AG46" s="26" t="n"/>
      <c r="AH46" s="26" t="n"/>
      <c r="AI46" s="26" t="n"/>
      <c r="AJ46" s="26" t="n"/>
      <c r="AK46" s="26" t="n"/>
      <c r="AL46" s="26" t="n"/>
      <c r="AM46" s="26" t="n"/>
      <c r="AN46" s="26" t="n"/>
      <c r="AO46" s="26" t="n"/>
      <c r="AP46" s="26" t="n"/>
      <c r="AQ46" s="26" t="n"/>
      <c r="AR46" s="26" t="n"/>
      <c r="AS46" s="26" t="n"/>
      <c r="AT46" s="26" t="n"/>
      <c r="AU46" s="27" t="n"/>
    </row>
    <row r="47" s="3154" customFormat="1" ht="13.5" customHeight="1">
      <c r="A47" s="627" t="n"/>
      <c r="B47" s="26" t="n"/>
      <c r="C47" s="2208" t="n"/>
      <c r="D47" s="4070" t="n"/>
      <c r="E47" s="2208" t="n"/>
      <c r="F47" s="2208" t="n"/>
      <c r="G47" s="2208" t="n"/>
      <c r="H47" s="4070" t="n"/>
      <c r="I47" s="26" t="n"/>
      <c r="J47" s="26" t="n"/>
      <c r="K47" s="26" t="n"/>
      <c r="L47" s="2100" t="n"/>
      <c r="M47" s="26" t="n"/>
      <c r="N47" s="26" t="n"/>
      <c r="O47" s="26" t="n"/>
      <c r="P47" s="1100" t="e">
        <f t="array" ref="P47">P46+1</f>
      </c>
      <c r="Q47" s="1100" t="e">
        <f t="array" ref="Q47">YEAR(R47)</f>
      </c>
      <c r="R47" s="4015" t="e">
        <f t="array" ref="R47">EDATE($R$9,P47)</f>
      </c>
      <c r="S47" s="1100" t="e">
        <f t="array" ref="S47">P47</f>
      </c>
      <c r="T47" s="429" t="e">
        <f t="array" ref="T47">IF(P47&lt;$E$26,"Pre-Development",IF(AND(P47&gt;=$E$26,P47&lt;=$H$26),"Construction",IF(P47='Assumptions'!$T$110,"Terminal Sale","Operating")))</f>
      </c>
      <c r="U47" s="26" t="n"/>
      <c r="V47" s="26" t="n">
        <f t="array" ref="V47">V46</f>
        <v>4</v>
      </c>
      <c r="W47" s="26" t="n"/>
      <c r="X47" s="26" t="n"/>
      <c r="Y47" s="26" t="n"/>
      <c r="Z47" s="26" t="n"/>
      <c r="AA47" s="26" t="n"/>
      <c r="AB47" s="26" t="n"/>
      <c r="AC47" s="26" t="n"/>
      <c r="AD47" s="26" t="n"/>
      <c r="AE47" s="26" t="n"/>
      <c r="AF47" s="26" t="n"/>
      <c r="AG47" s="26" t="n"/>
      <c r="AH47" s="26" t="n"/>
      <c r="AI47" s="26" t="n"/>
      <c r="AJ47" s="26" t="n"/>
      <c r="AK47" s="26" t="n"/>
      <c r="AL47" s="26" t="n"/>
      <c r="AM47" s="26" t="n"/>
      <c r="AN47" s="26" t="n"/>
      <c r="AO47" s="26" t="n"/>
      <c r="AP47" s="26" t="n"/>
      <c r="AQ47" s="26" t="n"/>
      <c r="AR47" s="26" t="n"/>
      <c r="AS47" s="26" t="n"/>
      <c r="AT47" s="26" t="n"/>
      <c r="AU47" s="27" t="n"/>
    </row>
    <row r="48" s="3154" customFormat="1" ht="13.5" customHeight="1">
      <c r="A48" s="627" t="n"/>
      <c r="B48" s="26" t="n"/>
      <c r="C48" s="2208" t="n"/>
      <c r="D48" s="2208" t="n"/>
      <c r="E48" s="2208" t="n"/>
      <c r="F48" s="2208" t="n"/>
      <c r="G48" s="2208" t="n"/>
      <c r="H48" s="2208" t="n"/>
      <c r="I48" s="26" t="n"/>
      <c r="J48" s="26" t="n"/>
      <c r="K48" s="26" t="n"/>
      <c r="L48" s="2100" t="n"/>
      <c r="M48" s="26" t="n"/>
      <c r="N48" s="26" t="n"/>
      <c r="O48" s="26" t="n"/>
      <c r="P48" s="1100" t="e">
        <f t="array" ref="P48">P47+1</f>
      </c>
      <c r="Q48" s="1100" t="e">
        <f t="array" ref="Q48">YEAR(R48)</f>
      </c>
      <c r="R48" s="4015" t="e">
        <f t="array" ref="R48">EDATE($R$9,P48)</f>
      </c>
      <c r="S48" s="1100" t="e">
        <f t="array" ref="S48">P48</f>
      </c>
      <c r="T48" s="429" t="e">
        <f t="array" ref="T48">IF(P48&lt;$E$26,"Pre-Development",IF(AND(P48&gt;=$E$26,P48&lt;=$H$26),"Construction",IF(P48='Assumptions'!$T$110,"Terminal Sale","Operating")))</f>
      </c>
      <c r="U48" s="26" t="n"/>
      <c r="V48" s="26" t="n">
        <f t="array" ref="V48">V47</f>
        <v>4</v>
      </c>
      <c r="W48" s="26" t="n"/>
      <c r="X48" s="26" t="n"/>
      <c r="Y48" s="26" t="n"/>
      <c r="Z48" s="26" t="n"/>
      <c r="AA48" s="26" t="n"/>
      <c r="AB48" s="26" t="n"/>
      <c r="AC48" s="26" t="n"/>
      <c r="AD48" s="26" t="n"/>
      <c r="AE48" s="26" t="n"/>
      <c r="AF48" s="26" t="n"/>
      <c r="AG48" s="26" t="n"/>
      <c r="AH48" s="26" t="n"/>
      <c r="AI48" s="26" t="n"/>
      <c r="AJ48" s="26" t="n"/>
      <c r="AK48" s="26" t="n"/>
      <c r="AL48" s="26" t="n"/>
      <c r="AM48" s="26" t="n"/>
      <c r="AN48" s="26" t="n"/>
      <c r="AO48" s="26" t="n"/>
      <c r="AP48" s="26" t="n"/>
      <c r="AQ48" s="26" t="n"/>
      <c r="AR48" s="26" t="n"/>
      <c r="AS48" s="26" t="n"/>
      <c r="AT48" s="26" t="n"/>
      <c r="AU48" s="27" t="n"/>
    </row>
    <row r="49" s="3154" customFormat="1" ht="13.5" customHeight="1">
      <c r="A49" s="627" t="n"/>
      <c r="B49" s="26" t="n"/>
      <c r="C49" s="2208" t="n"/>
      <c r="D49" s="2208" t="n"/>
      <c r="E49" s="2208" t="n"/>
      <c r="F49" s="2208" t="n"/>
      <c r="G49" s="2208" t="n"/>
      <c r="H49" s="2208" t="n"/>
      <c r="I49" s="26" t="n"/>
      <c r="J49" s="26" t="n"/>
      <c r="K49" s="26" t="n"/>
      <c r="L49" s="2100" t="n"/>
      <c r="M49" s="26" t="n"/>
      <c r="N49" s="26" t="n"/>
      <c r="O49" s="26" t="n"/>
      <c r="P49" s="1100" t="e">
        <f t="array" ref="P49">P48+1</f>
      </c>
      <c r="Q49" s="1100" t="e">
        <f t="array" ref="Q49">YEAR(R49)</f>
      </c>
      <c r="R49" s="4015" t="e">
        <f t="array" ref="R49">EDATE($R$9,P49)</f>
      </c>
      <c r="S49" s="1100" t="e">
        <f t="array" ref="S49">P49</f>
      </c>
      <c r="T49" s="429" t="e">
        <f t="array" ref="T49">IF(P49&lt;$E$26,"Pre-Development",IF(AND(P49&gt;=$E$26,P49&lt;=$H$26),"Construction",IF(P49='Assumptions'!$T$110,"Terminal Sale","Operating")))</f>
      </c>
      <c r="U49" s="26" t="n"/>
      <c r="V49" s="26" t="n">
        <f t="array" ref="V49">V48</f>
        <v>4</v>
      </c>
      <c r="W49" s="26" t="n"/>
      <c r="X49" s="26" t="n"/>
      <c r="Y49" s="26" t="n"/>
      <c r="Z49" s="26" t="n"/>
      <c r="AA49" s="26" t="n"/>
      <c r="AB49" s="26" t="n"/>
      <c r="AC49" s="26" t="n"/>
      <c r="AD49" s="26" t="n"/>
      <c r="AE49" s="26" t="n"/>
      <c r="AF49" s="26" t="n"/>
      <c r="AG49" s="26" t="n"/>
      <c r="AH49" s="26" t="n"/>
      <c r="AI49" s="26" t="n"/>
      <c r="AJ49" s="26" t="n"/>
      <c r="AK49" s="26" t="n"/>
      <c r="AL49" s="26" t="n"/>
      <c r="AM49" s="26" t="n"/>
      <c r="AN49" s="26" t="n"/>
      <c r="AO49" s="26" t="n"/>
      <c r="AP49" s="26" t="n"/>
      <c r="AQ49" s="26" t="n"/>
      <c r="AR49" s="26" t="n"/>
      <c r="AS49" s="26" t="n"/>
      <c r="AT49" s="26" t="n"/>
      <c r="AU49" s="27" t="n"/>
    </row>
    <row r="50" s="3154" customFormat="1" ht="13.5" customHeight="1">
      <c r="A50" s="627" t="n"/>
      <c r="B50" s="26" t="n"/>
      <c r="C50" s="2306" t="n"/>
      <c r="D50" s="2306" t="n"/>
      <c r="E50" s="2306" t="n"/>
      <c r="F50" s="2306" t="n"/>
      <c r="G50" s="2306" t="n"/>
      <c r="H50" s="2306" t="n"/>
      <c r="I50" s="26" t="n"/>
      <c r="J50" s="26" t="n"/>
      <c r="K50" s="26" t="n"/>
      <c r="L50" s="2100" t="n"/>
      <c r="M50" s="26" t="n"/>
      <c r="N50" s="26" t="n"/>
      <c r="O50" s="26" t="n"/>
      <c r="P50" s="1100" t="e">
        <f t="array" ref="P50">P49+1</f>
      </c>
      <c r="Q50" s="1100" t="e">
        <f t="array" ref="Q50">YEAR(R50)</f>
      </c>
      <c r="R50" s="4015" t="e">
        <f t="array" ref="R50">EDATE($R$9,P50)</f>
      </c>
      <c r="S50" s="1100" t="e">
        <f t="array" ref="S50">P50</f>
      </c>
      <c r="T50" s="429" t="e">
        <f t="array" ref="T50">IF(P50&lt;$E$26,"Pre-Development",IF(AND(P50&gt;=$E$26,P50&lt;=$H$26),"Construction",IF(P50='Assumptions'!$T$110,"Terminal Sale","Operating")))</f>
      </c>
      <c r="U50" s="26" t="n"/>
      <c r="V50" s="26" t="n">
        <f t="array" ref="V50">V49</f>
        <v>4</v>
      </c>
      <c r="W50" s="26" t="n"/>
      <c r="X50" s="26" t="n"/>
      <c r="Y50" s="26" t="n"/>
      <c r="Z50" s="26" t="n"/>
      <c r="AA50" s="26" t="n"/>
      <c r="AB50" s="26" t="n"/>
      <c r="AC50" s="26" t="n"/>
      <c r="AD50" s="26" t="n"/>
      <c r="AE50" s="26" t="n"/>
      <c r="AF50" s="26" t="n"/>
      <c r="AG50" s="26" t="n"/>
      <c r="AH50" s="26" t="n"/>
      <c r="AI50" s="26" t="n"/>
      <c r="AJ50" s="26" t="n"/>
      <c r="AK50" s="26" t="n"/>
      <c r="AL50" s="26" t="n"/>
      <c r="AM50" s="26" t="n"/>
      <c r="AN50" s="26" t="n"/>
      <c r="AO50" s="26" t="n"/>
      <c r="AP50" s="26" t="n"/>
      <c r="AQ50" s="26" t="n"/>
      <c r="AR50" s="26" t="n"/>
      <c r="AS50" s="26" t="n"/>
      <c r="AT50" s="26" t="n"/>
      <c r="AU50" s="27" t="n"/>
    </row>
    <row r="51" s="3154" customFormat="1" ht="13.5" customHeight="1">
      <c r="A51" s="627" t="n"/>
      <c r="B51" s="26" t="n"/>
      <c r="C51" s="26" t="n"/>
      <c r="D51" s="26" t="n"/>
      <c r="E51" s="3322" t="n"/>
      <c r="F51" s="26" t="n"/>
      <c r="G51" s="26" t="n"/>
      <c r="H51" s="26" t="n"/>
      <c r="I51" s="26" t="n"/>
      <c r="J51" s="26" t="n"/>
      <c r="K51" s="26" t="n"/>
      <c r="L51" s="2100" t="n"/>
      <c r="M51" s="26" t="n"/>
      <c r="N51" s="26" t="n"/>
      <c r="O51" s="26" t="n"/>
      <c r="P51" s="1100" t="e">
        <f t="array" ref="P51">P50+1</f>
      </c>
      <c r="Q51" s="1100" t="e">
        <f t="array" ref="Q51">YEAR(R51)</f>
      </c>
      <c r="R51" s="4015" t="e">
        <f t="array" ref="R51">EDATE($R$9,P51)</f>
      </c>
      <c r="S51" s="1100" t="e">
        <f t="array" ref="S51">P51</f>
      </c>
      <c r="T51" s="429" t="e">
        <f t="array" ref="T51">IF(P51&lt;$E$26,"Pre-Development",IF(AND(P51&gt;=$E$26,P51&lt;=$H$26),"Construction",IF(P51='Assumptions'!$T$110,"Terminal Sale","Operating")))</f>
      </c>
      <c r="U51" s="26" t="n"/>
      <c r="V51" s="26" t="n">
        <f t="array" ref="V51">V50</f>
        <v>4</v>
      </c>
      <c r="W51" s="26" t="n"/>
      <c r="X51" s="26" t="n"/>
      <c r="Y51" s="26" t="n"/>
      <c r="Z51" s="26" t="n"/>
      <c r="AA51" s="26" t="n"/>
      <c r="AB51" s="26" t="n"/>
      <c r="AC51" s="26" t="n"/>
      <c r="AD51" s="26" t="n"/>
      <c r="AE51" s="26" t="n"/>
      <c r="AF51" s="26" t="n"/>
      <c r="AG51" s="26" t="n"/>
      <c r="AH51" s="26" t="n"/>
      <c r="AI51" s="26" t="n"/>
      <c r="AJ51" s="26" t="n"/>
      <c r="AK51" s="26" t="n"/>
      <c r="AL51" s="26" t="n"/>
      <c r="AM51" s="26" t="n"/>
      <c r="AN51" s="26" t="n"/>
      <c r="AO51" s="26" t="n"/>
      <c r="AP51" s="26" t="n"/>
      <c r="AQ51" s="26" t="n"/>
      <c r="AR51" s="26" t="n"/>
      <c r="AS51" s="26" t="n"/>
      <c r="AT51" s="26" t="n"/>
      <c r="AU51" s="27" t="n"/>
    </row>
    <row r="52" s="3154" customFormat="1" ht="13.5" customHeight="1">
      <c r="A52" s="627" t="n"/>
      <c r="B52" s="26" t="n"/>
      <c r="C52" s="26" t="n"/>
      <c r="D52" s="26" t="n"/>
      <c r="E52" s="3322" t="n"/>
      <c r="F52" s="26" t="n"/>
      <c r="G52" s="26" t="n"/>
      <c r="H52" s="26" t="n"/>
      <c r="I52" s="26" t="n"/>
      <c r="J52" s="26" t="n"/>
      <c r="K52" s="26" t="n"/>
      <c r="L52" s="2100" t="n"/>
      <c r="M52" s="26" t="n"/>
      <c r="N52" s="26" t="n"/>
      <c r="O52" s="26" t="n"/>
      <c r="P52" s="1100" t="e">
        <f t="array" ref="P52">P51+1</f>
      </c>
      <c r="Q52" s="1100" t="e">
        <f t="array" ref="Q52">YEAR(R52)</f>
      </c>
      <c r="R52" s="4015" t="e">
        <f t="array" ref="R52">EDATE($R$9,P52)</f>
      </c>
      <c r="S52" s="1100" t="e">
        <f t="array" ref="S52">P52</f>
      </c>
      <c r="T52" s="429" t="e">
        <f t="array" ref="T52">IF(P52&lt;$E$26,"Pre-Development",IF(AND(P52&gt;=$E$26,P52&lt;=$H$26),"Construction",IF(P52='Assumptions'!$T$110,"Terminal Sale","Operating")))</f>
      </c>
      <c r="U52" s="26" t="n"/>
      <c r="V52" s="26" t="n">
        <f t="array" ref="V52">V51</f>
        <v>4</v>
      </c>
      <c r="W52" s="26" t="n"/>
      <c r="X52" s="26" t="n"/>
      <c r="Y52" s="26" t="n"/>
      <c r="Z52" s="26" t="n"/>
      <c r="AA52" s="26" t="n"/>
      <c r="AB52" s="26" t="n"/>
      <c r="AC52" s="26" t="n"/>
      <c r="AD52" s="26" t="n"/>
      <c r="AE52" s="26" t="n"/>
      <c r="AF52" s="26" t="n"/>
      <c r="AG52" s="26" t="n"/>
      <c r="AH52" s="26" t="n"/>
      <c r="AI52" s="26" t="n"/>
      <c r="AJ52" s="26" t="n"/>
      <c r="AK52" s="26" t="n"/>
      <c r="AL52" s="26" t="n"/>
      <c r="AM52" s="26" t="n"/>
      <c r="AN52" s="26" t="n"/>
      <c r="AO52" s="26" t="n"/>
      <c r="AP52" s="26" t="n"/>
      <c r="AQ52" s="26" t="n"/>
      <c r="AR52" s="26" t="n"/>
      <c r="AS52" s="26" t="n"/>
      <c r="AT52" s="26" t="n"/>
      <c r="AU52" s="27" t="n"/>
    </row>
    <row r="53" s="3154" customFormat="1" ht="13.5" customHeight="1">
      <c r="A53" s="627" t="n"/>
      <c r="B53" s="26" t="n"/>
      <c r="C53" s="26" t="n"/>
      <c r="D53" s="26" t="n"/>
      <c r="E53" s="3322" t="n"/>
      <c r="F53" s="26" t="n"/>
      <c r="G53" s="26" t="n"/>
      <c r="H53" s="26" t="n"/>
      <c r="I53" s="26" t="n"/>
      <c r="J53" s="26" t="n"/>
      <c r="K53" s="26" t="n"/>
      <c r="L53" s="2100" t="n"/>
      <c r="M53" s="26" t="n"/>
      <c r="N53" s="26" t="n"/>
      <c r="O53" s="26" t="n"/>
      <c r="P53" s="1100" t="e">
        <f t="array" ref="P53">P52+1</f>
      </c>
      <c r="Q53" s="1100" t="e">
        <f t="array" ref="Q53">YEAR(R53)</f>
      </c>
      <c r="R53" s="4015" t="e">
        <f t="array" ref="R53">EDATE($R$9,P53)</f>
      </c>
      <c r="S53" s="1100" t="e">
        <f t="array" ref="S53">P53</f>
      </c>
      <c r="T53" s="429" t="e">
        <f t="array" ref="T53">IF(P53&lt;$E$26,"Pre-Development",IF(AND(P53&gt;=$E$26,P53&lt;=$H$26),"Construction",IF(P53='Assumptions'!$T$110,"Terminal Sale","Operating")))</f>
      </c>
      <c r="U53" s="26" t="n"/>
      <c r="V53" s="26" t="n">
        <f t="array" ref="V53">V52</f>
        <v>4</v>
      </c>
      <c r="W53" s="26" t="n"/>
      <c r="X53" s="26" t="n"/>
      <c r="Y53" s="26" t="n"/>
      <c r="Z53" s="26" t="n"/>
      <c r="AA53" s="26" t="n"/>
      <c r="AB53" s="26" t="n"/>
      <c r="AC53" s="26" t="n"/>
      <c r="AD53" s="26" t="n"/>
      <c r="AE53" s="26" t="n"/>
      <c r="AF53" s="26" t="n"/>
      <c r="AG53" s="26" t="n"/>
      <c r="AH53" s="26" t="n"/>
      <c r="AI53" s="26" t="n"/>
      <c r="AJ53" s="26" t="n"/>
      <c r="AK53" s="26" t="n"/>
      <c r="AL53" s="26" t="n"/>
      <c r="AM53" s="26" t="n"/>
      <c r="AN53" s="26" t="n"/>
      <c r="AO53" s="26" t="n"/>
      <c r="AP53" s="26" t="n"/>
      <c r="AQ53" s="26" t="n"/>
      <c r="AR53" s="26" t="n"/>
      <c r="AS53" s="26" t="n"/>
      <c r="AT53" s="26" t="n"/>
      <c r="AU53" s="27" t="n"/>
    </row>
    <row r="54" s="3154" customFormat="1" ht="13.5" customHeight="1">
      <c r="A54" s="627" t="n"/>
      <c r="B54" s="26" t="n"/>
      <c r="C54" s="26" t="n"/>
      <c r="D54" s="26" t="n"/>
      <c r="E54" s="3322" t="n"/>
      <c r="F54" s="26" t="n"/>
      <c r="G54" s="26" t="n"/>
      <c r="H54" s="26" t="n"/>
      <c r="I54" s="26" t="n"/>
      <c r="J54" s="26" t="n"/>
      <c r="K54" s="26" t="n"/>
      <c r="L54" s="2100" t="n"/>
      <c r="M54" s="26" t="n"/>
      <c r="N54" s="26" t="n"/>
      <c r="O54" s="26" t="n"/>
      <c r="P54" s="1100" t="e">
        <f t="array" ref="P54">P53+1</f>
      </c>
      <c r="Q54" s="1100" t="e">
        <f t="array" ref="Q54">YEAR(R54)</f>
      </c>
      <c r="R54" s="4015" t="e">
        <f t="array" ref="R54">EDATE($R$9,P54)</f>
      </c>
      <c r="S54" s="1100" t="e">
        <f t="array" ref="S54">P54</f>
      </c>
      <c r="T54" s="429" t="e">
        <f t="array" ref="T54">IF(P54&lt;$E$26,"Pre-Development",IF(AND(P54&gt;=$E$26,P54&lt;=$H$26),"Construction",IF(P54='Assumptions'!$T$110,"Terminal Sale","Operating")))</f>
      </c>
      <c r="U54" s="26" t="n"/>
      <c r="V54" s="26" t="n">
        <f t="array" ref="V54">V53</f>
        <v>4</v>
      </c>
      <c r="W54" s="26" t="n"/>
      <c r="X54" s="26" t="n"/>
      <c r="Y54" s="26" t="n"/>
      <c r="Z54" s="26" t="n"/>
      <c r="AA54" s="26" t="n"/>
      <c r="AB54" s="26" t="n"/>
      <c r="AC54" s="26" t="n"/>
      <c r="AD54" s="26" t="n"/>
      <c r="AE54" s="26" t="n"/>
      <c r="AF54" s="26" t="n"/>
      <c r="AG54" s="26" t="n"/>
      <c r="AH54" s="26" t="n"/>
      <c r="AI54" s="26" t="n"/>
      <c r="AJ54" s="26" t="n"/>
      <c r="AK54" s="26" t="n"/>
      <c r="AL54" s="26" t="n"/>
      <c r="AM54" s="26" t="n"/>
      <c r="AN54" s="26" t="n"/>
      <c r="AO54" s="26" t="n"/>
      <c r="AP54" s="26" t="n"/>
      <c r="AQ54" s="26" t="n"/>
      <c r="AR54" s="26" t="n"/>
      <c r="AS54" s="26" t="n"/>
      <c r="AT54" s="26" t="n"/>
      <c r="AU54" s="27" t="n"/>
    </row>
    <row r="55" s="3154" customFormat="1" ht="13.5" customHeight="1">
      <c r="A55" s="627" t="n"/>
      <c r="B55" s="26" t="n"/>
      <c r="C55" s="26" t="n"/>
      <c r="D55" s="26" t="n"/>
      <c r="E55" s="3322" t="n"/>
      <c r="F55" s="26" t="n"/>
      <c r="G55" s="26" t="n"/>
      <c r="H55" s="26" t="n"/>
      <c r="I55" s="26" t="n"/>
      <c r="J55" s="26" t="n"/>
      <c r="K55" s="26" t="n"/>
      <c r="L55" s="2100" t="n"/>
      <c r="M55" s="26" t="n"/>
      <c r="N55" s="26" t="n"/>
      <c r="O55" s="26" t="n"/>
      <c r="P55" s="1100" t="e">
        <f t="array" ref="P55">P54+1</f>
      </c>
      <c r="Q55" s="1100" t="e">
        <f t="array" ref="Q55">YEAR(R55)</f>
      </c>
      <c r="R55" s="4015" t="e">
        <f t="array" ref="R55">EDATE($R$9,P55)</f>
      </c>
      <c r="S55" s="1100" t="e">
        <f t="array" ref="S55">P55</f>
      </c>
      <c r="T55" s="429" t="e">
        <f t="array" ref="T55">IF(P55&lt;$E$26,"Pre-Development",IF(AND(P55&gt;=$E$26,P55&lt;=$H$26),"Construction",IF(P55='Assumptions'!$T$110,"Terminal Sale","Operating")))</f>
      </c>
      <c r="U55" s="26" t="n"/>
      <c r="V55" s="26" t="n">
        <f t="array" ref="V55">V54</f>
        <v>4</v>
      </c>
      <c r="W55" s="26" t="n"/>
      <c r="X55" s="26" t="n"/>
      <c r="Y55" s="26" t="n"/>
      <c r="Z55" s="26" t="n"/>
      <c r="AA55" s="26" t="n"/>
      <c r="AB55" s="26" t="n"/>
      <c r="AC55" s="26" t="n"/>
      <c r="AD55" s="26" t="n"/>
      <c r="AE55" s="26" t="n"/>
      <c r="AF55" s="26" t="n"/>
      <c r="AG55" s="26" t="n"/>
      <c r="AH55" s="26" t="n"/>
      <c r="AI55" s="26" t="n"/>
      <c r="AJ55" s="26" t="n"/>
      <c r="AK55" s="26" t="n"/>
      <c r="AL55" s="26" t="n"/>
      <c r="AM55" s="26" t="n"/>
      <c r="AN55" s="26" t="n"/>
      <c r="AO55" s="26" t="n"/>
      <c r="AP55" s="26" t="n"/>
      <c r="AQ55" s="26" t="n"/>
      <c r="AR55" s="26" t="n"/>
      <c r="AS55" s="26" t="n"/>
      <c r="AT55" s="26" t="n"/>
      <c r="AU55" s="27" t="n"/>
    </row>
    <row r="56" s="3154" customFormat="1" ht="13.5" customHeight="1">
      <c r="A56" s="627" t="n"/>
      <c r="B56" s="26" t="n"/>
      <c r="C56" s="26" t="n"/>
      <c r="D56" s="26" t="n"/>
      <c r="E56" s="3322" t="n"/>
      <c r="F56" s="26" t="n"/>
      <c r="G56" s="26" t="n"/>
      <c r="H56" s="26" t="n"/>
      <c r="I56" s="26" t="n"/>
      <c r="J56" s="26" t="n"/>
      <c r="K56" s="26" t="n"/>
      <c r="L56" s="2100" t="n"/>
      <c r="M56" s="26" t="n"/>
      <c r="N56" s="26" t="n"/>
      <c r="O56" s="26" t="n"/>
      <c r="P56" s="1100" t="e">
        <f t="array" ref="P56">P55+1</f>
      </c>
      <c r="Q56" s="1100" t="e">
        <f t="array" ref="Q56">YEAR(R56)</f>
      </c>
      <c r="R56" s="4015" t="e">
        <f t="array" ref="R56">EDATE($R$9,P56)</f>
      </c>
      <c r="S56" s="1100" t="e">
        <f t="array" ref="S56">P56</f>
      </c>
      <c r="T56" s="429" t="e">
        <f t="array" ref="T56">IF(P56&lt;$E$26,"Pre-Development",IF(AND(P56&gt;=$E$26,P56&lt;=$H$26),"Construction",IF(P56='Assumptions'!$T$110,"Terminal Sale","Operating")))</f>
      </c>
      <c r="U56" s="26" t="n"/>
      <c r="V56" s="26" t="n">
        <f t="array" ref="V56">V55</f>
        <v>4</v>
      </c>
      <c r="W56" s="26" t="n"/>
      <c r="X56" s="26" t="n"/>
      <c r="Y56" s="26" t="n"/>
      <c r="Z56" s="26" t="n"/>
      <c r="AA56" s="26" t="n"/>
      <c r="AB56" s="26" t="n"/>
      <c r="AC56" s="26" t="n"/>
      <c r="AD56" s="26" t="n"/>
      <c r="AE56" s="26" t="n"/>
      <c r="AF56" s="26" t="n"/>
      <c r="AG56" s="26" t="n"/>
      <c r="AH56" s="26" t="n"/>
      <c r="AI56" s="26" t="n"/>
      <c r="AJ56" s="26" t="n"/>
      <c r="AK56" s="26" t="n"/>
      <c r="AL56" s="26" t="n"/>
      <c r="AM56" s="26" t="n"/>
      <c r="AN56" s="26" t="n"/>
      <c r="AO56" s="26" t="n"/>
      <c r="AP56" s="26" t="n"/>
      <c r="AQ56" s="26" t="n"/>
      <c r="AR56" s="26" t="n"/>
      <c r="AS56" s="26" t="n"/>
      <c r="AT56" s="26" t="n"/>
      <c r="AU56" s="27" t="n"/>
    </row>
    <row r="57" s="3154" customFormat="1" ht="13.5" customHeight="1">
      <c r="A57" s="627" t="n"/>
      <c r="B57" s="26" t="n"/>
      <c r="C57" s="26" t="n"/>
      <c r="D57" s="26" t="n"/>
      <c r="E57" s="3322" t="n"/>
      <c r="F57" s="26" t="n"/>
      <c r="G57" s="26" t="n"/>
      <c r="H57" s="26" t="n"/>
      <c r="I57" s="26" t="n"/>
      <c r="J57" s="26" t="n"/>
      <c r="K57" s="26" t="n"/>
      <c r="L57" s="2100" t="n"/>
      <c r="M57" s="26" t="n"/>
      <c r="N57" s="26" t="n"/>
      <c r="O57" s="26" t="n"/>
      <c r="P57" s="1100" t="e">
        <f t="array" ref="P57">P56+1</f>
      </c>
      <c r="Q57" s="1100" t="e">
        <f t="array" ref="Q57">YEAR(R57)</f>
      </c>
      <c r="R57" s="4015" t="e">
        <f t="array" ref="R57">EDATE($R$9,P57)</f>
      </c>
      <c r="S57" s="1100" t="e">
        <f t="array" ref="S57">P57</f>
      </c>
      <c r="T57" s="429" t="e">
        <f t="array" ref="T57">IF(P57&lt;$E$26,"Pre-Development",IF(AND(P57&gt;=$E$26,P57&lt;=$H$26),"Construction",IF(P57='Assumptions'!$T$110,"Terminal Sale","Operating")))</f>
      </c>
      <c r="U57" s="26" t="n"/>
      <c r="V57" s="26" t="n">
        <f t="array" ref="V57">V56+1</f>
        <v>5</v>
      </c>
      <c r="W57" s="26" t="n"/>
      <c r="X57" s="26" t="n"/>
      <c r="Y57" s="26" t="n"/>
      <c r="Z57" s="26" t="n"/>
      <c r="AA57" s="26" t="n"/>
      <c r="AB57" s="26" t="n"/>
      <c r="AC57" s="26" t="n"/>
      <c r="AD57" s="26" t="n"/>
      <c r="AE57" s="26" t="n"/>
      <c r="AF57" s="26" t="n"/>
      <c r="AG57" s="26" t="n"/>
      <c r="AH57" s="26" t="n"/>
      <c r="AI57" s="26" t="n"/>
      <c r="AJ57" s="26" t="n"/>
      <c r="AK57" s="26" t="n"/>
      <c r="AL57" s="26" t="n"/>
      <c r="AM57" s="26" t="n"/>
      <c r="AN57" s="26" t="n"/>
      <c r="AO57" s="26" t="n"/>
      <c r="AP57" s="26" t="n"/>
      <c r="AQ57" s="26" t="n"/>
      <c r="AR57" s="26" t="n"/>
      <c r="AS57" s="26" t="n"/>
      <c r="AT57" s="26" t="n"/>
      <c r="AU57" s="27" t="n"/>
    </row>
    <row r="58" s="3154" customFormat="1" ht="13.5" customHeight="1">
      <c r="A58" s="627" t="n"/>
      <c r="B58" s="26" t="n"/>
      <c r="C58" s="26" t="n"/>
      <c r="D58" s="26" t="n"/>
      <c r="E58" s="3322" t="n"/>
      <c r="F58" s="26" t="n"/>
      <c r="G58" s="26" t="n"/>
      <c r="H58" s="26" t="n"/>
      <c r="I58" s="26" t="n"/>
      <c r="J58" s="26" t="n"/>
      <c r="K58" s="26" t="n"/>
      <c r="L58" s="2100" t="n"/>
      <c r="M58" s="26" t="n"/>
      <c r="N58" s="26" t="n"/>
      <c r="O58" s="26" t="n"/>
      <c r="P58" s="1100" t="e">
        <f t="array" ref="P58">P57+1</f>
      </c>
      <c r="Q58" s="1100" t="e">
        <f t="array" ref="Q58">YEAR(R58)</f>
      </c>
      <c r="R58" s="4015" t="e">
        <f t="array" ref="R58">EDATE($R$9,P58)</f>
      </c>
      <c r="S58" s="1100" t="e">
        <f t="array" ref="S58">P58</f>
      </c>
      <c r="T58" s="429" t="e">
        <f t="array" ref="T58">IF(P58&lt;$E$26,"Pre-Development",IF(AND(P58&gt;=$E$26,P58&lt;=$H$26),"Construction",IF(P58='Assumptions'!$T$110,"Terminal Sale","Operating")))</f>
      </c>
      <c r="U58" s="26" t="n"/>
      <c r="V58" s="26" t="n">
        <f t="array" ref="V58">V57</f>
        <v>5</v>
      </c>
      <c r="W58" s="26" t="n"/>
      <c r="X58" s="26" t="n"/>
      <c r="Y58" s="26" t="n"/>
      <c r="Z58" s="26" t="n"/>
      <c r="AA58" s="26" t="n"/>
      <c r="AB58" s="26" t="n"/>
      <c r="AC58" s="26" t="n"/>
      <c r="AD58" s="26" t="n"/>
      <c r="AE58" s="26" t="n"/>
      <c r="AF58" s="26" t="n"/>
      <c r="AG58" s="26" t="n"/>
      <c r="AH58" s="26" t="n"/>
      <c r="AI58" s="26" t="n"/>
      <c r="AJ58" s="26" t="n"/>
      <c r="AK58" s="26" t="n"/>
      <c r="AL58" s="26" t="n"/>
      <c r="AM58" s="26" t="n"/>
      <c r="AN58" s="26" t="n"/>
      <c r="AO58" s="26" t="n"/>
      <c r="AP58" s="26" t="n"/>
      <c r="AQ58" s="26" t="n"/>
      <c r="AR58" s="26" t="n"/>
      <c r="AS58" s="26" t="n"/>
      <c r="AT58" s="26" t="n"/>
      <c r="AU58" s="27" t="n"/>
    </row>
    <row r="59" s="3154" customFormat="1" ht="13.5" customHeight="1">
      <c r="A59" s="627" t="n"/>
      <c r="B59" s="26" t="n"/>
      <c r="C59" s="26" t="n"/>
      <c r="D59" s="26" t="n"/>
      <c r="E59" s="3322" t="n"/>
      <c r="F59" s="26" t="n"/>
      <c r="G59" s="26" t="n"/>
      <c r="H59" s="26" t="n"/>
      <c r="I59" s="26" t="n"/>
      <c r="J59" s="26" t="n"/>
      <c r="K59" s="26" t="n"/>
      <c r="L59" s="2100" t="n"/>
      <c r="M59" s="26" t="n"/>
      <c r="N59" s="26" t="n"/>
      <c r="O59" s="26" t="n"/>
      <c r="P59" s="1100" t="e">
        <f t="array" ref="P59">P58+1</f>
      </c>
      <c r="Q59" s="1100" t="e">
        <f t="array" ref="Q59">YEAR(R59)</f>
      </c>
      <c r="R59" s="4015" t="e">
        <f t="array" ref="R59">EDATE($R$9,P59)</f>
      </c>
      <c r="S59" s="1100" t="e">
        <f t="array" ref="S59">P59</f>
      </c>
      <c r="T59" s="429" t="e">
        <f t="array" ref="T59">IF(P59&lt;$E$26,"Pre-Development",IF(AND(P59&gt;=$E$26,P59&lt;=$H$26),"Construction",IF(P59='Assumptions'!$T$110,"Terminal Sale","Operating")))</f>
      </c>
      <c r="U59" s="26" t="n"/>
      <c r="V59" s="26" t="n">
        <f t="array" ref="V59">V58</f>
        <v>5</v>
      </c>
      <c r="W59" s="26" t="n"/>
      <c r="X59" s="26" t="n"/>
      <c r="Y59" s="26" t="n"/>
      <c r="Z59" s="26" t="n"/>
      <c r="AA59" s="26" t="n"/>
      <c r="AB59" s="26" t="n"/>
      <c r="AC59" s="26" t="n"/>
      <c r="AD59" s="26" t="n"/>
      <c r="AE59" s="26" t="n"/>
      <c r="AF59" s="26" t="n"/>
      <c r="AG59" s="26" t="n"/>
      <c r="AH59" s="26" t="n"/>
      <c r="AI59" s="26" t="n"/>
      <c r="AJ59" s="26" t="n"/>
      <c r="AK59" s="26" t="n"/>
      <c r="AL59" s="26" t="n"/>
      <c r="AM59" s="26" t="n"/>
      <c r="AN59" s="26" t="n"/>
      <c r="AO59" s="26" t="n"/>
      <c r="AP59" s="26" t="n"/>
      <c r="AQ59" s="26" t="n"/>
      <c r="AR59" s="26" t="n"/>
      <c r="AS59" s="26" t="n"/>
      <c r="AT59" s="26" t="n"/>
      <c r="AU59" s="27" t="n"/>
    </row>
    <row r="60" s="3154" customFormat="1" ht="13.5" customHeight="1">
      <c r="A60" s="627" t="n"/>
      <c r="B60" s="26" t="n"/>
      <c r="C60" s="26" t="n"/>
      <c r="D60" s="26" t="n"/>
      <c r="E60" s="3322" t="n"/>
      <c r="F60" s="26" t="n"/>
      <c r="G60" s="26" t="n"/>
      <c r="H60" s="26" t="n"/>
      <c r="I60" s="26" t="n"/>
      <c r="J60" s="26" t="n"/>
      <c r="K60" s="26" t="n"/>
      <c r="L60" s="2100" t="n"/>
      <c r="M60" s="26" t="n"/>
      <c r="N60" s="26" t="n"/>
      <c r="O60" s="26" t="n"/>
      <c r="P60" s="1100" t="e">
        <f t="array" ref="P60">P59+1</f>
      </c>
      <c r="Q60" s="1100" t="e">
        <f t="array" ref="Q60">YEAR(R60)</f>
      </c>
      <c r="R60" s="4015" t="e">
        <f t="array" ref="R60">EDATE($R$9,P60)</f>
      </c>
      <c r="S60" s="1100" t="e">
        <f t="array" ref="S60">P60</f>
      </c>
      <c r="T60" s="429" t="e">
        <f t="array" ref="T60">IF(P60&lt;$E$26,"Pre-Development",IF(AND(P60&gt;=$E$26,P60&lt;=$H$26),"Construction",IF(P60='Assumptions'!$T$110,"Terminal Sale","Operating")))</f>
      </c>
      <c r="U60" s="26" t="n"/>
      <c r="V60" s="26" t="n">
        <f t="array" ref="V60">V59</f>
        <v>5</v>
      </c>
      <c r="W60" s="26" t="n"/>
      <c r="X60" s="26" t="n"/>
      <c r="Y60" s="26" t="n"/>
      <c r="Z60" s="26" t="n"/>
      <c r="AA60" s="26" t="n"/>
      <c r="AB60" s="26" t="n"/>
      <c r="AC60" s="26" t="n"/>
      <c r="AD60" s="26" t="n"/>
      <c r="AE60" s="26" t="n"/>
      <c r="AF60" s="26" t="n"/>
      <c r="AG60" s="26" t="n"/>
      <c r="AH60" s="26" t="n"/>
      <c r="AI60" s="26" t="n"/>
      <c r="AJ60" s="26" t="n"/>
      <c r="AK60" s="26" t="n"/>
      <c r="AL60" s="26" t="n"/>
      <c r="AM60" s="26" t="n"/>
      <c r="AN60" s="26" t="n"/>
      <c r="AO60" s="26" t="n"/>
      <c r="AP60" s="26" t="n"/>
      <c r="AQ60" s="26" t="n"/>
      <c r="AR60" s="26" t="n"/>
      <c r="AS60" s="26" t="n"/>
      <c r="AT60" s="26" t="n"/>
      <c r="AU60" s="27" t="n"/>
    </row>
    <row r="61" s="3154" customFormat="1" ht="13.5" customHeight="1">
      <c r="A61" s="627" t="n"/>
      <c r="B61" s="26" t="n"/>
      <c r="C61" s="26" t="n"/>
      <c r="D61" s="26" t="n"/>
      <c r="E61" s="3322" t="n"/>
      <c r="F61" s="26" t="n"/>
      <c r="G61" s="26" t="n"/>
      <c r="H61" s="26" t="n"/>
      <c r="I61" s="26" t="n"/>
      <c r="J61" s="26" t="n"/>
      <c r="K61" s="26" t="n"/>
      <c r="L61" s="2100" t="n"/>
      <c r="M61" s="26" t="n"/>
      <c r="N61" s="26" t="n"/>
      <c r="O61" s="26" t="n"/>
      <c r="P61" s="1100" t="e">
        <f t="array" ref="P61">P60+1</f>
      </c>
      <c r="Q61" s="1100" t="e">
        <f t="array" ref="Q61">YEAR(R61)</f>
      </c>
      <c r="R61" s="4015" t="e">
        <f t="array" ref="R61">EDATE($R$9,P61)</f>
      </c>
      <c r="S61" s="1100" t="e">
        <f t="array" ref="S61">P61</f>
      </c>
      <c r="T61" s="429" t="e">
        <f t="array" ref="T61">IF(P61&lt;$E$26,"Pre-Development",IF(AND(P61&gt;=$E$26,P61&lt;=$H$26),"Construction",IF(P61='Assumptions'!$T$110,"Terminal Sale","Operating")))</f>
      </c>
      <c r="U61" s="26" t="n"/>
      <c r="V61" s="26" t="n">
        <f t="array" ref="V61">V60</f>
        <v>5</v>
      </c>
      <c r="W61" s="26" t="n"/>
      <c r="X61" s="26" t="n"/>
      <c r="Y61" s="26" t="n"/>
      <c r="Z61" s="26" t="n"/>
      <c r="AA61" s="26" t="n"/>
      <c r="AB61" s="26" t="n"/>
      <c r="AC61" s="26" t="n"/>
      <c r="AD61" s="26" t="n"/>
      <c r="AE61" s="26" t="n"/>
      <c r="AF61" s="26" t="n"/>
      <c r="AG61" s="26" t="n"/>
      <c r="AH61" s="26" t="n"/>
      <c r="AI61" s="26" t="n"/>
      <c r="AJ61" s="26" t="n"/>
      <c r="AK61" s="26" t="n"/>
      <c r="AL61" s="26" t="n"/>
      <c r="AM61" s="26" t="n"/>
      <c r="AN61" s="26" t="n"/>
      <c r="AO61" s="26" t="n"/>
      <c r="AP61" s="26" t="n"/>
      <c r="AQ61" s="26" t="n"/>
      <c r="AR61" s="26" t="n"/>
      <c r="AS61" s="26" t="n"/>
      <c r="AT61" s="26" t="n"/>
      <c r="AU61" s="27" t="n"/>
    </row>
    <row r="62" s="3154" customFormat="1" ht="13.5" customHeight="1">
      <c r="A62" s="627" t="n"/>
      <c r="B62" s="26" t="n"/>
      <c r="C62" s="26" t="n"/>
      <c r="D62" s="26" t="n"/>
      <c r="E62" s="3322" t="n"/>
      <c r="F62" s="26" t="n"/>
      <c r="G62" s="26" t="n"/>
      <c r="H62" s="26" t="n"/>
      <c r="I62" s="26" t="n"/>
      <c r="J62" s="26" t="n"/>
      <c r="K62" s="26" t="n"/>
      <c r="L62" s="2100" t="n"/>
      <c r="M62" s="26" t="n"/>
      <c r="N62" s="26" t="n"/>
      <c r="O62" s="26" t="n"/>
      <c r="P62" s="1100" t="e">
        <f t="array" ref="P62">P61+1</f>
      </c>
      <c r="Q62" s="1100" t="e">
        <f t="array" ref="Q62">YEAR(R62)</f>
      </c>
      <c r="R62" s="4015" t="e">
        <f t="array" ref="R62">EDATE($R$9,P62)</f>
      </c>
      <c r="S62" s="1100" t="e">
        <f t="array" ref="S62">P62</f>
      </c>
      <c r="T62" s="429" t="e">
        <f t="array" ref="T62">IF(P62&lt;$E$26,"Pre-Development",IF(AND(P62&gt;=$E$26,P62&lt;=$H$26),"Construction",IF(P62='Assumptions'!$T$110,"Terminal Sale","Operating")))</f>
      </c>
      <c r="U62" s="26" t="n"/>
      <c r="V62" s="26" t="n">
        <f t="array" ref="V62">V61</f>
        <v>5</v>
      </c>
      <c r="W62" s="26" t="n"/>
      <c r="X62" s="26" t="n"/>
      <c r="Y62" s="26" t="n"/>
      <c r="Z62" s="26" t="n"/>
      <c r="AA62" s="26" t="n"/>
      <c r="AB62" s="26" t="n"/>
      <c r="AC62" s="26" t="n"/>
      <c r="AD62" s="26" t="n"/>
      <c r="AE62" s="26" t="n"/>
      <c r="AF62" s="26" t="n"/>
      <c r="AG62" s="26" t="n"/>
      <c r="AH62" s="26" t="n"/>
      <c r="AI62" s="26" t="n"/>
      <c r="AJ62" s="26" t="n"/>
      <c r="AK62" s="26" t="n"/>
      <c r="AL62" s="26" t="n"/>
      <c r="AM62" s="26" t="n"/>
      <c r="AN62" s="26" t="n"/>
      <c r="AO62" s="26" t="n"/>
      <c r="AP62" s="26" t="n"/>
      <c r="AQ62" s="26" t="n"/>
      <c r="AR62" s="26" t="n"/>
      <c r="AS62" s="26" t="n"/>
      <c r="AT62" s="26" t="n"/>
      <c r="AU62" s="27" t="n"/>
    </row>
    <row r="63" s="3154" customFormat="1" ht="13.5" customHeight="1">
      <c r="A63" s="627" t="n"/>
      <c r="B63" s="26" t="n"/>
      <c r="C63" s="26" t="n"/>
      <c r="D63" s="26" t="n"/>
      <c r="E63" s="3322" t="n"/>
      <c r="F63" s="26" t="n"/>
      <c r="G63" s="26" t="n"/>
      <c r="H63" s="26" t="n"/>
      <c r="I63" s="26" t="n"/>
      <c r="J63" s="26" t="n"/>
      <c r="K63" s="26" t="n"/>
      <c r="L63" s="2100" t="n"/>
      <c r="M63" s="26" t="n"/>
      <c r="N63" s="26" t="n"/>
      <c r="O63" s="26" t="n"/>
      <c r="P63" s="1100" t="e">
        <f t="array" ref="P63">P62+1</f>
      </c>
      <c r="Q63" s="1100" t="e">
        <f t="array" ref="Q63">YEAR(R63)</f>
      </c>
      <c r="R63" s="4015" t="e">
        <f t="array" ref="R63">EDATE($R$9,P63)</f>
      </c>
      <c r="S63" s="1100" t="e">
        <f t="array" ref="S63">P63</f>
      </c>
      <c r="T63" s="429" t="e">
        <f t="array" ref="T63">IF(P63&lt;$E$26,"Pre-Development",IF(AND(P63&gt;=$E$26,P63&lt;=$H$26),"Construction",IF(P63='Assumptions'!$T$110,"Terminal Sale","Operating")))</f>
      </c>
      <c r="U63" s="26" t="n"/>
      <c r="V63" s="26" t="n">
        <f t="array" ref="V63">V62</f>
        <v>5</v>
      </c>
      <c r="W63" s="26" t="n"/>
      <c r="X63" s="26" t="n"/>
      <c r="Y63" s="26" t="n"/>
      <c r="Z63" s="26" t="n"/>
      <c r="AA63" s="26" t="n"/>
      <c r="AB63" s="26" t="n"/>
      <c r="AC63" s="26" t="n"/>
      <c r="AD63" s="26" t="n"/>
      <c r="AE63" s="26" t="n"/>
      <c r="AF63" s="26" t="n"/>
      <c r="AG63" s="26" t="n"/>
      <c r="AH63" s="26" t="n"/>
      <c r="AI63" s="26" t="n"/>
      <c r="AJ63" s="26" t="n"/>
      <c r="AK63" s="26" t="n"/>
      <c r="AL63" s="26" t="n"/>
      <c r="AM63" s="26" t="n"/>
      <c r="AN63" s="26" t="n"/>
      <c r="AO63" s="26" t="n"/>
      <c r="AP63" s="26" t="n"/>
      <c r="AQ63" s="26" t="n"/>
      <c r="AR63" s="26" t="n"/>
      <c r="AS63" s="26" t="n"/>
      <c r="AT63" s="26" t="n"/>
      <c r="AU63" s="27" t="n"/>
    </row>
    <row r="64" s="3154" customFormat="1" ht="13.5" customHeight="1">
      <c r="A64" s="627" t="n"/>
      <c r="B64" s="26" t="n"/>
      <c r="C64" s="26" t="n"/>
      <c r="D64" s="26" t="n"/>
      <c r="E64" s="3322" t="n"/>
      <c r="F64" s="26" t="n"/>
      <c r="G64" s="26" t="n"/>
      <c r="H64" s="26" t="n"/>
      <c r="I64" s="26" t="n"/>
      <c r="J64" s="26" t="n"/>
      <c r="K64" s="26" t="n"/>
      <c r="L64" s="2100" t="n"/>
      <c r="M64" s="26" t="n"/>
      <c r="N64" s="26" t="n"/>
      <c r="O64" s="26" t="n"/>
      <c r="P64" s="1100" t="e">
        <f t="array" ref="P64">P63+1</f>
      </c>
      <c r="Q64" s="1100" t="e">
        <f t="array" ref="Q64">YEAR(R64)</f>
      </c>
      <c r="R64" s="4015" t="e">
        <f t="array" ref="R64">EDATE($R$9,P64)</f>
      </c>
      <c r="S64" s="1100" t="e">
        <f t="array" ref="S64">P64</f>
      </c>
      <c r="T64" s="429" t="e">
        <f t="array" ref="T64">IF(P64&lt;$E$26,"Pre-Development",IF(AND(P64&gt;=$E$26,P64&lt;=$H$26),"Construction",IF(P64='Assumptions'!$T$110,"Terminal Sale","Operating")))</f>
      </c>
      <c r="U64" s="26" t="n"/>
      <c r="V64" s="26" t="n">
        <f t="array" ref="V64">V63</f>
        <v>5</v>
      </c>
      <c r="W64" s="26" t="n"/>
      <c r="X64" s="26" t="n"/>
      <c r="Y64" s="26" t="n"/>
      <c r="Z64" s="26" t="n"/>
      <c r="AA64" s="26" t="n"/>
      <c r="AB64" s="26" t="n"/>
      <c r="AC64" s="26" t="n"/>
      <c r="AD64" s="26" t="n"/>
      <c r="AE64" s="26" t="n"/>
      <c r="AF64" s="26" t="n"/>
      <c r="AG64" s="26" t="n"/>
      <c r="AH64" s="26" t="n"/>
      <c r="AI64" s="26" t="n"/>
      <c r="AJ64" s="26" t="n"/>
      <c r="AK64" s="26" t="n"/>
      <c r="AL64" s="26" t="n"/>
      <c r="AM64" s="26" t="n"/>
      <c r="AN64" s="26" t="n"/>
      <c r="AO64" s="26" t="n"/>
      <c r="AP64" s="26" t="n"/>
      <c r="AQ64" s="26" t="n"/>
      <c r="AR64" s="26" t="n"/>
      <c r="AS64" s="26" t="n"/>
      <c r="AT64" s="26" t="n"/>
      <c r="AU64" s="27" t="n"/>
    </row>
    <row r="65" s="3154" customFormat="1" ht="13.5" customHeight="1">
      <c r="A65" s="627" t="n"/>
      <c r="B65" s="26" t="n"/>
      <c r="C65" s="26" t="n"/>
      <c r="D65" s="26" t="n"/>
      <c r="E65" s="3322" t="n"/>
      <c r="F65" s="26" t="n"/>
      <c r="G65" s="26" t="n"/>
      <c r="H65" s="26" t="n"/>
      <c r="I65" s="26" t="n"/>
      <c r="J65" s="26" t="n"/>
      <c r="K65" s="26" t="n"/>
      <c r="L65" s="2100" t="n"/>
      <c r="M65" s="26" t="n"/>
      <c r="N65" s="26" t="n"/>
      <c r="O65" s="26" t="n"/>
      <c r="P65" s="1100" t="e">
        <f t="array" ref="P65">P64+1</f>
      </c>
      <c r="Q65" s="1100" t="e">
        <f t="array" ref="Q65">YEAR(R65)</f>
      </c>
      <c r="R65" s="4015" t="e">
        <f t="array" ref="R65">EDATE($R$9,P65)</f>
      </c>
      <c r="S65" s="1100" t="e">
        <f t="array" ref="S65">P65</f>
      </c>
      <c r="T65" s="429" t="e">
        <f t="array" ref="T65">IF(P65&lt;$E$26,"Pre-Development",IF(AND(P65&gt;=$E$26,P65&lt;=$H$26),"Construction",IF(P65='Assumptions'!$T$110,"Terminal Sale","Operating")))</f>
      </c>
      <c r="U65" s="26" t="n"/>
      <c r="V65" s="26" t="n">
        <f t="array" ref="V65">V64</f>
        <v>5</v>
      </c>
      <c r="W65" s="26" t="n"/>
      <c r="X65" s="26" t="n"/>
      <c r="Y65" s="26" t="n"/>
      <c r="Z65" s="26" t="n"/>
      <c r="AA65" s="26" t="n"/>
      <c r="AB65" s="26" t="n"/>
      <c r="AC65" s="26" t="n"/>
      <c r="AD65" s="26" t="n"/>
      <c r="AE65" s="26" t="n"/>
      <c r="AF65" s="26" t="n"/>
      <c r="AG65" s="26" t="n"/>
      <c r="AH65" s="26" t="n"/>
      <c r="AI65" s="26" t="n"/>
      <c r="AJ65" s="26" t="n"/>
      <c r="AK65" s="26" t="n"/>
      <c r="AL65" s="26" t="n"/>
      <c r="AM65" s="26" t="n"/>
      <c r="AN65" s="26" t="n"/>
      <c r="AO65" s="26" t="n"/>
      <c r="AP65" s="26" t="n"/>
      <c r="AQ65" s="26" t="n"/>
      <c r="AR65" s="26" t="n"/>
      <c r="AS65" s="26" t="n"/>
      <c r="AT65" s="26" t="n"/>
      <c r="AU65" s="27" t="n"/>
    </row>
    <row r="66" s="3154" customFormat="1" ht="13.5" customHeight="1">
      <c r="A66" s="627" t="n"/>
      <c r="B66" s="26" t="n"/>
      <c r="C66" s="26" t="n"/>
      <c r="D66" s="26" t="n"/>
      <c r="E66" s="3322" t="n"/>
      <c r="F66" s="26" t="n"/>
      <c r="G66" s="26" t="n"/>
      <c r="H66" s="26" t="n"/>
      <c r="I66" s="26" t="n"/>
      <c r="J66" s="26" t="n"/>
      <c r="K66" s="26" t="n"/>
      <c r="L66" s="2100" t="n"/>
      <c r="M66" s="26" t="n"/>
      <c r="N66" s="26" t="n"/>
      <c r="O66" s="26" t="n"/>
      <c r="P66" s="1100" t="e">
        <f t="array" ref="P66">P65+1</f>
      </c>
      <c r="Q66" s="1100" t="e">
        <f t="array" ref="Q66">YEAR(R66)</f>
      </c>
      <c r="R66" s="4015" t="e">
        <f t="array" ref="R66">EDATE($R$9,P66)</f>
      </c>
      <c r="S66" s="1100" t="e">
        <f t="array" ref="S66">P66</f>
      </c>
      <c r="T66" s="429" t="e">
        <f t="array" ref="T66">IF(P66&lt;$E$26,"Pre-Development",IF(AND(P66&gt;=$E$26,P66&lt;=$H$26),"Construction",IF(P66='Assumptions'!$T$110,"Terminal Sale","Operating")))</f>
      </c>
      <c r="U66" s="26" t="n"/>
      <c r="V66" s="26" t="n">
        <f t="array" ref="V66">V65</f>
        <v>5</v>
      </c>
      <c r="W66" s="26" t="n"/>
      <c r="X66" s="26" t="n"/>
      <c r="Y66" s="26" t="n"/>
      <c r="Z66" s="26" t="n"/>
      <c r="AA66" s="26" t="n"/>
      <c r="AB66" s="26" t="n"/>
      <c r="AC66" s="26" t="n"/>
      <c r="AD66" s="26" t="n"/>
      <c r="AE66" s="26" t="n"/>
      <c r="AF66" s="26" t="n"/>
      <c r="AG66" s="26" t="n"/>
      <c r="AH66" s="26" t="n"/>
      <c r="AI66" s="26" t="n"/>
      <c r="AJ66" s="26" t="n"/>
      <c r="AK66" s="26" t="n"/>
      <c r="AL66" s="26" t="n"/>
      <c r="AM66" s="26" t="n"/>
      <c r="AN66" s="26" t="n"/>
      <c r="AO66" s="26" t="n"/>
      <c r="AP66" s="26" t="n"/>
      <c r="AQ66" s="26" t="n"/>
      <c r="AR66" s="26" t="n"/>
      <c r="AS66" s="26" t="n"/>
      <c r="AT66" s="26" t="n"/>
      <c r="AU66" s="27" t="n"/>
    </row>
    <row r="67" s="3154" customFormat="1" ht="13.5" customHeight="1">
      <c r="A67" s="627" t="n"/>
      <c r="B67" s="26" t="n"/>
      <c r="C67" s="26" t="n"/>
      <c r="D67" s="26" t="n"/>
      <c r="E67" s="3322" t="n"/>
      <c r="F67" s="26" t="n"/>
      <c r="G67" s="26" t="n"/>
      <c r="H67" s="26" t="n"/>
      <c r="I67" s="26" t="n"/>
      <c r="J67" s="26" t="n"/>
      <c r="K67" s="26" t="n"/>
      <c r="L67" s="2100" t="n"/>
      <c r="M67" s="26" t="n"/>
      <c r="N67" s="26" t="n"/>
      <c r="O67" s="26" t="n"/>
      <c r="P67" s="1100" t="e">
        <f t="array" ref="P67">P66+1</f>
      </c>
      <c r="Q67" s="1100" t="e">
        <f t="array" ref="Q67">YEAR(R67)</f>
      </c>
      <c r="R67" s="4015" t="e">
        <f t="array" ref="R67">EDATE($R$9,P67)</f>
      </c>
      <c r="S67" s="1100" t="e">
        <f t="array" ref="S67">P67</f>
      </c>
      <c r="T67" s="429" t="e">
        <f t="array" ref="T67">IF(P67&lt;$E$26,"Pre-Development",IF(AND(P67&gt;=$E$26,P67&lt;=$H$26),"Construction",IF(P67='Assumptions'!$T$110,"Terminal Sale","Operating")))</f>
      </c>
      <c r="U67" s="26" t="n"/>
      <c r="V67" s="26" t="n">
        <f t="array" ref="V67">V66</f>
        <v>5</v>
      </c>
      <c r="W67" s="26" t="n"/>
      <c r="X67" s="26" t="n"/>
      <c r="Y67" s="26" t="n"/>
      <c r="Z67" s="26" t="n"/>
      <c r="AA67" s="26" t="n"/>
      <c r="AB67" s="26" t="n"/>
      <c r="AC67" s="26" t="n"/>
      <c r="AD67" s="26" t="n"/>
      <c r="AE67" s="26" t="n"/>
      <c r="AF67" s="26" t="n"/>
      <c r="AG67" s="26" t="n"/>
      <c r="AH67" s="26" t="n"/>
      <c r="AI67" s="26" t="n"/>
      <c r="AJ67" s="26" t="n"/>
      <c r="AK67" s="26" t="n"/>
      <c r="AL67" s="26" t="n"/>
      <c r="AM67" s="26" t="n"/>
      <c r="AN67" s="26" t="n"/>
      <c r="AO67" s="26" t="n"/>
      <c r="AP67" s="26" t="n"/>
      <c r="AQ67" s="26" t="n"/>
      <c r="AR67" s="26" t="n"/>
      <c r="AS67" s="26" t="n"/>
      <c r="AT67" s="26" t="n"/>
      <c r="AU67" s="27" t="n"/>
    </row>
    <row r="68" s="3154" customFormat="1" ht="13.5" customHeight="1">
      <c r="A68" s="627" t="n"/>
      <c r="B68" s="26" t="n"/>
      <c r="C68" s="26" t="n"/>
      <c r="D68" s="26" t="n"/>
      <c r="E68" s="3322" t="n"/>
      <c r="F68" s="26" t="n"/>
      <c r="G68" s="26" t="n"/>
      <c r="H68" s="26" t="n"/>
      <c r="I68" s="26" t="n"/>
      <c r="J68" s="26" t="n"/>
      <c r="K68" s="26" t="n"/>
      <c r="L68" s="26" t="n"/>
      <c r="M68" s="26" t="n"/>
      <c r="N68" s="26" t="n"/>
      <c r="O68" s="26" t="n"/>
      <c r="P68" s="1100" t="e">
        <f t="array" ref="P68">P67+1</f>
      </c>
      <c r="Q68" s="1100" t="e">
        <f t="array" ref="Q68">YEAR(R68)</f>
      </c>
      <c r="R68" s="4015" t="e">
        <f t="array" ref="R68">EDATE($R$9,P68)</f>
      </c>
      <c r="S68" s="1100" t="e">
        <f t="array" ref="S68">P68</f>
      </c>
      <c r="T68" s="429" t="e">
        <f t="array" ref="T68">IF(P68&lt;$E$26,"Pre-Development",IF(AND(P68&gt;=$E$26,P68&lt;=$H$26),"Construction",IF(P68='Assumptions'!$T$110,"Terminal Sale","Operating")))</f>
      </c>
      <c r="U68" s="26" t="n"/>
      <c r="V68" s="26" t="n">
        <f t="array" ref="V68">V67</f>
        <v>5</v>
      </c>
      <c r="W68" s="26" t="n"/>
      <c r="X68" s="26" t="n"/>
      <c r="Y68" s="26" t="n"/>
      <c r="Z68" s="26" t="n"/>
      <c r="AA68" s="26" t="n"/>
      <c r="AB68" s="26" t="n"/>
      <c r="AC68" s="26" t="n"/>
      <c r="AD68" s="26" t="n"/>
      <c r="AE68" s="26" t="n"/>
      <c r="AF68" s="26" t="n"/>
      <c r="AG68" s="26" t="n"/>
      <c r="AH68" s="26" t="n"/>
      <c r="AI68" s="26" t="n"/>
      <c r="AJ68" s="26" t="n"/>
      <c r="AK68" s="26" t="n"/>
      <c r="AL68" s="26" t="n"/>
      <c r="AM68" s="26" t="n"/>
      <c r="AN68" s="26" t="n"/>
      <c r="AO68" s="26" t="n"/>
      <c r="AP68" s="26" t="n"/>
      <c r="AQ68" s="26" t="n"/>
      <c r="AR68" s="26" t="n"/>
      <c r="AS68" s="26" t="n"/>
      <c r="AT68" s="26" t="n"/>
      <c r="AU68" s="27" t="n"/>
    </row>
    <row r="69" s="3154" customFormat="1" ht="13.5" customHeight="1">
      <c r="A69" s="627" t="n"/>
      <c r="B69" s="26" t="n"/>
      <c r="C69" s="26" t="n"/>
      <c r="D69" s="26" t="n"/>
      <c r="E69" s="3322" t="n"/>
      <c r="F69" s="26" t="n"/>
      <c r="G69" s="26" t="n"/>
      <c r="H69" s="26" t="n"/>
      <c r="I69" s="26" t="n"/>
      <c r="J69" s="26" t="n"/>
      <c r="K69" s="26" t="n"/>
      <c r="L69" s="26" t="n"/>
      <c r="M69" s="26" t="n"/>
      <c r="N69" s="26" t="n"/>
      <c r="O69" s="26" t="n"/>
      <c r="P69" s="1100" t="e">
        <f t="array" ref="P69">P68+1</f>
      </c>
      <c r="Q69" s="1100" t="e">
        <f t="array" ref="Q69">YEAR(R69)</f>
      </c>
      <c r="R69" s="4015" t="e">
        <f t="array" ref="R69">EDATE($R$9,P69)</f>
      </c>
      <c r="S69" s="1100" t="e">
        <f t="array" ref="S69">P69</f>
      </c>
      <c r="T69" s="429" t="e">
        <f t="array" ref="T69">IF(P69&lt;$E$26,"Pre-Development",IF(AND(P69&gt;=$E$26,P69&lt;=$H$26),"Construction",IF(P69='Assumptions'!$T$110,"Terminal Sale","Operating")))</f>
      </c>
      <c r="U69" s="26" t="n"/>
      <c r="V69" s="26" t="n">
        <f t="array" ref="V69">V68+1</f>
        <v>6</v>
      </c>
      <c r="W69" s="26" t="n"/>
      <c r="X69" s="26" t="n"/>
      <c r="Y69" s="26" t="n"/>
      <c r="Z69" s="26" t="n"/>
      <c r="AA69" s="26" t="n"/>
      <c r="AB69" s="26" t="n"/>
      <c r="AC69" s="26" t="n"/>
      <c r="AD69" s="26" t="n"/>
      <c r="AE69" s="26" t="n"/>
      <c r="AF69" s="26" t="n"/>
      <c r="AG69" s="26" t="n"/>
      <c r="AH69" s="26" t="n"/>
      <c r="AI69" s="26" t="n"/>
      <c r="AJ69" s="26" t="n"/>
      <c r="AK69" s="26" t="n"/>
      <c r="AL69" s="26" t="n"/>
      <c r="AM69" s="26" t="n"/>
      <c r="AN69" s="26" t="n"/>
      <c r="AO69" s="26" t="n"/>
      <c r="AP69" s="26" t="n"/>
      <c r="AQ69" s="26" t="n"/>
      <c r="AR69" s="26" t="n"/>
      <c r="AS69" s="26" t="n"/>
      <c r="AT69" s="26" t="n"/>
      <c r="AU69" s="27" t="n"/>
    </row>
    <row r="70" s="3154" customFormat="1" ht="13.5" customHeight="1">
      <c r="A70" s="627" t="n"/>
      <c r="B70" s="26" t="n"/>
      <c r="C70" s="26" t="n"/>
      <c r="D70" s="26" t="n"/>
      <c r="E70" s="3322" t="n"/>
      <c r="F70" s="26" t="n"/>
      <c r="G70" s="26" t="n"/>
      <c r="H70" s="26" t="n"/>
      <c r="I70" s="26" t="n"/>
      <c r="J70" s="26" t="n"/>
      <c r="K70" s="26" t="n"/>
      <c r="L70" s="26" t="n"/>
      <c r="M70" s="26" t="n"/>
      <c r="N70" s="26" t="n"/>
      <c r="O70" s="26" t="n"/>
      <c r="P70" s="1100" t="e">
        <f t="array" ref="P70">P69+1</f>
      </c>
      <c r="Q70" s="1100" t="e">
        <f t="array" ref="Q70">YEAR(R70)</f>
      </c>
      <c r="R70" s="4015" t="e">
        <f t="array" ref="R70">EDATE($R$9,P70)</f>
      </c>
      <c r="S70" s="1100" t="e">
        <f t="array" ref="S70">P70</f>
      </c>
      <c r="T70" s="429" t="e">
        <f t="array" ref="T70">IF(P70&lt;$E$26,"Pre-Development",IF(AND(P70&gt;=$E$26,P70&lt;=$H$26),"Construction",IF(P70='Assumptions'!$T$110,"Terminal Sale","Operating")))</f>
      </c>
      <c r="U70" s="26" t="n"/>
      <c r="V70" s="26" t="n">
        <f t="array" ref="V70">V69</f>
        <v>6</v>
      </c>
      <c r="W70" s="26" t="n"/>
      <c r="X70" s="26" t="n"/>
      <c r="Y70" s="26" t="n"/>
      <c r="Z70" s="26" t="n"/>
      <c r="AA70" s="26" t="n"/>
      <c r="AB70" s="26" t="n"/>
      <c r="AC70" s="26" t="n"/>
      <c r="AD70" s="26" t="n"/>
      <c r="AE70" s="26" t="n"/>
      <c r="AF70" s="26" t="n"/>
      <c r="AG70" s="26" t="n"/>
      <c r="AH70" s="26" t="n"/>
      <c r="AI70" s="26" t="n"/>
      <c r="AJ70" s="26" t="n"/>
      <c r="AK70" s="26" t="n"/>
      <c r="AL70" s="26" t="n"/>
      <c r="AM70" s="26" t="n"/>
      <c r="AN70" s="26" t="n"/>
      <c r="AO70" s="26" t="n"/>
      <c r="AP70" s="26" t="n"/>
      <c r="AQ70" s="26" t="n"/>
      <c r="AR70" s="26" t="n"/>
      <c r="AS70" s="26" t="n"/>
      <c r="AT70" s="26" t="n"/>
      <c r="AU70" s="27" t="n"/>
    </row>
    <row r="71" s="3154" customFormat="1" ht="13.5" customHeight="1">
      <c r="A71" s="627" t="n"/>
      <c r="B71" s="26" t="n"/>
      <c r="C71" s="26" t="n"/>
      <c r="D71" s="26" t="n"/>
      <c r="E71" s="3322" t="n"/>
      <c r="F71" s="26" t="n"/>
      <c r="G71" s="26" t="n"/>
      <c r="H71" s="26" t="n"/>
      <c r="I71" s="26" t="n"/>
      <c r="J71" s="26" t="n"/>
      <c r="K71" s="26" t="n"/>
      <c r="L71" s="26" t="n"/>
      <c r="M71" s="26" t="n"/>
      <c r="N71" s="26" t="n"/>
      <c r="O71" s="26" t="n"/>
      <c r="P71" s="1100" t="e">
        <f t="array" ref="P71">P70+1</f>
      </c>
      <c r="Q71" s="1100" t="e">
        <f t="array" ref="Q71">YEAR(R71)</f>
      </c>
      <c r="R71" s="4015" t="e">
        <f t="array" ref="R71">EDATE($R$9,P71)</f>
      </c>
      <c r="S71" s="1100" t="e">
        <f t="array" ref="S71">P71</f>
      </c>
      <c r="T71" s="429" t="e">
        <f t="array" ref="T71">IF(P71&lt;$E$26,"Pre-Development",IF(AND(P71&gt;=$E$26,P71&lt;=$H$26),"Construction",IF(P71='Assumptions'!$T$110,"Terminal Sale","Operating")))</f>
      </c>
      <c r="U71" s="26" t="n"/>
      <c r="V71" s="26" t="n">
        <f t="array" ref="V71">V70</f>
        <v>6</v>
      </c>
      <c r="W71" s="26" t="n"/>
      <c r="X71" s="26" t="n"/>
      <c r="Y71" s="26" t="n"/>
      <c r="Z71" s="26" t="n"/>
      <c r="AA71" s="26" t="n"/>
      <c r="AB71" s="26" t="n"/>
      <c r="AC71" s="26" t="n"/>
      <c r="AD71" s="26" t="n"/>
      <c r="AE71" s="26" t="n"/>
      <c r="AF71" s="26" t="n"/>
      <c r="AG71" s="26" t="n"/>
      <c r="AH71" s="26" t="n"/>
      <c r="AI71" s="26" t="n"/>
      <c r="AJ71" s="26" t="n"/>
      <c r="AK71" s="26" t="n"/>
      <c r="AL71" s="26" t="n"/>
      <c r="AM71" s="26" t="n"/>
      <c r="AN71" s="26" t="n"/>
      <c r="AO71" s="26" t="n"/>
      <c r="AP71" s="26" t="n"/>
      <c r="AQ71" s="26" t="n"/>
      <c r="AR71" s="26" t="n"/>
      <c r="AS71" s="26" t="n"/>
      <c r="AT71" s="26" t="n"/>
      <c r="AU71" s="27" t="n"/>
    </row>
    <row r="72" s="3154" customFormat="1" ht="13.5" customHeight="1">
      <c r="A72" s="627" t="n"/>
      <c r="B72" s="26" t="n"/>
      <c r="C72" s="26" t="n"/>
      <c r="D72" s="26" t="n"/>
      <c r="E72" s="3322" t="n"/>
      <c r="F72" s="26" t="n"/>
      <c r="G72" s="26" t="n"/>
      <c r="H72" s="26" t="n"/>
      <c r="I72" s="26" t="n"/>
      <c r="J72" s="26" t="n"/>
      <c r="K72" s="26" t="n"/>
      <c r="L72" s="26" t="n"/>
      <c r="M72" s="26" t="n"/>
      <c r="N72" s="26" t="n"/>
      <c r="O72" s="26" t="n"/>
      <c r="P72" s="1100" t="e">
        <f t="array" ref="P72">P71+1</f>
      </c>
      <c r="Q72" s="1100" t="e">
        <f t="array" ref="Q72">YEAR(R72)</f>
      </c>
      <c r="R72" s="4015" t="e">
        <f t="array" ref="R72">EDATE($R$9,P72)</f>
      </c>
      <c r="S72" s="1100" t="e">
        <f t="array" ref="S72">P72</f>
      </c>
      <c r="T72" s="429" t="e">
        <f t="array" ref="T72">IF(P72&lt;$E$26,"Pre-Development",IF(AND(P72&gt;=$E$26,P72&lt;=$H$26),"Construction",IF(P72='Assumptions'!$T$110,"Terminal Sale","Operating")))</f>
      </c>
      <c r="U72" s="26" t="n"/>
      <c r="V72" s="26" t="n">
        <f t="array" ref="V72">V71</f>
        <v>6</v>
      </c>
      <c r="W72" s="26" t="n"/>
      <c r="X72" s="26" t="n"/>
      <c r="Y72" s="26" t="n"/>
      <c r="Z72" s="26" t="n"/>
      <c r="AA72" s="26" t="n"/>
      <c r="AB72" s="26" t="n"/>
      <c r="AC72" s="26" t="n"/>
      <c r="AD72" s="26" t="n"/>
      <c r="AE72" s="26" t="n"/>
      <c r="AF72" s="26" t="n"/>
      <c r="AG72" s="26" t="n"/>
      <c r="AH72" s="26" t="n"/>
      <c r="AI72" s="26" t="n"/>
      <c r="AJ72" s="26" t="n"/>
      <c r="AK72" s="26" t="n"/>
      <c r="AL72" s="26" t="n"/>
      <c r="AM72" s="26" t="n"/>
      <c r="AN72" s="26" t="n"/>
      <c r="AO72" s="26" t="n"/>
      <c r="AP72" s="26" t="n"/>
      <c r="AQ72" s="26" t="n"/>
      <c r="AR72" s="26" t="n"/>
      <c r="AS72" s="26" t="n"/>
      <c r="AT72" s="26" t="n"/>
      <c r="AU72" s="27" t="n"/>
    </row>
    <row r="73" s="3154" customFormat="1" ht="13.5" customHeight="1">
      <c r="A73" s="627" t="n"/>
      <c r="B73" s="26" t="n"/>
      <c r="C73" s="26" t="n"/>
      <c r="D73" s="26" t="n"/>
      <c r="E73" s="3322" t="n"/>
      <c r="F73" s="26" t="n"/>
      <c r="G73" s="26" t="n"/>
      <c r="H73" s="26" t="n"/>
      <c r="I73" s="26" t="n"/>
      <c r="J73" s="26" t="n"/>
      <c r="K73" s="26" t="n"/>
      <c r="L73" s="26" t="n"/>
      <c r="M73" s="26" t="n"/>
      <c r="N73" s="26" t="n"/>
      <c r="O73" s="26" t="n"/>
      <c r="P73" s="1100" t="e">
        <f t="array" ref="P73">P72+1</f>
      </c>
      <c r="Q73" s="1100" t="e">
        <f t="array" ref="Q73">YEAR(R73)</f>
      </c>
      <c r="R73" s="4015" t="e">
        <f t="array" ref="R73">EDATE($R$9,P73)</f>
      </c>
      <c r="S73" s="1100" t="e">
        <f t="array" ref="S73">P73</f>
      </c>
      <c r="T73" s="429" t="e">
        <f t="array" ref="T73">IF(P73&lt;$E$26,"Pre-Development",IF(AND(P73&gt;=$E$26,P73&lt;=$H$26),"Construction",IF(P73='Assumptions'!$T$110,"Terminal Sale","Operating")))</f>
      </c>
      <c r="U73" s="26" t="n"/>
      <c r="V73" s="26" t="n">
        <f t="array" ref="V73">V72</f>
        <v>6</v>
      </c>
      <c r="W73" s="26" t="n"/>
      <c r="X73" s="26" t="n"/>
      <c r="Y73" s="26" t="n"/>
      <c r="Z73" s="26" t="n"/>
      <c r="AA73" s="26" t="n"/>
      <c r="AB73" s="26" t="n"/>
      <c r="AC73" s="26" t="n"/>
      <c r="AD73" s="26" t="n"/>
      <c r="AE73" s="26" t="n"/>
      <c r="AF73" s="26" t="n"/>
      <c r="AG73" s="26" t="n"/>
      <c r="AH73" s="26" t="n"/>
      <c r="AI73" s="26" t="n"/>
      <c r="AJ73" s="26" t="n"/>
      <c r="AK73" s="26" t="n"/>
      <c r="AL73" s="26" t="n"/>
      <c r="AM73" s="26" t="n"/>
      <c r="AN73" s="26" t="n"/>
      <c r="AO73" s="26" t="n"/>
      <c r="AP73" s="26" t="n"/>
      <c r="AQ73" s="26" t="n"/>
      <c r="AR73" s="26" t="n"/>
      <c r="AS73" s="26" t="n"/>
      <c r="AT73" s="26" t="n"/>
      <c r="AU73" s="27" t="n"/>
    </row>
    <row r="74" s="3154" customFormat="1" ht="13.5" customHeight="1">
      <c r="A74" s="627" t="n"/>
      <c r="B74" s="26" t="n"/>
      <c r="C74" s="26" t="n"/>
      <c r="D74" s="26" t="n"/>
      <c r="E74" s="3322" t="n"/>
      <c r="F74" s="26" t="n"/>
      <c r="G74" s="26" t="n"/>
      <c r="H74" s="26" t="n"/>
      <c r="I74" s="26" t="n"/>
      <c r="J74" s="26" t="n"/>
      <c r="K74" s="26" t="n"/>
      <c r="L74" s="26" t="n"/>
      <c r="M74" s="26" t="n"/>
      <c r="N74" s="26" t="n"/>
      <c r="O74" s="26" t="n"/>
      <c r="P74" s="1100" t="e">
        <f t="array" ref="P74">P73+1</f>
      </c>
      <c r="Q74" s="1100" t="e">
        <f t="array" ref="Q74">YEAR(R74)</f>
      </c>
      <c r="R74" s="4015" t="e">
        <f t="array" ref="R74">EDATE($R$9,P74)</f>
      </c>
      <c r="S74" s="1100" t="e">
        <f t="array" ref="S74">P74</f>
      </c>
      <c r="T74" s="429" t="e">
        <f t="array" ref="T74">IF(P74&lt;$E$26,"Pre-Development",IF(AND(P74&gt;=$E$26,P74&lt;=$H$26),"Construction",IF(P74='Assumptions'!$T$110,"Terminal Sale","Operating")))</f>
      </c>
      <c r="U74" s="26" t="n"/>
      <c r="V74" s="26" t="n">
        <f t="array" ref="V74">V73</f>
        <v>6</v>
      </c>
      <c r="W74" s="26" t="n"/>
      <c r="X74" s="26" t="n"/>
      <c r="Y74" s="26" t="n"/>
      <c r="Z74" s="26" t="n"/>
      <c r="AA74" s="26" t="n"/>
      <c r="AB74" s="26" t="n"/>
      <c r="AC74" s="26" t="n"/>
      <c r="AD74" s="26" t="n"/>
      <c r="AE74" s="26" t="n"/>
      <c r="AF74" s="26" t="n"/>
      <c r="AG74" s="26" t="n"/>
      <c r="AH74" s="26" t="n"/>
      <c r="AI74" s="26" t="n"/>
      <c r="AJ74" s="26" t="n"/>
      <c r="AK74" s="26" t="n"/>
      <c r="AL74" s="26" t="n"/>
      <c r="AM74" s="26" t="n"/>
      <c r="AN74" s="26" t="n"/>
      <c r="AO74" s="26" t="n"/>
      <c r="AP74" s="26" t="n"/>
      <c r="AQ74" s="26" t="n"/>
      <c r="AR74" s="26" t="n"/>
      <c r="AS74" s="26" t="n"/>
      <c r="AT74" s="26" t="n"/>
      <c r="AU74" s="27" t="n"/>
    </row>
    <row r="75" s="3154" customFormat="1" ht="13.5" customHeight="1">
      <c r="A75" s="627" t="n"/>
      <c r="B75" s="26" t="n"/>
      <c r="C75" s="26" t="n"/>
      <c r="D75" s="26" t="n"/>
      <c r="E75" s="3322" t="n"/>
      <c r="F75" s="26" t="n"/>
      <c r="G75" s="26" t="n"/>
      <c r="H75" s="26" t="n"/>
      <c r="I75" s="26" t="n"/>
      <c r="J75" s="26" t="n"/>
      <c r="K75" s="26" t="n"/>
      <c r="L75" s="26" t="n"/>
      <c r="M75" s="26" t="n"/>
      <c r="N75" s="26" t="n"/>
      <c r="O75" s="26" t="n"/>
      <c r="P75" s="1100" t="e">
        <f t="array" ref="P75">P74+1</f>
      </c>
      <c r="Q75" s="1100" t="e">
        <f t="array" ref="Q75">YEAR(R75)</f>
      </c>
      <c r="R75" s="4015" t="e">
        <f t="array" ref="R75">EDATE($R$9,P75)</f>
      </c>
      <c r="S75" s="1100" t="e">
        <f t="array" ref="S75">P75</f>
      </c>
      <c r="T75" s="429" t="e">
        <f t="array" ref="T75">IF(P75&lt;$E$26,"Pre-Development",IF(AND(P75&gt;=$E$26,P75&lt;=$H$26),"Construction",IF(P75='Assumptions'!$T$110,"Terminal Sale","Operating")))</f>
      </c>
      <c r="U75" s="26" t="n"/>
      <c r="V75" s="26" t="n">
        <f t="array" ref="V75">V74</f>
        <v>6</v>
      </c>
      <c r="W75" s="26" t="n"/>
      <c r="X75" s="26" t="n"/>
      <c r="Y75" s="26" t="n"/>
      <c r="Z75" s="26" t="n"/>
      <c r="AA75" s="26" t="n"/>
      <c r="AB75" s="26" t="n"/>
      <c r="AC75" s="26" t="n"/>
      <c r="AD75" s="26" t="n"/>
      <c r="AE75" s="26" t="n"/>
      <c r="AF75" s="26" t="n"/>
      <c r="AG75" s="26" t="n"/>
      <c r="AH75" s="26" t="n"/>
      <c r="AI75" s="26" t="n"/>
      <c r="AJ75" s="26" t="n"/>
      <c r="AK75" s="26" t="n"/>
      <c r="AL75" s="26" t="n"/>
      <c r="AM75" s="26" t="n"/>
      <c r="AN75" s="26" t="n"/>
      <c r="AO75" s="26" t="n"/>
      <c r="AP75" s="26" t="n"/>
      <c r="AQ75" s="26" t="n"/>
      <c r="AR75" s="26" t="n"/>
      <c r="AS75" s="26" t="n"/>
      <c r="AT75" s="26" t="n"/>
      <c r="AU75" s="27" t="n"/>
    </row>
    <row r="76" s="3154" customFormat="1" ht="13.5" customHeight="1">
      <c r="A76" s="627" t="n"/>
      <c r="B76" s="26" t="n"/>
      <c r="C76" s="26" t="n"/>
      <c r="D76" s="26" t="n"/>
      <c r="E76" s="3322" t="n"/>
      <c r="F76" s="26" t="n"/>
      <c r="G76" s="26" t="n"/>
      <c r="H76" s="26" t="n"/>
      <c r="I76" s="26" t="n"/>
      <c r="J76" s="26" t="n"/>
      <c r="K76" s="26" t="n"/>
      <c r="L76" s="26" t="n"/>
      <c r="M76" s="26" t="n"/>
      <c r="N76" s="26" t="n"/>
      <c r="O76" s="26" t="n"/>
      <c r="P76" s="1100" t="e">
        <f t="array" ref="P76">P75+1</f>
      </c>
      <c r="Q76" s="1100" t="e">
        <f t="array" ref="Q76">YEAR(R76)</f>
      </c>
      <c r="R76" s="4015" t="e">
        <f t="array" ref="R76">EDATE($R$9,P76)</f>
      </c>
      <c r="S76" s="1100" t="e">
        <f t="array" ref="S76">P76</f>
      </c>
      <c r="T76" s="429" t="e">
        <f t="array" ref="T76">IF(P76&lt;$E$26,"Pre-Development",IF(AND(P76&gt;=$E$26,P76&lt;=$H$26),"Construction",IF(P76='Assumptions'!$T$110,"Terminal Sale","Operating")))</f>
      </c>
      <c r="U76" s="26" t="n"/>
      <c r="V76" s="26" t="n">
        <f t="array" ref="V76">V75</f>
        <v>6</v>
      </c>
      <c r="W76" s="26" t="n"/>
      <c r="X76" s="26" t="n"/>
      <c r="Y76" s="26" t="n"/>
      <c r="Z76" s="26" t="n"/>
      <c r="AA76" s="26" t="n"/>
      <c r="AB76" s="26" t="n"/>
      <c r="AC76" s="26" t="n"/>
      <c r="AD76" s="26" t="n"/>
      <c r="AE76" s="26" t="n"/>
      <c r="AF76" s="26" t="n"/>
      <c r="AG76" s="26" t="n"/>
      <c r="AH76" s="26" t="n"/>
      <c r="AI76" s="26" t="n"/>
      <c r="AJ76" s="26" t="n"/>
      <c r="AK76" s="26" t="n"/>
      <c r="AL76" s="26" t="n"/>
      <c r="AM76" s="26" t="n"/>
      <c r="AN76" s="26" t="n"/>
      <c r="AO76" s="26" t="n"/>
      <c r="AP76" s="26" t="n"/>
      <c r="AQ76" s="26" t="n"/>
      <c r="AR76" s="26" t="n"/>
      <c r="AS76" s="26" t="n"/>
      <c r="AT76" s="26" t="n"/>
      <c r="AU76" s="27" t="n"/>
    </row>
    <row r="77" s="3154" customFormat="1" ht="13.5" customHeight="1">
      <c r="A77" s="627" t="n"/>
      <c r="B77" s="26" t="n"/>
      <c r="C77" s="26" t="n"/>
      <c r="D77" s="26" t="n"/>
      <c r="E77" s="3322" t="n"/>
      <c r="F77" s="26" t="n"/>
      <c r="G77" s="26" t="n"/>
      <c r="H77" s="26" t="n"/>
      <c r="I77" s="26" t="n"/>
      <c r="J77" s="26" t="n"/>
      <c r="K77" s="26" t="n"/>
      <c r="L77" s="26" t="n"/>
      <c r="M77" s="26" t="n"/>
      <c r="N77" s="26" t="n"/>
      <c r="O77" s="26" t="n"/>
      <c r="P77" s="1100" t="e">
        <f t="array" ref="P77">P76+1</f>
      </c>
      <c r="Q77" s="1100" t="e">
        <f t="array" ref="Q77">YEAR(R77)</f>
      </c>
      <c r="R77" s="4015" t="e">
        <f t="array" ref="R77">EDATE($R$9,P77)</f>
      </c>
      <c r="S77" s="1100" t="e">
        <f t="array" ref="S77">P77</f>
      </c>
      <c r="T77" s="429" t="e">
        <f t="array" ref="T77">IF(P77&lt;$E$26,"Pre-Development",IF(AND(P77&gt;=$E$26,P77&lt;=$H$26),"Construction",IF(P77='Assumptions'!$T$110,"Terminal Sale","Operating")))</f>
      </c>
      <c r="U77" s="26" t="n"/>
      <c r="V77" s="26" t="n">
        <f t="array" ref="V77">V76</f>
        <v>6</v>
      </c>
      <c r="W77" s="26" t="n"/>
      <c r="X77" s="26" t="n"/>
      <c r="Y77" s="26" t="n"/>
      <c r="Z77" s="26" t="n"/>
      <c r="AA77" s="26" t="n"/>
      <c r="AB77" s="26" t="n"/>
      <c r="AC77" s="26" t="n"/>
      <c r="AD77" s="26" t="n"/>
      <c r="AE77" s="26" t="n"/>
      <c r="AF77" s="26" t="n"/>
      <c r="AG77" s="26" t="n"/>
      <c r="AH77" s="26" t="n"/>
      <c r="AI77" s="26" t="n"/>
      <c r="AJ77" s="26" t="n"/>
      <c r="AK77" s="26" t="n"/>
      <c r="AL77" s="26" t="n"/>
      <c r="AM77" s="26" t="n"/>
      <c r="AN77" s="26" t="n"/>
      <c r="AO77" s="26" t="n"/>
      <c r="AP77" s="26" t="n"/>
      <c r="AQ77" s="26" t="n"/>
      <c r="AR77" s="26" t="n"/>
      <c r="AS77" s="26" t="n"/>
      <c r="AT77" s="26" t="n"/>
      <c r="AU77" s="27" t="n"/>
    </row>
    <row r="78" s="3154" customFormat="1" ht="13.5" customHeight="1">
      <c r="A78" s="627" t="n"/>
      <c r="B78" s="26" t="n"/>
      <c r="C78" s="26" t="n"/>
      <c r="D78" s="26" t="n"/>
      <c r="E78" s="3322" t="n"/>
      <c r="F78" s="26" t="n"/>
      <c r="G78" s="26" t="n"/>
      <c r="H78" s="26" t="n"/>
      <c r="I78" s="26" t="n"/>
      <c r="J78" s="26" t="n"/>
      <c r="K78" s="26" t="n"/>
      <c r="L78" s="26" t="n"/>
      <c r="M78" s="26" t="n"/>
      <c r="N78" s="26" t="n"/>
      <c r="O78" s="26" t="n"/>
      <c r="P78" s="1100" t="e">
        <f t="array" ref="P78">P77+1</f>
      </c>
      <c r="Q78" s="1100" t="e">
        <f t="array" ref="Q78">YEAR(R78)</f>
      </c>
      <c r="R78" s="4015" t="e">
        <f t="array" ref="R78">EDATE($R$9,P78)</f>
      </c>
      <c r="S78" s="1100" t="e">
        <f t="array" ref="S78">P78</f>
      </c>
      <c r="T78" s="429" t="e">
        <f t="array" ref="T78">IF(P78&lt;$E$26,"Pre-Development",IF(AND(P78&gt;=$E$26,P78&lt;=$H$26),"Construction",IF(P78='Assumptions'!$T$110,"Terminal Sale","Operating")))</f>
      </c>
      <c r="U78" s="26" t="n"/>
      <c r="V78" s="26" t="n">
        <f t="array" ref="V78">V77</f>
        <v>6</v>
      </c>
      <c r="W78" s="26" t="n"/>
      <c r="X78" s="26" t="n"/>
      <c r="Y78" s="26" t="n"/>
      <c r="Z78" s="26" t="n"/>
      <c r="AA78" s="26" t="n"/>
      <c r="AB78" s="26" t="n"/>
      <c r="AC78" s="26" t="n"/>
      <c r="AD78" s="26" t="n"/>
      <c r="AE78" s="26" t="n"/>
      <c r="AF78" s="26" t="n"/>
      <c r="AG78" s="26" t="n"/>
      <c r="AH78" s="26" t="n"/>
      <c r="AI78" s="26" t="n"/>
      <c r="AJ78" s="26" t="n"/>
      <c r="AK78" s="26" t="n"/>
      <c r="AL78" s="26" t="n"/>
      <c r="AM78" s="26" t="n"/>
      <c r="AN78" s="26" t="n"/>
      <c r="AO78" s="26" t="n"/>
      <c r="AP78" s="26" t="n"/>
      <c r="AQ78" s="26" t="n"/>
      <c r="AR78" s="26" t="n"/>
      <c r="AS78" s="26" t="n"/>
      <c r="AT78" s="26" t="n"/>
      <c r="AU78" s="27" t="n"/>
    </row>
    <row r="79" s="3154" customFormat="1" ht="13.5" customHeight="1">
      <c r="A79" s="627" t="n"/>
      <c r="B79" s="26" t="n"/>
      <c r="C79" s="26" t="n"/>
      <c r="D79" s="26" t="n"/>
      <c r="E79" s="3322" t="n"/>
      <c r="F79" s="26" t="n"/>
      <c r="G79" s="26" t="n"/>
      <c r="H79" s="26" t="n"/>
      <c r="I79" s="26" t="n"/>
      <c r="J79" s="26" t="n"/>
      <c r="K79" s="26" t="n"/>
      <c r="L79" s="26" t="n"/>
      <c r="M79" s="26" t="n"/>
      <c r="N79" s="26" t="n"/>
      <c r="O79" s="26" t="n"/>
      <c r="P79" s="1100" t="e">
        <f t="array" ref="P79">P78+1</f>
      </c>
      <c r="Q79" s="1100" t="e">
        <f t="array" ref="Q79">YEAR(R79)</f>
      </c>
      <c r="R79" s="4015" t="e">
        <f t="array" ref="R79">EDATE($R$9,P79)</f>
      </c>
      <c r="S79" s="1100" t="e">
        <f t="array" ref="S79">P79</f>
      </c>
      <c r="T79" s="429" t="e">
        <f t="array" ref="T79">IF(P79&lt;$E$26,"Pre-Development",IF(AND(P79&gt;=$E$26,P79&lt;=$H$26),"Construction",IF(P79='Assumptions'!$T$110,"Terminal Sale","Operating")))</f>
      </c>
      <c r="U79" s="26" t="n"/>
      <c r="V79" s="26" t="n">
        <f t="array" ref="V79">V78</f>
        <v>6</v>
      </c>
      <c r="W79" s="26" t="n"/>
      <c r="X79" s="26" t="n"/>
      <c r="Y79" s="26" t="n"/>
      <c r="Z79" s="26" t="n"/>
      <c r="AA79" s="26" t="n"/>
      <c r="AB79" s="26" t="n"/>
      <c r="AC79" s="26" t="n"/>
      <c r="AD79" s="26" t="n"/>
      <c r="AE79" s="26" t="n"/>
      <c r="AF79" s="26" t="n"/>
      <c r="AG79" s="26" t="n"/>
      <c r="AH79" s="26" t="n"/>
      <c r="AI79" s="26" t="n"/>
      <c r="AJ79" s="26" t="n"/>
      <c r="AK79" s="26" t="n"/>
      <c r="AL79" s="26" t="n"/>
      <c r="AM79" s="26" t="n"/>
      <c r="AN79" s="26" t="n"/>
      <c r="AO79" s="26" t="n"/>
      <c r="AP79" s="26" t="n"/>
      <c r="AQ79" s="26" t="n"/>
      <c r="AR79" s="26" t="n"/>
      <c r="AS79" s="26" t="n"/>
      <c r="AT79" s="26" t="n"/>
      <c r="AU79" s="27" t="n"/>
    </row>
    <row r="80" s="3154" customFormat="1" ht="13.5" customHeight="1">
      <c r="A80" s="627" t="n"/>
      <c r="B80" s="26" t="n"/>
      <c r="C80" s="26" t="n"/>
      <c r="D80" s="26" t="n"/>
      <c r="E80" s="3322" t="n"/>
      <c r="F80" s="26" t="n"/>
      <c r="G80" s="26" t="n"/>
      <c r="H80" s="26" t="n"/>
      <c r="I80" s="26" t="n"/>
      <c r="J80" s="26" t="n"/>
      <c r="K80" s="26" t="n"/>
      <c r="L80" s="26" t="n"/>
      <c r="M80" s="26" t="n"/>
      <c r="N80" s="26" t="n"/>
      <c r="O80" s="26" t="n"/>
      <c r="P80" s="1100" t="e">
        <f t="array" ref="P80">P79+1</f>
      </c>
      <c r="Q80" s="1100" t="e">
        <f t="array" ref="Q80">YEAR(R80)</f>
      </c>
      <c r="R80" s="4015" t="e">
        <f t="array" ref="R80">EDATE($R$9,P80)</f>
      </c>
      <c r="S80" s="1100" t="e">
        <f t="array" ref="S80">P80</f>
      </c>
      <c r="T80" s="429" t="e">
        <f t="array" ref="T80">IF(P80&lt;$E$26,"Pre-Development",IF(AND(P80&gt;=$E$26,P80&lt;=$H$26),"Construction",IF(P80='Assumptions'!$T$110,"Terminal Sale","Operating")))</f>
      </c>
      <c r="U80" s="26" t="n"/>
      <c r="V80" s="26" t="n">
        <f t="array" ref="V80">V79</f>
        <v>6</v>
      </c>
      <c r="W80" s="26" t="n"/>
      <c r="X80" s="26" t="n"/>
      <c r="Y80" s="26" t="n"/>
      <c r="Z80" s="26" t="n"/>
      <c r="AA80" s="26" t="n"/>
      <c r="AB80" s="26" t="n"/>
      <c r="AC80" s="26" t="n"/>
      <c r="AD80" s="26" t="n"/>
      <c r="AE80" s="26" t="n"/>
      <c r="AF80" s="26" t="n"/>
      <c r="AG80" s="26" t="n"/>
      <c r="AH80" s="26" t="n"/>
      <c r="AI80" s="26" t="n"/>
      <c r="AJ80" s="26" t="n"/>
      <c r="AK80" s="26" t="n"/>
      <c r="AL80" s="26" t="n"/>
      <c r="AM80" s="26" t="n"/>
      <c r="AN80" s="26" t="n"/>
      <c r="AO80" s="26" t="n"/>
      <c r="AP80" s="26" t="n"/>
      <c r="AQ80" s="26" t="n"/>
      <c r="AR80" s="26" t="n"/>
      <c r="AS80" s="26" t="n"/>
      <c r="AT80" s="26" t="n"/>
      <c r="AU80" s="27" t="n"/>
    </row>
    <row r="81" s="3154" customFormat="1" ht="13.5" customHeight="1">
      <c r="A81" s="627" t="n"/>
      <c r="B81" s="26" t="n"/>
      <c r="C81" s="26" t="n"/>
      <c r="D81" s="26" t="n"/>
      <c r="E81" s="3322" t="n"/>
      <c r="F81" s="26" t="n"/>
      <c r="G81" s="26" t="n"/>
      <c r="H81" s="26" t="n"/>
      <c r="I81" s="26" t="n"/>
      <c r="J81" s="26" t="n"/>
      <c r="K81" s="26" t="n"/>
      <c r="L81" s="26" t="n"/>
      <c r="M81" s="26" t="n"/>
      <c r="N81" s="26" t="n"/>
      <c r="O81" s="26" t="n"/>
      <c r="P81" s="1100" t="e">
        <f t="array" ref="P81">P80+1</f>
      </c>
      <c r="Q81" s="1100" t="e">
        <f t="array" ref="Q81">YEAR(R81)</f>
      </c>
      <c r="R81" s="4015" t="e">
        <f t="array" ref="R81">EDATE($R$9,P81)</f>
      </c>
      <c r="S81" s="1100" t="e">
        <f t="array" ref="S81">P81</f>
      </c>
      <c r="T81" s="429" t="e">
        <f t="array" ref="T81">IF(P81&lt;$E$26,"Pre-Development",IF(AND(P81&gt;=$E$26,P81&lt;=$H$26),"Construction",IF(P81='Assumptions'!$T$110,"Terminal Sale","Operating")))</f>
      </c>
      <c r="U81" s="26" t="n"/>
      <c r="V81" s="26" t="n">
        <f t="array" ref="V81">V80+1</f>
        <v>7</v>
      </c>
      <c r="W81" s="26" t="n"/>
      <c r="X81" s="26" t="n"/>
      <c r="Y81" s="26" t="n"/>
      <c r="Z81" s="26" t="n"/>
      <c r="AA81" s="26" t="n"/>
      <c r="AB81" s="26" t="n"/>
      <c r="AC81" s="26" t="n"/>
      <c r="AD81" s="26" t="n"/>
      <c r="AE81" s="26" t="n"/>
      <c r="AF81" s="26" t="n"/>
      <c r="AG81" s="26" t="n"/>
      <c r="AH81" s="26" t="n"/>
      <c r="AI81" s="26" t="n"/>
      <c r="AJ81" s="26" t="n"/>
      <c r="AK81" s="26" t="n"/>
      <c r="AL81" s="26" t="n"/>
      <c r="AM81" s="26" t="n"/>
      <c r="AN81" s="26" t="n"/>
      <c r="AO81" s="26" t="n"/>
      <c r="AP81" s="26" t="n"/>
      <c r="AQ81" s="26" t="n"/>
      <c r="AR81" s="26" t="n"/>
      <c r="AS81" s="26" t="n"/>
      <c r="AT81" s="26" t="n"/>
      <c r="AU81" s="27" t="n"/>
    </row>
    <row r="82" s="3154" customFormat="1" ht="13.5" customHeight="1">
      <c r="A82" s="627" t="n"/>
      <c r="B82" s="26" t="n"/>
      <c r="C82" s="26" t="n"/>
      <c r="D82" s="26" t="n"/>
      <c r="E82" s="3322" t="n"/>
      <c r="F82" s="26" t="n"/>
      <c r="G82" s="26" t="n"/>
      <c r="H82" s="26" t="n"/>
      <c r="I82" s="26" t="n"/>
      <c r="J82" s="26" t="n"/>
      <c r="K82" s="26" t="n"/>
      <c r="L82" s="26" t="n"/>
      <c r="M82" s="26" t="n"/>
      <c r="N82" s="26" t="n"/>
      <c r="O82" s="26" t="n"/>
      <c r="P82" s="1100" t="e">
        <f t="array" ref="P82">P81+1</f>
      </c>
      <c r="Q82" s="1100" t="e">
        <f t="array" ref="Q82">YEAR(R82)</f>
      </c>
      <c r="R82" s="4015" t="e">
        <f t="array" ref="R82">EDATE($R$9,P82)</f>
      </c>
      <c r="S82" s="1100" t="e">
        <f t="array" ref="S82">P82</f>
      </c>
      <c r="T82" s="429" t="e">
        <f t="array" ref="T82">IF(P82&lt;$E$26,"Pre-Development",IF(AND(P82&gt;=$E$26,P82&lt;=$H$26),"Construction",IF(P82='Assumptions'!$T$110,"Terminal Sale","Operating")))</f>
      </c>
      <c r="U82" s="26" t="n"/>
      <c r="V82" s="26" t="n">
        <f t="array" ref="V82">V81</f>
        <v>7</v>
      </c>
      <c r="W82" s="26" t="n"/>
      <c r="X82" s="26" t="n"/>
      <c r="Y82" s="26" t="n"/>
      <c r="Z82" s="26" t="n"/>
      <c r="AA82" s="26" t="n"/>
      <c r="AB82" s="26" t="n"/>
      <c r="AC82" s="26" t="n"/>
      <c r="AD82" s="26" t="n"/>
      <c r="AE82" s="26" t="n"/>
      <c r="AF82" s="26" t="n"/>
      <c r="AG82" s="26" t="n"/>
      <c r="AH82" s="26" t="n"/>
      <c r="AI82" s="26" t="n"/>
      <c r="AJ82" s="26" t="n"/>
      <c r="AK82" s="26" t="n"/>
      <c r="AL82" s="26" t="n"/>
      <c r="AM82" s="26" t="n"/>
      <c r="AN82" s="26" t="n"/>
      <c r="AO82" s="26" t="n"/>
      <c r="AP82" s="26" t="n"/>
      <c r="AQ82" s="26" t="n"/>
      <c r="AR82" s="26" t="n"/>
      <c r="AS82" s="26" t="n"/>
      <c r="AT82" s="26" t="n"/>
      <c r="AU82" s="27" t="n"/>
    </row>
    <row r="83" s="3154" customFormat="1" ht="13.5" customHeight="1">
      <c r="A83" s="627" t="n"/>
      <c r="B83" s="26" t="n"/>
      <c r="C83" s="26" t="n"/>
      <c r="D83" s="26" t="n"/>
      <c r="E83" s="3322" t="n"/>
      <c r="F83" s="26" t="n"/>
      <c r="G83" s="26" t="n"/>
      <c r="H83" s="26" t="n"/>
      <c r="I83" s="26" t="n"/>
      <c r="J83" s="26" t="n"/>
      <c r="K83" s="26" t="n"/>
      <c r="L83" s="26" t="n"/>
      <c r="M83" s="26" t="n"/>
      <c r="N83" s="26" t="n"/>
      <c r="O83" s="26" t="n"/>
      <c r="P83" s="1100" t="e">
        <f t="array" ref="P83">P82+1</f>
      </c>
      <c r="Q83" s="1100" t="e">
        <f t="array" ref="Q83">YEAR(R83)</f>
      </c>
      <c r="R83" s="4015" t="e">
        <f t="array" ref="R83">EDATE($R$9,P83)</f>
      </c>
      <c r="S83" s="1100" t="e">
        <f t="array" ref="S83">P83</f>
      </c>
      <c r="T83" s="429" t="e">
        <f t="array" ref="T83">IF(P83&lt;$E$26,"Pre-Development",IF(AND(P83&gt;=$E$26,P83&lt;=$H$26),"Construction",IF(P83='Assumptions'!$T$110,"Terminal Sale","Operating")))</f>
      </c>
      <c r="U83" s="26" t="n"/>
      <c r="V83" s="26" t="n">
        <f t="array" ref="V83">V82</f>
        <v>7</v>
      </c>
      <c r="W83" s="26" t="n"/>
      <c r="X83" s="26" t="n"/>
      <c r="Y83" s="26" t="n"/>
      <c r="Z83" s="26" t="n"/>
      <c r="AA83" s="26" t="n"/>
      <c r="AB83" s="26" t="n"/>
      <c r="AC83" s="26" t="n"/>
      <c r="AD83" s="26" t="n"/>
      <c r="AE83" s="26" t="n"/>
      <c r="AF83" s="26" t="n"/>
      <c r="AG83" s="26" t="n"/>
      <c r="AH83" s="26" t="n"/>
      <c r="AI83" s="26" t="n"/>
      <c r="AJ83" s="26" t="n"/>
      <c r="AK83" s="26" t="n"/>
      <c r="AL83" s="26" t="n"/>
      <c r="AM83" s="26" t="n"/>
      <c r="AN83" s="26" t="n"/>
      <c r="AO83" s="26" t="n"/>
      <c r="AP83" s="26" t="n"/>
      <c r="AQ83" s="26" t="n"/>
      <c r="AR83" s="26" t="n"/>
      <c r="AS83" s="26" t="n"/>
      <c r="AT83" s="26" t="n"/>
      <c r="AU83" s="27" t="n"/>
    </row>
    <row r="84" s="3154" customFormat="1" ht="13.5" customHeight="1">
      <c r="A84" s="627" t="n"/>
      <c r="B84" s="26" t="n"/>
      <c r="C84" s="26" t="n"/>
      <c r="D84" s="26" t="n"/>
      <c r="E84" s="3322" t="n"/>
      <c r="F84" s="26" t="n"/>
      <c r="G84" s="26" t="n"/>
      <c r="H84" s="26" t="n"/>
      <c r="I84" s="26" t="n"/>
      <c r="J84" s="26" t="n"/>
      <c r="K84" s="26" t="n"/>
      <c r="L84" s="26" t="n"/>
      <c r="M84" s="26" t="n"/>
      <c r="N84" s="26" t="n"/>
      <c r="O84" s="26" t="n"/>
      <c r="P84" s="1100" t="e">
        <f t="array" ref="P84">P83+1</f>
      </c>
      <c r="Q84" s="1100" t="e">
        <f t="array" ref="Q84">YEAR(R84)</f>
      </c>
      <c r="R84" s="4015" t="e">
        <f t="array" ref="R84">EDATE($R$9,P84)</f>
      </c>
      <c r="S84" s="1100" t="e">
        <f t="array" ref="S84">P84</f>
      </c>
      <c r="T84" s="429" t="e">
        <f t="array" ref="T84">IF(P84&lt;$E$26,"Pre-Development",IF(AND(P84&gt;=$E$26,P84&lt;=$H$26),"Construction",IF(P84='Assumptions'!$T$110,"Terminal Sale","Operating")))</f>
      </c>
      <c r="U84" s="26" t="n"/>
      <c r="V84" s="26" t="n">
        <f t="array" ref="V84">V83</f>
        <v>7</v>
      </c>
      <c r="W84" s="26" t="n"/>
      <c r="X84" s="26" t="n"/>
      <c r="Y84" s="26" t="n"/>
      <c r="Z84" s="26" t="n"/>
      <c r="AA84" s="26" t="n"/>
      <c r="AB84" s="26" t="n"/>
      <c r="AC84" s="26" t="n"/>
      <c r="AD84" s="26" t="n"/>
      <c r="AE84" s="26" t="n"/>
      <c r="AF84" s="26" t="n"/>
      <c r="AG84" s="26" t="n"/>
      <c r="AH84" s="26" t="n"/>
      <c r="AI84" s="26" t="n"/>
      <c r="AJ84" s="26" t="n"/>
      <c r="AK84" s="26" t="n"/>
      <c r="AL84" s="26" t="n"/>
      <c r="AM84" s="26" t="n"/>
      <c r="AN84" s="26" t="n"/>
      <c r="AO84" s="26" t="n"/>
      <c r="AP84" s="26" t="n"/>
      <c r="AQ84" s="26" t="n"/>
      <c r="AR84" s="26" t="n"/>
      <c r="AS84" s="26" t="n"/>
      <c r="AT84" s="26" t="n"/>
      <c r="AU84" s="27" t="n"/>
    </row>
    <row r="85" s="3154" customFormat="1" ht="13.5" customHeight="1">
      <c r="A85" s="627" t="n"/>
      <c r="B85" s="26" t="n"/>
      <c r="C85" s="26" t="n"/>
      <c r="D85" s="26" t="n"/>
      <c r="E85" s="3322" t="n"/>
      <c r="F85" s="26" t="n"/>
      <c r="G85" s="26" t="n"/>
      <c r="H85" s="26" t="n"/>
      <c r="I85" s="26" t="n"/>
      <c r="J85" s="26" t="n"/>
      <c r="K85" s="26" t="n"/>
      <c r="L85" s="26" t="n"/>
      <c r="M85" s="26" t="n"/>
      <c r="N85" s="26" t="n"/>
      <c r="O85" s="26" t="n"/>
      <c r="P85" s="1100" t="e">
        <f t="array" ref="P85">P84+1</f>
      </c>
      <c r="Q85" s="1100" t="e">
        <f t="array" ref="Q85">YEAR(R85)</f>
      </c>
      <c r="R85" s="4015" t="e">
        <f t="array" ref="R85">EDATE($R$9,P85)</f>
      </c>
      <c r="S85" s="1100" t="e">
        <f t="array" ref="S85">P85</f>
      </c>
      <c r="T85" s="429" t="e">
        <f t="array" ref="T85">IF(P85&lt;$E$26,"Pre-Development",IF(AND(P85&gt;=$E$26,P85&lt;=$H$26),"Construction",IF(P85='Assumptions'!$T$110,"Terminal Sale","Operating")))</f>
      </c>
      <c r="U85" s="26" t="n"/>
      <c r="V85" s="26" t="n">
        <f t="array" ref="V85">V84</f>
        <v>7</v>
      </c>
      <c r="W85" s="26" t="n"/>
      <c r="X85" s="26" t="n"/>
      <c r="Y85" s="26" t="n"/>
      <c r="Z85" s="26" t="n"/>
      <c r="AA85" s="26" t="n"/>
      <c r="AB85" s="26" t="n"/>
      <c r="AC85" s="26" t="n"/>
      <c r="AD85" s="26" t="n"/>
      <c r="AE85" s="26" t="n"/>
      <c r="AF85" s="26" t="n"/>
      <c r="AG85" s="26" t="n"/>
      <c r="AH85" s="26" t="n"/>
      <c r="AI85" s="26" t="n"/>
      <c r="AJ85" s="26" t="n"/>
      <c r="AK85" s="26" t="n"/>
      <c r="AL85" s="26" t="n"/>
      <c r="AM85" s="26" t="n"/>
      <c r="AN85" s="26" t="n"/>
      <c r="AO85" s="26" t="n"/>
      <c r="AP85" s="26" t="n"/>
      <c r="AQ85" s="26" t="n"/>
      <c r="AR85" s="26" t="n"/>
      <c r="AS85" s="26" t="n"/>
      <c r="AT85" s="26" t="n"/>
      <c r="AU85" s="27" t="n"/>
    </row>
    <row r="86" s="3154" customFormat="1" ht="13.5" customHeight="1">
      <c r="A86" s="627" t="n"/>
      <c r="B86" s="26" t="n"/>
      <c r="C86" s="26" t="n"/>
      <c r="D86" s="26" t="n"/>
      <c r="E86" s="3322" t="n"/>
      <c r="F86" s="26" t="n"/>
      <c r="G86" s="26" t="n"/>
      <c r="H86" s="26" t="n"/>
      <c r="I86" s="26" t="n"/>
      <c r="J86" s="26" t="n"/>
      <c r="K86" s="26" t="n"/>
      <c r="L86" s="26" t="n"/>
      <c r="M86" s="26" t="n"/>
      <c r="N86" s="26" t="n"/>
      <c r="O86" s="26" t="n"/>
      <c r="P86" s="1100" t="e">
        <f t="array" ref="P86">P85+1</f>
      </c>
      <c r="Q86" s="1100" t="e">
        <f t="array" ref="Q86">YEAR(R86)</f>
      </c>
      <c r="R86" s="4015" t="e">
        <f t="array" ref="R86">EDATE($R$9,P86)</f>
      </c>
      <c r="S86" s="1100" t="e">
        <f t="array" ref="S86">P86</f>
      </c>
      <c r="T86" s="429" t="e">
        <f t="array" ref="T86">IF(P86&lt;$E$26,"Pre-Development",IF(AND(P86&gt;=$E$26,P86&lt;=$H$26),"Construction",IF(P86='Assumptions'!$T$110,"Terminal Sale","Operating")))</f>
      </c>
      <c r="U86" s="26" t="n"/>
      <c r="V86" s="26" t="n">
        <f t="array" ref="V86">V85</f>
        <v>7</v>
      </c>
      <c r="W86" s="26" t="n"/>
      <c r="X86" s="26" t="n"/>
      <c r="Y86" s="26" t="n"/>
      <c r="Z86" s="26" t="n"/>
      <c r="AA86" s="26" t="n"/>
      <c r="AB86" s="26" t="n"/>
      <c r="AC86" s="26" t="n"/>
      <c r="AD86" s="26" t="n"/>
      <c r="AE86" s="26" t="n"/>
      <c r="AF86" s="26" t="n"/>
      <c r="AG86" s="26" t="n"/>
      <c r="AH86" s="26" t="n"/>
      <c r="AI86" s="26" t="n"/>
      <c r="AJ86" s="26" t="n"/>
      <c r="AK86" s="26" t="n"/>
      <c r="AL86" s="26" t="n"/>
      <c r="AM86" s="26" t="n"/>
      <c r="AN86" s="26" t="n"/>
      <c r="AO86" s="26" t="n"/>
      <c r="AP86" s="26" t="n"/>
      <c r="AQ86" s="26" t="n"/>
      <c r="AR86" s="26" t="n"/>
      <c r="AS86" s="26" t="n"/>
      <c r="AT86" s="26" t="n"/>
      <c r="AU86" s="27" t="n"/>
    </row>
    <row r="87" s="3154" customFormat="1" ht="13.5" customHeight="1">
      <c r="A87" s="627" t="n"/>
      <c r="B87" s="26" t="n"/>
      <c r="C87" s="26" t="n"/>
      <c r="D87" s="26" t="n"/>
      <c r="E87" s="3322" t="n"/>
      <c r="F87" s="26" t="n"/>
      <c r="G87" s="26" t="n"/>
      <c r="H87" s="26" t="n"/>
      <c r="I87" s="26" t="n"/>
      <c r="J87" s="26" t="n"/>
      <c r="K87" s="26" t="n"/>
      <c r="L87" s="26" t="n"/>
      <c r="M87" s="26" t="n"/>
      <c r="N87" s="26" t="n"/>
      <c r="O87" s="26" t="n"/>
      <c r="P87" s="1100" t="e">
        <f t="array" ref="P87">P86+1</f>
      </c>
      <c r="Q87" s="1100" t="e">
        <f t="array" ref="Q87">YEAR(R87)</f>
      </c>
      <c r="R87" s="4015" t="e">
        <f t="array" ref="R87">EDATE($R$9,P87)</f>
      </c>
      <c r="S87" s="1100" t="e">
        <f t="array" ref="S87">P87</f>
      </c>
      <c r="T87" s="429" t="e">
        <f t="array" ref="T87">IF(P87&lt;$E$26,"Pre-Development",IF(AND(P87&gt;=$E$26,P87&lt;=$H$26),"Construction",IF(P87='Assumptions'!$T$110,"Terminal Sale","Operating")))</f>
      </c>
      <c r="U87" s="26" t="n"/>
      <c r="V87" s="26" t="n">
        <f t="array" ref="V87">V86</f>
        <v>7</v>
      </c>
      <c r="W87" s="26" t="n"/>
      <c r="X87" s="26" t="n"/>
      <c r="Y87" s="26" t="n"/>
      <c r="Z87" s="26" t="n"/>
      <c r="AA87" s="26" t="n"/>
      <c r="AB87" s="26" t="n"/>
      <c r="AC87" s="26" t="n"/>
      <c r="AD87" s="26" t="n"/>
      <c r="AE87" s="26" t="n"/>
      <c r="AF87" s="26" t="n"/>
      <c r="AG87" s="26" t="n"/>
      <c r="AH87" s="26" t="n"/>
      <c r="AI87" s="26" t="n"/>
      <c r="AJ87" s="26" t="n"/>
      <c r="AK87" s="26" t="n"/>
      <c r="AL87" s="26" t="n"/>
      <c r="AM87" s="26" t="n"/>
      <c r="AN87" s="26" t="n"/>
      <c r="AO87" s="26" t="n"/>
      <c r="AP87" s="26" t="n"/>
      <c r="AQ87" s="26" t="n"/>
      <c r="AR87" s="26" t="n"/>
      <c r="AS87" s="26" t="n"/>
      <c r="AT87" s="26" t="n"/>
      <c r="AU87" s="27" t="n"/>
    </row>
    <row r="88" s="3154" customFormat="1" ht="13.5" customHeight="1">
      <c r="A88" s="627" t="n"/>
      <c r="B88" s="26" t="n"/>
      <c r="C88" s="26" t="n"/>
      <c r="D88" s="26" t="n"/>
      <c r="E88" s="3322" t="n"/>
      <c r="F88" s="26" t="n"/>
      <c r="G88" s="26" t="n"/>
      <c r="H88" s="26" t="n"/>
      <c r="I88" s="26" t="n"/>
      <c r="J88" s="26" t="n"/>
      <c r="K88" s="26" t="n"/>
      <c r="L88" s="26" t="n"/>
      <c r="M88" s="26" t="n"/>
      <c r="N88" s="26" t="n"/>
      <c r="O88" s="26" t="n"/>
      <c r="P88" s="1100" t="e">
        <f t="array" ref="P88">P87+1</f>
      </c>
      <c r="Q88" s="1100" t="e">
        <f t="array" ref="Q88">YEAR(R88)</f>
      </c>
      <c r="R88" s="4015" t="e">
        <f t="array" ref="R88">EDATE($R$9,P88)</f>
      </c>
      <c r="S88" s="1100" t="e">
        <f t="array" ref="S88">P88</f>
      </c>
      <c r="T88" s="429" t="e">
        <f t="array" ref="T88">IF(P88&lt;$E$26,"Pre-Development",IF(AND(P88&gt;=$E$26,P88&lt;=$H$26),"Construction",IF(P88='Assumptions'!$T$110,"Terminal Sale","Operating")))</f>
      </c>
      <c r="U88" s="26" t="n"/>
      <c r="V88" s="26" t="n">
        <f t="array" ref="V88">V87</f>
        <v>7</v>
      </c>
      <c r="W88" s="26" t="n"/>
      <c r="X88" s="26" t="n"/>
      <c r="Y88" s="26" t="n"/>
      <c r="Z88" s="26" t="n"/>
      <c r="AA88" s="26" t="n"/>
      <c r="AB88" s="26" t="n"/>
      <c r="AC88" s="26" t="n"/>
      <c r="AD88" s="26" t="n"/>
      <c r="AE88" s="26" t="n"/>
      <c r="AF88" s="26" t="n"/>
      <c r="AG88" s="26" t="n"/>
      <c r="AH88" s="26" t="n"/>
      <c r="AI88" s="26" t="n"/>
      <c r="AJ88" s="26" t="n"/>
      <c r="AK88" s="26" t="n"/>
      <c r="AL88" s="26" t="n"/>
      <c r="AM88" s="26" t="n"/>
      <c r="AN88" s="26" t="n"/>
      <c r="AO88" s="26" t="n"/>
      <c r="AP88" s="26" t="n"/>
      <c r="AQ88" s="26" t="n"/>
      <c r="AR88" s="26" t="n"/>
      <c r="AS88" s="26" t="n"/>
      <c r="AT88" s="26" t="n"/>
      <c r="AU88" s="27" t="n"/>
    </row>
    <row r="89" s="3154" customFormat="1" ht="13.5" customHeight="1">
      <c r="A89" s="627" t="n"/>
      <c r="B89" s="26" t="n"/>
      <c r="C89" s="26" t="n"/>
      <c r="D89" s="26" t="n"/>
      <c r="E89" s="3322" t="n"/>
      <c r="F89" s="26" t="n"/>
      <c r="G89" s="26" t="n"/>
      <c r="H89" s="26" t="n"/>
      <c r="I89" s="26" t="n"/>
      <c r="J89" s="26" t="n"/>
      <c r="K89" s="26" t="n"/>
      <c r="L89" s="26" t="n"/>
      <c r="M89" s="26" t="n"/>
      <c r="N89" s="26" t="n"/>
      <c r="O89" s="26" t="n"/>
      <c r="P89" s="1100" t="e">
        <f t="array" ref="P89">P88+1</f>
      </c>
      <c r="Q89" s="1100" t="e">
        <f t="array" ref="Q89">YEAR(R89)</f>
      </c>
      <c r="R89" s="4015" t="e">
        <f t="array" ref="R89">EDATE($R$9,P89)</f>
      </c>
      <c r="S89" s="1100" t="e">
        <f t="array" ref="S89">P89</f>
      </c>
      <c r="T89" s="429" t="e">
        <f t="array" ref="T89">IF(P89&lt;$E$26,"Pre-Development",IF(AND(P89&gt;=$E$26,P89&lt;=$H$26),"Construction",IF(P89='Assumptions'!$T$110,"Terminal Sale","Operating")))</f>
      </c>
      <c r="U89" s="26" t="n"/>
      <c r="V89" s="26" t="n">
        <f t="array" ref="V89">V88</f>
        <v>7</v>
      </c>
      <c r="W89" s="26" t="n"/>
      <c r="X89" s="26" t="n"/>
      <c r="Y89" s="26" t="n"/>
      <c r="Z89" s="26" t="n"/>
      <c r="AA89" s="26" t="n"/>
      <c r="AB89" s="26" t="n"/>
      <c r="AC89" s="26" t="n"/>
      <c r="AD89" s="26" t="n"/>
      <c r="AE89" s="26" t="n"/>
      <c r="AF89" s="26" t="n"/>
      <c r="AG89" s="26" t="n"/>
      <c r="AH89" s="26" t="n"/>
      <c r="AI89" s="26" t="n"/>
      <c r="AJ89" s="26" t="n"/>
      <c r="AK89" s="26" t="n"/>
      <c r="AL89" s="26" t="n"/>
      <c r="AM89" s="26" t="n"/>
      <c r="AN89" s="26" t="n"/>
      <c r="AO89" s="26" t="n"/>
      <c r="AP89" s="26" t="n"/>
      <c r="AQ89" s="26" t="n"/>
      <c r="AR89" s="26" t="n"/>
      <c r="AS89" s="26" t="n"/>
      <c r="AT89" s="26" t="n"/>
      <c r="AU89" s="27" t="n"/>
    </row>
    <row r="90" s="3154" customFormat="1" ht="13.5" customHeight="1">
      <c r="A90" s="627" t="n"/>
      <c r="B90" s="26" t="n"/>
      <c r="C90" s="26" t="n"/>
      <c r="D90" s="26" t="n"/>
      <c r="E90" s="3322" t="n"/>
      <c r="F90" s="26" t="n"/>
      <c r="G90" s="26" t="n"/>
      <c r="H90" s="26" t="n"/>
      <c r="I90" s="26" t="n"/>
      <c r="J90" s="26" t="n"/>
      <c r="K90" s="26" t="n"/>
      <c r="L90" s="26" t="n"/>
      <c r="M90" s="26" t="n"/>
      <c r="N90" s="26" t="n"/>
      <c r="O90" s="26" t="n"/>
      <c r="P90" s="1100" t="e">
        <f t="array" ref="P90">P89+1</f>
      </c>
      <c r="Q90" s="1100" t="e">
        <f t="array" ref="Q90">YEAR(R90)</f>
      </c>
      <c r="R90" s="4015" t="e">
        <f t="array" ref="R90">EDATE($R$9,P90)</f>
      </c>
      <c r="S90" s="1100" t="e">
        <f t="array" ref="S90">P90</f>
      </c>
      <c r="T90" s="429" t="e">
        <f t="array" ref="T90">IF(P90&lt;$E$26,"Pre-Development",IF(AND(P90&gt;=$E$26,P90&lt;=$H$26),"Construction",IF(P90='Assumptions'!$T$110,"Terminal Sale","Operating")))</f>
      </c>
      <c r="U90" s="26" t="n"/>
      <c r="V90" s="26" t="n">
        <f t="array" ref="V90">V89</f>
        <v>7</v>
      </c>
      <c r="W90" s="26" t="n"/>
      <c r="X90" s="26" t="n"/>
      <c r="Y90" s="26" t="n"/>
      <c r="Z90" s="26" t="n"/>
      <c r="AA90" s="26" t="n"/>
      <c r="AB90" s="26" t="n"/>
      <c r="AC90" s="26" t="n"/>
      <c r="AD90" s="26" t="n"/>
      <c r="AE90" s="26" t="n"/>
      <c r="AF90" s="26" t="n"/>
      <c r="AG90" s="26" t="n"/>
      <c r="AH90" s="26" t="n"/>
      <c r="AI90" s="26" t="n"/>
      <c r="AJ90" s="26" t="n"/>
      <c r="AK90" s="26" t="n"/>
      <c r="AL90" s="26" t="n"/>
      <c r="AM90" s="26" t="n"/>
      <c r="AN90" s="26" t="n"/>
      <c r="AO90" s="26" t="n"/>
      <c r="AP90" s="26" t="n"/>
      <c r="AQ90" s="26" t="n"/>
      <c r="AR90" s="26" t="n"/>
      <c r="AS90" s="26" t="n"/>
      <c r="AT90" s="26" t="n"/>
      <c r="AU90" s="27" t="n"/>
    </row>
    <row r="91" s="3154" customFormat="1" ht="13.5" customHeight="1">
      <c r="A91" s="627" t="n"/>
      <c r="B91" s="26" t="n"/>
      <c r="C91" s="26" t="n"/>
      <c r="D91" s="26" t="n"/>
      <c r="E91" s="3322" t="n"/>
      <c r="F91" s="26" t="n"/>
      <c r="G91" s="26" t="n"/>
      <c r="H91" s="26" t="n"/>
      <c r="I91" s="26" t="n"/>
      <c r="J91" s="26" t="n"/>
      <c r="K91" s="26" t="n"/>
      <c r="L91" s="26" t="n"/>
      <c r="M91" s="26" t="n"/>
      <c r="N91" s="26" t="n"/>
      <c r="O91" s="26" t="n"/>
      <c r="P91" s="1100" t="e">
        <f t="array" ref="P91">P90+1</f>
      </c>
      <c r="Q91" s="1100" t="e">
        <f t="array" ref="Q91">YEAR(R91)</f>
      </c>
      <c r="R91" s="4015" t="e">
        <f t="array" ref="R91">EDATE($R$9,P91)</f>
      </c>
      <c r="S91" s="1100" t="e">
        <f t="array" ref="S91">P91</f>
      </c>
      <c r="T91" s="429" t="e">
        <f t="array" ref="T91">IF(P91&lt;$E$26,"Pre-Development",IF(AND(P91&gt;=$E$26,P91&lt;=$H$26),"Construction",IF(P91='Assumptions'!$T$110,"Terminal Sale","Operating")))</f>
      </c>
      <c r="U91" s="26" t="n"/>
      <c r="V91" s="26" t="n">
        <f t="array" ref="V91">V90</f>
        <v>7</v>
      </c>
      <c r="W91" s="26" t="n"/>
      <c r="X91" s="26" t="n"/>
      <c r="Y91" s="26" t="n"/>
      <c r="Z91" s="26" t="n"/>
      <c r="AA91" s="26" t="n"/>
      <c r="AB91" s="26" t="n"/>
      <c r="AC91" s="26" t="n"/>
      <c r="AD91" s="26" t="n"/>
      <c r="AE91" s="26" t="n"/>
      <c r="AF91" s="26" t="n"/>
      <c r="AG91" s="26" t="n"/>
      <c r="AH91" s="26" t="n"/>
      <c r="AI91" s="26" t="n"/>
      <c r="AJ91" s="26" t="n"/>
      <c r="AK91" s="26" t="n"/>
      <c r="AL91" s="26" t="n"/>
      <c r="AM91" s="26" t="n"/>
      <c r="AN91" s="26" t="n"/>
      <c r="AO91" s="26" t="n"/>
      <c r="AP91" s="26" t="n"/>
      <c r="AQ91" s="26" t="n"/>
      <c r="AR91" s="26" t="n"/>
      <c r="AS91" s="26" t="n"/>
      <c r="AT91" s="26" t="n"/>
      <c r="AU91" s="27" t="n"/>
    </row>
    <row r="92" s="3154" customFormat="1" ht="13.5" customHeight="1">
      <c r="A92" s="627" t="n"/>
      <c r="B92" s="26" t="n"/>
      <c r="C92" s="26" t="n"/>
      <c r="D92" s="26" t="n"/>
      <c r="E92" s="3322" t="n"/>
      <c r="F92" s="26" t="n"/>
      <c r="G92" s="26" t="n"/>
      <c r="H92" s="26" t="n"/>
      <c r="I92" s="26" t="n"/>
      <c r="J92" s="26" t="n"/>
      <c r="K92" s="26" t="n"/>
      <c r="L92" s="26" t="n"/>
      <c r="M92" s="26" t="n"/>
      <c r="N92" s="26" t="n"/>
      <c r="O92" s="26" t="n"/>
      <c r="P92" s="1100" t="e">
        <f t="array" ref="P92">P91+1</f>
      </c>
      <c r="Q92" s="1100" t="e">
        <f t="array" ref="Q92">YEAR(R92)</f>
      </c>
      <c r="R92" s="4015" t="e">
        <f t="array" ref="R92">EDATE($R$9,P92)</f>
      </c>
      <c r="S92" s="1100" t="e">
        <f t="array" ref="S92">P92</f>
      </c>
      <c r="T92" s="429" t="e">
        <f t="array" ref="T92">IF(P92&lt;$E$26,"Pre-Development",IF(AND(P92&gt;=$E$26,P92&lt;=$H$26),"Construction",IF(P92='Assumptions'!$T$110,"Terminal Sale","Operating")))</f>
      </c>
      <c r="U92" s="26" t="n"/>
      <c r="V92" s="26" t="n">
        <f t="array" ref="V92">V91</f>
        <v>7</v>
      </c>
      <c r="W92" s="26" t="n"/>
      <c r="X92" s="26" t="n"/>
      <c r="Y92" s="26" t="n"/>
      <c r="Z92" s="26" t="n"/>
      <c r="AA92" s="26" t="n"/>
      <c r="AB92" s="26" t="n"/>
      <c r="AC92" s="26" t="n"/>
      <c r="AD92" s="26" t="n"/>
      <c r="AE92" s="26" t="n"/>
      <c r="AF92" s="26" t="n"/>
      <c r="AG92" s="26" t="n"/>
      <c r="AH92" s="26" t="n"/>
      <c r="AI92" s="26" t="n"/>
      <c r="AJ92" s="26" t="n"/>
      <c r="AK92" s="26" t="n"/>
      <c r="AL92" s="26" t="n"/>
      <c r="AM92" s="26" t="n"/>
      <c r="AN92" s="26" t="n"/>
      <c r="AO92" s="26" t="n"/>
      <c r="AP92" s="26" t="n"/>
      <c r="AQ92" s="26" t="n"/>
      <c r="AR92" s="26" t="n"/>
      <c r="AS92" s="26" t="n"/>
      <c r="AT92" s="26" t="n"/>
      <c r="AU92" s="27" t="n"/>
    </row>
    <row r="93" s="3154" customFormat="1" ht="13.5" customHeight="1">
      <c r="A93" s="627" t="n"/>
      <c r="B93" s="26" t="n"/>
      <c r="C93" s="26" t="n"/>
      <c r="D93" s="26" t="n"/>
      <c r="E93" s="3322" t="n"/>
      <c r="F93" s="26" t="n"/>
      <c r="G93" s="26" t="n"/>
      <c r="H93" s="26" t="n"/>
      <c r="I93" s="26" t="n"/>
      <c r="J93" s="26" t="n"/>
      <c r="K93" s="26" t="n"/>
      <c r="L93" s="26" t="n"/>
      <c r="M93" s="26" t="n"/>
      <c r="N93" s="26" t="n"/>
      <c r="O93" s="26" t="n"/>
      <c r="P93" s="1100" t="e">
        <f t="array" ref="P93">P92+1</f>
      </c>
      <c r="Q93" s="1100" t="e">
        <f t="array" ref="Q93">YEAR(R93)</f>
      </c>
      <c r="R93" s="4015" t="e">
        <f t="array" ref="R93">EDATE($R$9,P93)</f>
      </c>
      <c r="S93" s="1100" t="e">
        <f t="array" ref="S93">P93</f>
      </c>
      <c r="T93" s="429" t="e">
        <f t="array" ref="T93">IF(P93&lt;$E$26,"Pre-Development",IF(AND(P93&gt;=$E$26,P93&lt;=$H$26),"Construction",IF(P93='Assumptions'!$T$110,"Terminal Sale","Operating")))</f>
      </c>
      <c r="U93" s="26" t="n"/>
      <c r="V93" s="26" t="n">
        <f t="array" ref="V93">V92+1</f>
        <v>8</v>
      </c>
      <c r="W93" s="26" t="n"/>
      <c r="X93" s="26" t="n"/>
      <c r="Y93" s="26" t="n"/>
      <c r="Z93" s="26" t="n"/>
      <c r="AA93" s="26" t="n"/>
      <c r="AB93" s="26" t="n"/>
      <c r="AC93" s="26" t="n"/>
      <c r="AD93" s="26" t="n"/>
      <c r="AE93" s="26" t="n"/>
      <c r="AF93" s="26" t="n"/>
      <c r="AG93" s="26" t="n"/>
      <c r="AH93" s="26" t="n"/>
      <c r="AI93" s="26" t="n"/>
      <c r="AJ93" s="26" t="n"/>
      <c r="AK93" s="26" t="n"/>
      <c r="AL93" s="26" t="n"/>
      <c r="AM93" s="26" t="n"/>
      <c r="AN93" s="26" t="n"/>
      <c r="AO93" s="26" t="n"/>
      <c r="AP93" s="26" t="n"/>
      <c r="AQ93" s="26" t="n"/>
      <c r="AR93" s="26" t="n"/>
      <c r="AS93" s="26" t="n"/>
      <c r="AT93" s="26" t="n"/>
      <c r="AU93" s="27" t="n"/>
    </row>
    <row r="94" s="3154" customFormat="1" ht="13.5" customHeight="1">
      <c r="A94" s="627" t="n"/>
      <c r="B94" s="26" t="n"/>
      <c r="C94" s="26" t="n"/>
      <c r="D94" s="26" t="n"/>
      <c r="E94" s="3322" t="n"/>
      <c r="F94" s="26" t="n"/>
      <c r="G94" s="26" t="n"/>
      <c r="H94" s="26" t="n"/>
      <c r="I94" s="26" t="n"/>
      <c r="J94" s="26" t="n"/>
      <c r="K94" s="26" t="n"/>
      <c r="L94" s="26" t="n"/>
      <c r="M94" s="26" t="n"/>
      <c r="N94" s="26" t="n"/>
      <c r="O94" s="26" t="n"/>
      <c r="P94" s="1100" t="e">
        <f t="array" ref="P94">P93+1</f>
      </c>
      <c r="Q94" s="1100" t="e">
        <f t="array" ref="Q94">YEAR(R94)</f>
      </c>
      <c r="R94" s="4015" t="e">
        <f t="array" ref="R94">EDATE($R$9,P94)</f>
      </c>
      <c r="S94" s="1100" t="e">
        <f t="array" ref="S94">P94</f>
      </c>
      <c r="T94" s="429" t="e">
        <f t="array" ref="T94">IF(P94&lt;$E$26,"Pre-Development",IF(AND(P94&gt;=$E$26,P94&lt;=$H$26),"Construction",IF(P94='Assumptions'!$T$110,"Terminal Sale","Operating")))</f>
      </c>
      <c r="U94" s="26" t="n"/>
      <c r="V94" s="26" t="n">
        <f t="array" ref="V94">V93</f>
        <v>8</v>
      </c>
      <c r="W94" s="26" t="n"/>
      <c r="X94" s="26" t="n"/>
      <c r="Y94" s="26" t="n"/>
      <c r="Z94" s="26" t="n"/>
      <c r="AA94" s="26" t="n"/>
      <c r="AB94" s="26" t="n"/>
      <c r="AC94" s="26" t="n"/>
      <c r="AD94" s="26" t="n"/>
      <c r="AE94" s="26" t="n"/>
      <c r="AF94" s="26" t="n"/>
      <c r="AG94" s="26" t="n"/>
      <c r="AH94" s="26" t="n"/>
      <c r="AI94" s="26" t="n"/>
      <c r="AJ94" s="26" t="n"/>
      <c r="AK94" s="26" t="n"/>
      <c r="AL94" s="26" t="n"/>
      <c r="AM94" s="26" t="n"/>
      <c r="AN94" s="26" t="n"/>
      <c r="AO94" s="26" t="n"/>
      <c r="AP94" s="26" t="n"/>
      <c r="AQ94" s="26" t="n"/>
      <c r="AR94" s="26" t="n"/>
      <c r="AS94" s="26" t="n"/>
      <c r="AT94" s="26" t="n"/>
      <c r="AU94" s="27" t="n"/>
    </row>
    <row r="95" s="3154" customFormat="1" ht="13.5" customHeight="1">
      <c r="A95" s="627" t="n"/>
      <c r="B95" s="26" t="n"/>
      <c r="C95" s="26" t="n"/>
      <c r="D95" s="26" t="n"/>
      <c r="E95" s="3322" t="n"/>
      <c r="F95" s="26" t="n"/>
      <c r="G95" s="26" t="n"/>
      <c r="H95" s="26" t="n"/>
      <c r="I95" s="26" t="n"/>
      <c r="J95" s="26" t="n"/>
      <c r="K95" s="26" t="n"/>
      <c r="L95" s="26" t="n"/>
      <c r="M95" s="26" t="n"/>
      <c r="N95" s="26" t="n"/>
      <c r="O95" s="26" t="n"/>
      <c r="P95" s="1100" t="e">
        <f t="array" ref="P95">P94+1</f>
      </c>
      <c r="Q95" s="1100" t="e">
        <f t="array" ref="Q95">YEAR(R95)</f>
      </c>
      <c r="R95" s="4015" t="e">
        <f t="array" ref="R95">EDATE($R$9,P95)</f>
      </c>
      <c r="S95" s="1100" t="e">
        <f t="array" ref="S95">P95</f>
      </c>
      <c r="T95" s="429" t="e">
        <f t="array" ref="T95">IF(P95&lt;$E$26,"Pre-Development",IF(AND(P95&gt;=$E$26,P95&lt;=$H$26),"Construction",IF(P95='Assumptions'!$T$110,"Terminal Sale","Operating")))</f>
      </c>
      <c r="U95" s="26" t="n"/>
      <c r="V95" s="26" t="n">
        <f t="array" ref="V95">V94</f>
        <v>8</v>
      </c>
      <c r="W95" s="26" t="n"/>
      <c r="X95" s="26" t="n"/>
      <c r="Y95" s="26" t="n"/>
      <c r="Z95" s="26" t="n"/>
      <c r="AA95" s="26" t="n"/>
      <c r="AB95" s="26" t="n"/>
      <c r="AC95" s="26" t="n"/>
      <c r="AD95" s="26" t="n"/>
      <c r="AE95" s="26" t="n"/>
      <c r="AF95" s="26" t="n"/>
      <c r="AG95" s="26" t="n"/>
      <c r="AH95" s="26" t="n"/>
      <c r="AI95" s="26" t="n"/>
      <c r="AJ95" s="26" t="n"/>
      <c r="AK95" s="26" t="n"/>
      <c r="AL95" s="26" t="n"/>
      <c r="AM95" s="26" t="n"/>
      <c r="AN95" s="26" t="n"/>
      <c r="AO95" s="26" t="n"/>
      <c r="AP95" s="26" t="n"/>
      <c r="AQ95" s="26" t="n"/>
      <c r="AR95" s="26" t="n"/>
      <c r="AS95" s="26" t="n"/>
      <c r="AT95" s="26" t="n"/>
      <c r="AU95" s="27" t="n"/>
    </row>
    <row r="96" s="3154" customFormat="1" ht="13.5" customHeight="1">
      <c r="A96" s="627" t="n"/>
      <c r="B96" s="26" t="n"/>
      <c r="C96" s="26" t="n"/>
      <c r="D96" s="26" t="n"/>
      <c r="E96" s="3322" t="n"/>
      <c r="F96" s="26" t="n"/>
      <c r="G96" s="26" t="n"/>
      <c r="H96" s="26" t="n"/>
      <c r="I96" s="26" t="n"/>
      <c r="J96" s="26" t="n"/>
      <c r="K96" s="26" t="n"/>
      <c r="L96" s="26" t="n"/>
      <c r="M96" s="26" t="n"/>
      <c r="N96" s="26" t="n"/>
      <c r="O96" s="26" t="n"/>
      <c r="P96" s="1100" t="e">
        <f t="array" ref="P96">P95+1</f>
      </c>
      <c r="Q96" s="1100" t="e">
        <f t="array" ref="Q96">YEAR(R96)</f>
      </c>
      <c r="R96" s="4015" t="e">
        <f t="array" ref="R96">EDATE($R$9,P96)</f>
      </c>
      <c r="S96" s="1100" t="e">
        <f t="array" ref="S96">P96</f>
      </c>
      <c r="T96" s="429" t="e">
        <f t="array" ref="T96">IF(P96&lt;$E$26,"Pre-Development",IF(AND(P96&gt;=$E$26,P96&lt;=$H$26),"Construction",IF(P96='Assumptions'!$T$110,"Terminal Sale","Operating")))</f>
      </c>
      <c r="U96" s="26" t="n"/>
      <c r="V96" s="26" t="n">
        <f t="array" ref="V96">V95</f>
        <v>8</v>
      </c>
      <c r="W96" s="26" t="n"/>
      <c r="X96" s="26" t="n"/>
      <c r="Y96" s="26" t="n"/>
      <c r="Z96" s="26" t="n"/>
      <c r="AA96" s="26" t="n"/>
      <c r="AB96" s="26" t="n"/>
      <c r="AC96" s="26" t="n"/>
      <c r="AD96" s="26" t="n"/>
      <c r="AE96" s="26" t="n"/>
      <c r="AF96" s="26" t="n"/>
      <c r="AG96" s="26" t="n"/>
      <c r="AH96" s="26" t="n"/>
      <c r="AI96" s="26" t="n"/>
      <c r="AJ96" s="26" t="n"/>
      <c r="AK96" s="26" t="n"/>
      <c r="AL96" s="26" t="n"/>
      <c r="AM96" s="26" t="n"/>
      <c r="AN96" s="26" t="n"/>
      <c r="AO96" s="26" t="n"/>
      <c r="AP96" s="26" t="n"/>
      <c r="AQ96" s="26" t="n"/>
      <c r="AR96" s="26" t="n"/>
      <c r="AS96" s="26" t="n"/>
      <c r="AT96" s="26" t="n"/>
      <c r="AU96" s="27" t="n"/>
    </row>
    <row r="97" s="3154" customFormat="1" ht="13.5" customHeight="1">
      <c r="A97" s="627" t="n"/>
      <c r="B97" s="26" t="n"/>
      <c r="C97" s="26" t="n"/>
      <c r="D97" s="26" t="n"/>
      <c r="E97" s="3322" t="n"/>
      <c r="F97" s="26" t="n"/>
      <c r="G97" s="26" t="n"/>
      <c r="H97" s="26" t="n"/>
      <c r="I97" s="26" t="n"/>
      <c r="J97" s="26" t="n"/>
      <c r="K97" s="26" t="n"/>
      <c r="L97" s="26" t="n"/>
      <c r="M97" s="26" t="n"/>
      <c r="N97" s="26" t="n"/>
      <c r="O97" s="26" t="n"/>
      <c r="P97" s="1100" t="e">
        <f t="array" ref="P97">P96+1</f>
      </c>
      <c r="Q97" s="1100" t="e">
        <f t="array" ref="Q97">YEAR(R97)</f>
      </c>
      <c r="R97" s="4015" t="e">
        <f t="array" ref="R97">EDATE($R$9,P97)</f>
      </c>
      <c r="S97" s="1100" t="e">
        <f t="array" ref="S97">P97</f>
      </c>
      <c r="T97" s="429" t="e">
        <f t="array" ref="T97">IF(P97&lt;$E$26,"Pre-Development",IF(AND(P97&gt;=$E$26,P97&lt;=$H$26),"Construction",IF(P97='Assumptions'!$T$110,"Terminal Sale","Operating")))</f>
      </c>
      <c r="U97" s="26" t="n"/>
      <c r="V97" s="26" t="n">
        <f t="array" ref="V97">V96</f>
        <v>8</v>
      </c>
      <c r="W97" s="26" t="n"/>
      <c r="X97" s="26" t="n"/>
      <c r="Y97" s="26" t="n"/>
      <c r="Z97" s="26" t="n"/>
      <c r="AA97" s="26" t="n"/>
      <c r="AB97" s="26" t="n"/>
      <c r="AC97" s="26" t="n"/>
      <c r="AD97" s="26" t="n"/>
      <c r="AE97" s="26" t="n"/>
      <c r="AF97" s="26" t="n"/>
      <c r="AG97" s="26" t="n"/>
      <c r="AH97" s="26" t="n"/>
      <c r="AI97" s="26" t="n"/>
      <c r="AJ97" s="26" t="n"/>
      <c r="AK97" s="26" t="n"/>
      <c r="AL97" s="26" t="n"/>
      <c r="AM97" s="26" t="n"/>
      <c r="AN97" s="26" t="n"/>
      <c r="AO97" s="26" t="n"/>
      <c r="AP97" s="26" t="n"/>
      <c r="AQ97" s="26" t="n"/>
      <c r="AR97" s="26" t="n"/>
      <c r="AS97" s="26" t="n"/>
      <c r="AT97" s="26" t="n"/>
      <c r="AU97" s="27" t="n"/>
    </row>
    <row r="98" s="3154" customFormat="1" ht="13.5" customHeight="1">
      <c r="A98" s="627" t="n"/>
      <c r="B98" s="26" t="n"/>
      <c r="C98" s="26" t="n"/>
      <c r="D98" s="26" t="n"/>
      <c r="E98" s="3322" t="n"/>
      <c r="F98" s="26" t="n"/>
      <c r="G98" s="26" t="n"/>
      <c r="H98" s="26" t="n"/>
      <c r="I98" s="26" t="n"/>
      <c r="J98" s="26" t="n"/>
      <c r="K98" s="26" t="n"/>
      <c r="L98" s="26" t="n"/>
      <c r="M98" s="26" t="n"/>
      <c r="N98" s="26" t="n"/>
      <c r="O98" s="26" t="n"/>
      <c r="P98" s="1100" t="e">
        <f t="array" ref="P98">P97+1</f>
      </c>
      <c r="Q98" s="1100" t="e">
        <f t="array" ref="Q98">YEAR(R98)</f>
      </c>
      <c r="R98" s="4015" t="e">
        <f t="array" ref="R98">EDATE($R$9,P98)</f>
      </c>
      <c r="S98" s="1100" t="e">
        <f t="array" ref="S98">P98</f>
      </c>
      <c r="T98" s="429" t="e">
        <f t="array" ref="T98">IF(P98&lt;$E$26,"Pre-Development",IF(AND(P98&gt;=$E$26,P98&lt;=$H$26),"Construction",IF(P98='Assumptions'!$T$110,"Terminal Sale","Operating")))</f>
      </c>
      <c r="U98" s="26" t="n"/>
      <c r="V98" s="26" t="n">
        <f t="array" ref="V98">V97</f>
        <v>8</v>
      </c>
      <c r="W98" s="26" t="n"/>
      <c r="X98" s="26" t="n"/>
      <c r="Y98" s="26" t="n"/>
      <c r="Z98" s="26" t="n"/>
      <c r="AA98" s="26" t="n"/>
      <c r="AB98" s="26" t="n"/>
      <c r="AC98" s="26" t="n"/>
      <c r="AD98" s="26" t="n"/>
      <c r="AE98" s="26" t="n"/>
      <c r="AF98" s="26" t="n"/>
      <c r="AG98" s="26" t="n"/>
      <c r="AH98" s="26" t="n"/>
      <c r="AI98" s="26" t="n"/>
      <c r="AJ98" s="26" t="n"/>
      <c r="AK98" s="26" t="n"/>
      <c r="AL98" s="26" t="n"/>
      <c r="AM98" s="26" t="n"/>
      <c r="AN98" s="26" t="n"/>
      <c r="AO98" s="26" t="n"/>
      <c r="AP98" s="26" t="n"/>
      <c r="AQ98" s="26" t="n"/>
      <c r="AR98" s="26" t="n"/>
      <c r="AS98" s="26" t="n"/>
      <c r="AT98" s="26" t="n"/>
      <c r="AU98" s="27" t="n"/>
    </row>
    <row r="99" s="3154" customFormat="1" ht="13.5" customHeight="1">
      <c r="A99" s="627" t="n"/>
      <c r="B99" s="26" t="n"/>
      <c r="C99" s="26" t="n"/>
      <c r="D99" s="26" t="n"/>
      <c r="E99" s="3322" t="n"/>
      <c r="F99" s="26" t="n"/>
      <c r="G99" s="26" t="n"/>
      <c r="H99" s="26" t="n"/>
      <c r="I99" s="26" t="n"/>
      <c r="J99" s="26" t="n"/>
      <c r="K99" s="26" t="n"/>
      <c r="L99" s="26" t="n"/>
      <c r="M99" s="26" t="n"/>
      <c r="N99" s="26" t="n"/>
      <c r="O99" s="26" t="n"/>
      <c r="P99" s="1100" t="e">
        <f t="array" ref="P99">P98+1</f>
      </c>
      <c r="Q99" s="1100" t="e">
        <f t="array" ref="Q99">YEAR(R99)</f>
      </c>
      <c r="R99" s="4015" t="e">
        <f t="array" ref="R99">EDATE($R$9,P99)</f>
      </c>
      <c r="S99" s="1100" t="e">
        <f t="array" ref="S99">P99</f>
      </c>
      <c r="T99" s="429" t="e">
        <f t="array" ref="T99">IF(P99&lt;$E$26,"Pre-Development",IF(AND(P99&gt;=$E$26,P99&lt;=$H$26),"Construction",IF(P99='Assumptions'!$T$110,"Terminal Sale","Operating")))</f>
      </c>
      <c r="U99" s="26" t="n"/>
      <c r="V99" s="26" t="n">
        <f t="array" ref="V99">V98</f>
        <v>8</v>
      </c>
      <c r="W99" s="26" t="n"/>
      <c r="X99" s="26" t="n"/>
      <c r="Y99" s="26" t="n"/>
      <c r="Z99" s="26" t="n"/>
      <c r="AA99" s="26" t="n"/>
      <c r="AB99" s="26" t="n"/>
      <c r="AC99" s="26" t="n"/>
      <c r="AD99" s="26" t="n"/>
      <c r="AE99" s="26" t="n"/>
      <c r="AF99" s="26" t="n"/>
      <c r="AG99" s="26" t="n"/>
      <c r="AH99" s="26" t="n"/>
      <c r="AI99" s="26" t="n"/>
      <c r="AJ99" s="26" t="n"/>
      <c r="AK99" s="26" t="n"/>
      <c r="AL99" s="26" t="n"/>
      <c r="AM99" s="26" t="n"/>
      <c r="AN99" s="26" t="n"/>
      <c r="AO99" s="26" t="n"/>
      <c r="AP99" s="26" t="n"/>
      <c r="AQ99" s="26" t="n"/>
      <c r="AR99" s="26" t="n"/>
      <c r="AS99" s="26" t="n"/>
      <c r="AT99" s="26" t="n"/>
      <c r="AU99" s="27" t="n"/>
    </row>
    <row r="100" s="3154" customFormat="1" ht="13.5" customHeight="1">
      <c r="A100" s="627" t="n"/>
      <c r="B100" s="26" t="n"/>
      <c r="C100" s="26" t="n"/>
      <c r="D100" s="26" t="n"/>
      <c r="E100" s="3322" t="n"/>
      <c r="F100" s="26" t="n"/>
      <c r="G100" s="26" t="n"/>
      <c r="H100" s="26" t="n"/>
      <c r="I100" s="26" t="n"/>
      <c r="J100" s="26" t="n"/>
      <c r="K100" s="26" t="n"/>
      <c r="L100" s="26" t="n"/>
      <c r="M100" s="26" t="n"/>
      <c r="N100" s="26" t="n"/>
      <c r="O100" s="26" t="n"/>
      <c r="P100" s="1100" t="e">
        <f t="array" ref="P100">P99+1</f>
      </c>
      <c r="Q100" s="1100" t="e">
        <f t="array" ref="Q100">YEAR(R100)</f>
      </c>
      <c r="R100" s="4015" t="e">
        <f t="array" ref="R100">EDATE($R$9,P100)</f>
      </c>
      <c r="S100" s="1100" t="e">
        <f t="array" ref="S100">P100</f>
      </c>
      <c r="T100" s="429" t="e">
        <f t="array" ref="T100">IF(P100&lt;$E$26,"Pre-Development",IF(AND(P100&gt;=$E$26,P100&lt;=$H$26),"Construction",IF(P100='Assumptions'!$T$110,"Terminal Sale","Operating")))</f>
      </c>
      <c r="U100" s="26" t="n"/>
      <c r="V100" s="26" t="n">
        <f t="array" ref="V100">V99</f>
        <v>8</v>
      </c>
      <c r="W100" s="26" t="n"/>
      <c r="X100" s="26" t="n"/>
      <c r="Y100" s="26" t="n"/>
      <c r="Z100" s="26" t="n"/>
      <c r="AA100" s="26" t="n"/>
      <c r="AB100" s="26" t="n"/>
      <c r="AC100" s="26" t="n"/>
      <c r="AD100" s="26" t="n"/>
      <c r="AE100" s="26" t="n"/>
      <c r="AF100" s="26" t="n"/>
      <c r="AG100" s="26" t="n"/>
      <c r="AH100" s="26" t="n"/>
      <c r="AI100" s="26" t="n"/>
      <c r="AJ100" s="26" t="n"/>
      <c r="AK100" s="26" t="n"/>
      <c r="AL100" s="26" t="n"/>
      <c r="AM100" s="26" t="n"/>
      <c r="AN100" s="26" t="n"/>
      <c r="AO100" s="26" t="n"/>
      <c r="AP100" s="26" t="n"/>
      <c r="AQ100" s="26" t="n"/>
      <c r="AR100" s="26" t="n"/>
      <c r="AS100" s="26" t="n"/>
      <c r="AT100" s="26" t="n"/>
      <c r="AU100" s="27" t="n"/>
    </row>
    <row r="101" s="3154" customFormat="1" ht="13.5" customHeight="1">
      <c r="A101" s="627" t="n"/>
      <c r="B101" s="26" t="n"/>
      <c r="C101" s="26" t="n"/>
      <c r="D101" s="26" t="n"/>
      <c r="E101" s="3322" t="n"/>
      <c r="F101" s="26" t="n"/>
      <c r="G101" s="26" t="n"/>
      <c r="H101" s="26" t="n"/>
      <c r="I101" s="26" t="n"/>
      <c r="J101" s="26" t="n"/>
      <c r="K101" s="26" t="n"/>
      <c r="L101" s="26" t="n"/>
      <c r="M101" s="26" t="n"/>
      <c r="N101" s="26" t="n"/>
      <c r="O101" s="26" t="n"/>
      <c r="P101" s="1100" t="e">
        <f t="array" ref="P101">P100+1</f>
      </c>
      <c r="Q101" s="1100" t="e">
        <f t="array" ref="Q101">YEAR(R101)</f>
      </c>
      <c r="R101" s="4015" t="e">
        <f t="array" ref="R101">EDATE($R$9,P101)</f>
      </c>
      <c r="S101" s="1100" t="e">
        <f t="array" ref="S101">P101</f>
      </c>
      <c r="T101" s="429" t="e">
        <f t="array" ref="T101">IF(P101&lt;$E$26,"Pre-Development",IF(AND(P101&gt;=$E$26,P101&lt;=$H$26),"Construction",IF(P101='Assumptions'!$T$110,"Terminal Sale","Operating")))</f>
      </c>
      <c r="U101" s="26" t="n"/>
      <c r="V101" s="26" t="n">
        <f t="array" ref="V101">V100</f>
        <v>8</v>
      </c>
      <c r="W101" s="26" t="n"/>
      <c r="X101" s="26" t="n"/>
      <c r="Y101" s="26" t="n"/>
      <c r="Z101" s="26" t="n"/>
      <c r="AA101" s="26" t="n"/>
      <c r="AB101" s="26" t="n"/>
      <c r="AC101" s="26" t="n"/>
      <c r="AD101" s="26" t="n"/>
      <c r="AE101" s="26" t="n"/>
      <c r="AF101" s="26" t="n"/>
      <c r="AG101" s="26" t="n"/>
      <c r="AH101" s="26" t="n"/>
      <c r="AI101" s="26" t="n"/>
      <c r="AJ101" s="26" t="n"/>
      <c r="AK101" s="26" t="n"/>
      <c r="AL101" s="26" t="n"/>
      <c r="AM101" s="26" t="n"/>
      <c r="AN101" s="26" t="n"/>
      <c r="AO101" s="26" t="n"/>
      <c r="AP101" s="26" t="n"/>
      <c r="AQ101" s="26" t="n"/>
      <c r="AR101" s="26" t="n"/>
      <c r="AS101" s="26" t="n"/>
      <c r="AT101" s="26" t="n"/>
      <c r="AU101" s="27" t="n"/>
    </row>
    <row r="102" s="3154" customFormat="1" ht="13.5" customHeight="1">
      <c r="A102" s="627" t="n"/>
      <c r="B102" s="26" t="n"/>
      <c r="C102" s="26" t="n"/>
      <c r="D102" s="26" t="n"/>
      <c r="E102" s="3322" t="n"/>
      <c r="F102" s="26" t="n"/>
      <c r="G102" s="26" t="n"/>
      <c r="H102" s="26" t="n"/>
      <c r="I102" s="26" t="n"/>
      <c r="J102" s="26" t="n"/>
      <c r="K102" s="26" t="n"/>
      <c r="L102" s="26" t="n"/>
      <c r="M102" s="26" t="n"/>
      <c r="N102" s="26" t="n"/>
      <c r="O102" s="26" t="n"/>
      <c r="P102" s="1100" t="e">
        <f t="array" ref="P102">P101+1</f>
      </c>
      <c r="Q102" s="1100" t="e">
        <f t="array" ref="Q102">YEAR(R102)</f>
      </c>
      <c r="R102" s="4015" t="e">
        <f t="array" ref="R102">EDATE($R$9,P102)</f>
      </c>
      <c r="S102" s="1100" t="e">
        <f t="array" ref="S102">P102</f>
      </c>
      <c r="T102" s="429" t="e">
        <f t="array" ref="T102">IF(P102&lt;$E$26,"Pre-Development",IF(AND(P102&gt;=$E$26,P102&lt;=$H$26),"Construction",IF(P102='Assumptions'!$T$110,"Terminal Sale","Operating")))</f>
      </c>
      <c r="U102" s="26" t="n"/>
      <c r="V102" s="26" t="n">
        <f t="array" ref="V102">V101</f>
        <v>8</v>
      </c>
      <c r="W102" s="26" t="n"/>
      <c r="X102" s="26" t="n"/>
      <c r="Y102" s="26" t="n"/>
      <c r="Z102" s="26" t="n"/>
      <c r="AA102" s="26" t="n"/>
      <c r="AB102" s="26" t="n"/>
      <c r="AC102" s="26" t="n"/>
      <c r="AD102" s="26" t="n"/>
      <c r="AE102" s="26" t="n"/>
      <c r="AF102" s="26" t="n"/>
      <c r="AG102" s="26" t="n"/>
      <c r="AH102" s="26" t="n"/>
      <c r="AI102" s="26" t="n"/>
      <c r="AJ102" s="26" t="n"/>
      <c r="AK102" s="26" t="n"/>
      <c r="AL102" s="26" t="n"/>
      <c r="AM102" s="26" t="n"/>
      <c r="AN102" s="26" t="n"/>
      <c r="AO102" s="26" t="n"/>
      <c r="AP102" s="26" t="n"/>
      <c r="AQ102" s="26" t="n"/>
      <c r="AR102" s="26" t="n"/>
      <c r="AS102" s="26" t="n"/>
      <c r="AT102" s="26" t="n"/>
      <c r="AU102" s="27" t="n"/>
    </row>
    <row r="103" s="3154" customFormat="1" ht="13.5" customHeight="1">
      <c r="A103" s="627" t="n"/>
      <c r="B103" s="26" t="n"/>
      <c r="C103" s="26" t="n"/>
      <c r="D103" s="26" t="n"/>
      <c r="E103" s="3322" t="n"/>
      <c r="F103" s="26" t="n"/>
      <c r="G103" s="26" t="n"/>
      <c r="H103" s="26" t="n"/>
      <c r="I103" s="26" t="n"/>
      <c r="J103" s="26" t="n"/>
      <c r="K103" s="26" t="n"/>
      <c r="L103" s="26" t="n"/>
      <c r="M103" s="26" t="n"/>
      <c r="N103" s="26" t="n"/>
      <c r="O103" s="26" t="n"/>
      <c r="P103" s="1100" t="e">
        <f t="array" ref="P103">P102+1</f>
      </c>
      <c r="Q103" s="1100" t="e">
        <f t="array" ref="Q103">YEAR(R103)</f>
      </c>
      <c r="R103" s="4015" t="e">
        <f t="array" ref="R103">EDATE($R$9,P103)</f>
      </c>
      <c r="S103" s="1100" t="e">
        <f t="array" ref="S103">P103</f>
      </c>
      <c r="T103" s="429" t="e">
        <f t="array" ref="T103">IF(P103&lt;$E$26,"Pre-Development",IF(AND(P103&gt;=$E$26,P103&lt;=$H$26),"Construction",IF(P103='Assumptions'!$T$110,"Terminal Sale","Operating")))</f>
      </c>
      <c r="U103" s="26" t="n"/>
      <c r="V103" s="26" t="n">
        <f t="array" ref="V103">V102</f>
        <v>8</v>
      </c>
      <c r="W103" s="26" t="n"/>
      <c r="X103" s="26" t="n"/>
      <c r="Y103" s="26" t="n"/>
      <c r="Z103" s="26" t="n"/>
      <c r="AA103" s="26" t="n"/>
      <c r="AB103" s="26" t="n"/>
      <c r="AC103" s="26" t="n"/>
      <c r="AD103" s="26" t="n"/>
      <c r="AE103" s="26" t="n"/>
      <c r="AF103" s="26" t="n"/>
      <c r="AG103" s="26" t="n"/>
      <c r="AH103" s="26" t="n"/>
      <c r="AI103" s="26" t="n"/>
      <c r="AJ103" s="26" t="n"/>
      <c r="AK103" s="26" t="n"/>
      <c r="AL103" s="26" t="n"/>
      <c r="AM103" s="26" t="n"/>
      <c r="AN103" s="26" t="n"/>
      <c r="AO103" s="26" t="n"/>
      <c r="AP103" s="26" t="n"/>
      <c r="AQ103" s="26" t="n"/>
      <c r="AR103" s="26" t="n"/>
      <c r="AS103" s="26" t="n"/>
      <c r="AT103" s="26" t="n"/>
      <c r="AU103" s="27" t="n"/>
    </row>
    <row r="104" s="3154" customFormat="1" ht="13.5" customHeight="1">
      <c r="A104" s="627" t="n"/>
      <c r="B104" s="26" t="n"/>
      <c r="C104" s="26" t="n"/>
      <c r="D104" s="26" t="n"/>
      <c r="E104" s="3322" t="n"/>
      <c r="F104" s="26" t="n"/>
      <c r="G104" s="26" t="n"/>
      <c r="H104" s="26" t="n"/>
      <c r="I104" s="26" t="n"/>
      <c r="J104" s="26" t="n"/>
      <c r="K104" s="26" t="n"/>
      <c r="L104" s="26" t="n"/>
      <c r="M104" s="26" t="n"/>
      <c r="N104" s="26" t="n"/>
      <c r="O104" s="26" t="n"/>
      <c r="P104" s="1100" t="e">
        <f t="array" ref="P104">P103+1</f>
      </c>
      <c r="Q104" s="1100" t="e">
        <f t="array" ref="Q104">YEAR(R104)</f>
      </c>
      <c r="R104" s="4015" t="e">
        <f t="array" ref="R104">EDATE($R$9,P104)</f>
      </c>
      <c r="S104" s="1100" t="e">
        <f t="array" ref="S104">P104</f>
      </c>
      <c r="T104" s="429" t="e">
        <f t="array" ref="T104">IF(P104&lt;$E$26,"Pre-Development",IF(AND(P104&gt;=$E$26,P104&lt;=$H$26),"Construction",IF(P104='Assumptions'!$T$110,"Terminal Sale","Operating")))</f>
      </c>
      <c r="U104" s="26" t="n"/>
      <c r="V104" s="26" t="n">
        <f t="array" ref="V104">V103</f>
        <v>8</v>
      </c>
      <c r="W104" s="26" t="n"/>
      <c r="X104" s="26" t="n"/>
      <c r="Y104" s="26" t="n"/>
      <c r="Z104" s="26" t="n"/>
      <c r="AA104" s="26" t="n"/>
      <c r="AB104" s="26" t="n"/>
      <c r="AC104" s="26" t="n"/>
      <c r="AD104" s="26" t="n"/>
      <c r="AE104" s="26" t="n"/>
      <c r="AF104" s="26" t="n"/>
      <c r="AG104" s="26" t="n"/>
      <c r="AH104" s="26" t="n"/>
      <c r="AI104" s="26" t="n"/>
      <c r="AJ104" s="26" t="n"/>
      <c r="AK104" s="26" t="n"/>
      <c r="AL104" s="26" t="n"/>
      <c r="AM104" s="26" t="n"/>
      <c r="AN104" s="26" t="n"/>
      <c r="AO104" s="26" t="n"/>
      <c r="AP104" s="26" t="n"/>
      <c r="AQ104" s="26" t="n"/>
      <c r="AR104" s="26" t="n"/>
      <c r="AS104" s="26" t="n"/>
      <c r="AT104" s="26" t="n"/>
      <c r="AU104" s="27" t="n"/>
    </row>
    <row r="105" s="3154" customFormat="1" ht="13.5" customHeight="1">
      <c r="A105" s="627" t="n"/>
      <c r="B105" s="26" t="n"/>
      <c r="C105" s="26" t="n"/>
      <c r="D105" s="26" t="n"/>
      <c r="E105" s="3322" t="n"/>
      <c r="F105" s="26" t="n"/>
      <c r="G105" s="26" t="n"/>
      <c r="H105" s="26" t="n"/>
      <c r="I105" s="26" t="n"/>
      <c r="J105" s="26" t="n"/>
      <c r="K105" s="26" t="n"/>
      <c r="L105" s="26" t="n"/>
      <c r="M105" s="26" t="n"/>
      <c r="N105" s="26" t="n"/>
      <c r="O105" s="26" t="n"/>
      <c r="P105" s="1100" t="e">
        <f t="array" ref="P105">P104+1</f>
      </c>
      <c r="Q105" s="1100" t="e">
        <f t="array" ref="Q105">YEAR(R105)</f>
      </c>
      <c r="R105" s="4015" t="e">
        <f t="array" ref="R105">EDATE($R$9,P105)</f>
      </c>
      <c r="S105" s="1100" t="e">
        <f t="array" ref="S105">P105</f>
      </c>
      <c r="T105" s="429" t="e">
        <f t="array" ref="T105">IF(P105&lt;$E$26,"Pre-Development",IF(AND(P105&gt;=$E$26,P105&lt;=$H$26),"Construction",IF(P105='Assumptions'!$T$110,"Terminal Sale","Operating")))</f>
      </c>
      <c r="U105" s="26" t="n"/>
      <c r="V105" s="26" t="n">
        <f t="array" ref="V105">V104+1</f>
        <v>9</v>
      </c>
      <c r="W105" s="26" t="n"/>
      <c r="X105" s="26" t="n"/>
      <c r="Y105" s="26" t="n"/>
      <c r="Z105" s="26" t="n"/>
      <c r="AA105" s="26" t="n"/>
      <c r="AB105" s="26" t="n"/>
      <c r="AC105" s="26" t="n"/>
      <c r="AD105" s="26" t="n"/>
      <c r="AE105" s="26" t="n"/>
      <c r="AF105" s="26" t="n"/>
      <c r="AG105" s="26" t="n"/>
      <c r="AH105" s="26" t="n"/>
      <c r="AI105" s="26" t="n"/>
      <c r="AJ105" s="26" t="n"/>
      <c r="AK105" s="26" t="n"/>
      <c r="AL105" s="26" t="n"/>
      <c r="AM105" s="26" t="n"/>
      <c r="AN105" s="26" t="n"/>
      <c r="AO105" s="26" t="n"/>
      <c r="AP105" s="26" t="n"/>
      <c r="AQ105" s="26" t="n"/>
      <c r="AR105" s="26" t="n"/>
      <c r="AS105" s="26" t="n"/>
      <c r="AT105" s="26" t="n"/>
      <c r="AU105" s="27" t="n"/>
    </row>
    <row r="106" s="3154" customFormat="1" ht="13.5" customHeight="1">
      <c r="A106" s="627" t="n"/>
      <c r="B106" s="26" t="n"/>
      <c r="C106" s="26" t="n"/>
      <c r="D106" s="26" t="n"/>
      <c r="E106" s="3322" t="n"/>
      <c r="F106" s="26" t="n"/>
      <c r="G106" s="26" t="n"/>
      <c r="H106" s="26" t="n"/>
      <c r="I106" s="26" t="n"/>
      <c r="J106" s="26" t="n"/>
      <c r="K106" s="26" t="n"/>
      <c r="L106" s="26" t="n"/>
      <c r="M106" s="26" t="n"/>
      <c r="N106" s="26" t="n"/>
      <c r="O106" s="26" t="n"/>
      <c r="P106" s="1100" t="e">
        <f t="array" ref="P106">P105+1</f>
      </c>
      <c r="Q106" s="1100" t="e">
        <f t="array" ref="Q106">YEAR(R106)</f>
      </c>
      <c r="R106" s="4015" t="e">
        <f t="array" ref="R106">EDATE($R$9,P106)</f>
      </c>
      <c r="S106" s="1100" t="e">
        <f t="array" ref="S106">P106</f>
      </c>
      <c r="T106" s="429" t="e">
        <f t="array" ref="T106">IF(P106&lt;$E$26,"Pre-Development",IF(AND(P106&gt;=$E$26,P106&lt;=$H$26),"Construction",IF(P106='Assumptions'!$T$110,"Terminal Sale","Operating")))</f>
      </c>
      <c r="U106" s="26" t="n"/>
      <c r="V106" s="26" t="n">
        <f t="array" ref="V106">V105</f>
        <v>9</v>
      </c>
      <c r="W106" s="26" t="n"/>
      <c r="X106" s="26" t="n"/>
      <c r="Y106" s="26" t="n"/>
      <c r="Z106" s="26" t="n"/>
      <c r="AA106" s="26" t="n"/>
      <c r="AB106" s="26" t="n"/>
      <c r="AC106" s="26" t="n"/>
      <c r="AD106" s="26" t="n"/>
      <c r="AE106" s="26" t="n"/>
      <c r="AF106" s="26" t="n"/>
      <c r="AG106" s="26" t="n"/>
      <c r="AH106" s="26" t="n"/>
      <c r="AI106" s="26" t="n"/>
      <c r="AJ106" s="26" t="n"/>
      <c r="AK106" s="26" t="n"/>
      <c r="AL106" s="26" t="n"/>
      <c r="AM106" s="26" t="n"/>
      <c r="AN106" s="26" t="n"/>
      <c r="AO106" s="26" t="n"/>
      <c r="AP106" s="26" t="n"/>
      <c r="AQ106" s="26" t="n"/>
      <c r="AR106" s="26" t="n"/>
      <c r="AS106" s="26" t="n"/>
      <c r="AT106" s="26" t="n"/>
      <c r="AU106" s="27" t="n"/>
    </row>
    <row r="107" s="3154" customFormat="1" ht="13.5" customHeight="1">
      <c r="A107" s="627" t="n"/>
      <c r="B107" s="26" t="n"/>
      <c r="C107" s="26" t="n"/>
      <c r="D107" s="26" t="n"/>
      <c r="E107" s="3322" t="n"/>
      <c r="F107" s="26" t="n"/>
      <c r="G107" s="26" t="n"/>
      <c r="H107" s="26" t="n"/>
      <c r="I107" s="26" t="n"/>
      <c r="J107" s="26" t="n"/>
      <c r="K107" s="26" t="n"/>
      <c r="L107" s="26" t="n"/>
      <c r="M107" s="26" t="n"/>
      <c r="N107" s="26" t="n"/>
      <c r="O107" s="26" t="n"/>
      <c r="P107" s="1100" t="e">
        <f t="array" ref="P107">P106+1</f>
      </c>
      <c r="Q107" s="1100" t="e">
        <f t="array" ref="Q107">YEAR(R107)</f>
      </c>
      <c r="R107" s="4015" t="e">
        <f t="array" ref="R107">EDATE($R$9,P107)</f>
      </c>
      <c r="S107" s="1100" t="e">
        <f t="array" ref="S107">P107</f>
      </c>
      <c r="T107" s="429" t="e">
        <f t="array" ref="T107">IF(P107&lt;$E$26,"Pre-Development",IF(AND(P107&gt;=$E$26,P107&lt;=$H$26),"Construction",IF(P107='Assumptions'!$T$110,"Terminal Sale","Operating")))</f>
      </c>
      <c r="U107" s="26" t="n"/>
      <c r="V107" s="26" t="n">
        <f t="array" ref="V107">V106</f>
        <v>9</v>
      </c>
      <c r="W107" s="26" t="n"/>
      <c r="X107" s="26" t="n"/>
      <c r="Y107" s="26" t="n"/>
      <c r="Z107" s="26" t="n"/>
      <c r="AA107" s="26" t="n"/>
      <c r="AB107" s="26" t="n"/>
      <c r="AC107" s="26" t="n"/>
      <c r="AD107" s="26" t="n"/>
      <c r="AE107" s="26" t="n"/>
      <c r="AF107" s="26" t="n"/>
      <c r="AG107" s="26" t="n"/>
      <c r="AH107" s="26" t="n"/>
      <c r="AI107" s="26" t="n"/>
      <c r="AJ107" s="26" t="n"/>
      <c r="AK107" s="26" t="n"/>
      <c r="AL107" s="26" t="n"/>
      <c r="AM107" s="26" t="n"/>
      <c r="AN107" s="26" t="n"/>
      <c r="AO107" s="26" t="n"/>
      <c r="AP107" s="26" t="n"/>
      <c r="AQ107" s="26" t="n"/>
      <c r="AR107" s="26" t="n"/>
      <c r="AS107" s="26" t="n"/>
      <c r="AT107" s="26" t="n"/>
      <c r="AU107" s="27" t="n"/>
    </row>
    <row r="108" s="3154" customFormat="1" ht="13.5" customHeight="1">
      <c r="A108" s="627" t="n"/>
      <c r="B108" s="26" t="n"/>
      <c r="C108" s="26" t="n"/>
      <c r="D108" s="26" t="n"/>
      <c r="E108" s="3322" t="n"/>
      <c r="F108" s="26" t="n"/>
      <c r="G108" s="26" t="n"/>
      <c r="H108" s="26" t="n"/>
      <c r="I108" s="26" t="n"/>
      <c r="J108" s="26" t="n"/>
      <c r="K108" s="26" t="n"/>
      <c r="L108" s="26" t="n"/>
      <c r="M108" s="26" t="n"/>
      <c r="N108" s="26" t="n"/>
      <c r="O108" s="26" t="n"/>
      <c r="P108" s="1100" t="e">
        <f t="array" ref="P108">P107+1</f>
      </c>
      <c r="Q108" s="1100" t="e">
        <f t="array" ref="Q108">YEAR(R108)</f>
      </c>
      <c r="R108" s="4015" t="e">
        <f t="array" ref="R108">EDATE($R$9,P108)</f>
      </c>
      <c r="S108" s="1100" t="e">
        <f t="array" ref="S108">P108</f>
      </c>
      <c r="T108" s="429" t="e">
        <f t="array" ref="T108">IF(P108&lt;$E$26,"Pre-Development",IF(AND(P108&gt;=$E$26,P108&lt;=$H$26),"Construction",IF(P108='Assumptions'!$T$110,"Terminal Sale","Operating")))</f>
      </c>
      <c r="U108" s="26" t="n"/>
      <c r="V108" s="26" t="n">
        <f t="array" ref="V108">V107</f>
        <v>9</v>
      </c>
      <c r="W108" s="26" t="n"/>
      <c r="X108" s="26" t="n"/>
      <c r="Y108" s="26" t="n"/>
      <c r="Z108" s="26" t="n"/>
      <c r="AA108" s="26" t="n"/>
      <c r="AB108" s="26" t="n"/>
      <c r="AC108" s="26" t="n"/>
      <c r="AD108" s="26" t="n"/>
      <c r="AE108" s="26" t="n"/>
      <c r="AF108" s="26" t="n"/>
      <c r="AG108" s="26" t="n"/>
      <c r="AH108" s="26" t="n"/>
      <c r="AI108" s="26" t="n"/>
      <c r="AJ108" s="26" t="n"/>
      <c r="AK108" s="26" t="n"/>
      <c r="AL108" s="26" t="n"/>
      <c r="AM108" s="26" t="n"/>
      <c r="AN108" s="26" t="n"/>
      <c r="AO108" s="26" t="n"/>
      <c r="AP108" s="26" t="n"/>
      <c r="AQ108" s="26" t="n"/>
      <c r="AR108" s="26" t="n"/>
      <c r="AS108" s="26" t="n"/>
      <c r="AT108" s="26" t="n"/>
      <c r="AU108" s="27" t="n"/>
    </row>
    <row r="109" s="3154" customFormat="1" ht="13.5" customHeight="1">
      <c r="A109" s="627" t="n"/>
      <c r="B109" s="26" t="n"/>
      <c r="C109" s="26" t="n"/>
      <c r="D109" s="26" t="n"/>
      <c r="E109" s="3322" t="n"/>
      <c r="F109" s="26" t="n"/>
      <c r="G109" s="26" t="n"/>
      <c r="H109" s="26" t="n"/>
      <c r="I109" s="26" t="n"/>
      <c r="J109" s="26" t="n"/>
      <c r="K109" s="26" t="n"/>
      <c r="L109" s="26" t="n"/>
      <c r="M109" s="26" t="n"/>
      <c r="N109" s="26" t="n"/>
      <c r="O109" s="26" t="n"/>
      <c r="P109" s="1100" t="e">
        <f t="array" ref="P109">P108+1</f>
      </c>
      <c r="Q109" s="1100" t="e">
        <f t="array" ref="Q109">YEAR(R109)</f>
      </c>
      <c r="R109" s="4015" t="e">
        <f t="array" ref="R109">EDATE($R$9,P109)</f>
      </c>
      <c r="S109" s="1100" t="e">
        <f t="array" ref="S109">P109</f>
      </c>
      <c r="T109" s="429" t="e">
        <f t="array" ref="T109">IF(P109&lt;$E$26,"Pre-Development",IF(AND(P109&gt;=$E$26,P109&lt;=$H$26),"Construction",IF(P109='Assumptions'!$T$110,"Terminal Sale","Operating")))</f>
      </c>
      <c r="U109" s="26" t="n"/>
      <c r="V109" s="26" t="n">
        <f t="array" ref="V109">V108</f>
        <v>9</v>
      </c>
      <c r="W109" s="26" t="n"/>
      <c r="X109" s="26" t="n"/>
      <c r="Y109" s="26" t="n"/>
      <c r="Z109" s="26" t="n"/>
      <c r="AA109" s="26" t="n"/>
      <c r="AB109" s="26" t="n"/>
      <c r="AC109" s="26" t="n"/>
      <c r="AD109" s="26" t="n"/>
      <c r="AE109" s="26" t="n"/>
      <c r="AF109" s="26" t="n"/>
      <c r="AG109" s="26" t="n"/>
      <c r="AH109" s="26" t="n"/>
      <c r="AI109" s="26" t="n"/>
      <c r="AJ109" s="26" t="n"/>
      <c r="AK109" s="26" t="n"/>
      <c r="AL109" s="26" t="n"/>
      <c r="AM109" s="26" t="n"/>
      <c r="AN109" s="26" t="n"/>
      <c r="AO109" s="26" t="n"/>
      <c r="AP109" s="26" t="n"/>
      <c r="AQ109" s="26" t="n"/>
      <c r="AR109" s="26" t="n"/>
      <c r="AS109" s="26" t="n"/>
      <c r="AT109" s="26" t="n"/>
      <c r="AU109" s="27" t="n"/>
    </row>
    <row r="110" s="3154" customFormat="1" ht="13.5" customHeight="1">
      <c r="A110" s="627" t="n"/>
      <c r="B110" s="26" t="n"/>
      <c r="C110" s="26" t="n"/>
      <c r="D110" s="26" t="n"/>
      <c r="E110" s="3322" t="n"/>
      <c r="F110" s="26" t="n"/>
      <c r="G110" s="26" t="n"/>
      <c r="H110" s="26" t="n"/>
      <c r="I110" s="26" t="n"/>
      <c r="J110" s="26" t="n"/>
      <c r="K110" s="26" t="n"/>
      <c r="L110" s="26" t="n"/>
      <c r="M110" s="26" t="n"/>
      <c r="N110" s="26" t="n"/>
      <c r="O110" s="26" t="n"/>
      <c r="P110" s="1100" t="e">
        <f t="array" ref="P110">P109+1</f>
      </c>
      <c r="Q110" s="1100" t="e">
        <f t="array" ref="Q110">YEAR(R110)</f>
      </c>
      <c r="R110" s="4015" t="e">
        <f t="array" ref="R110">EDATE($R$9,P110)</f>
      </c>
      <c r="S110" s="1100" t="e">
        <f t="array" ref="S110">P110</f>
      </c>
      <c r="T110" s="429" t="e">
        <f t="array" ref="T110">IF(P110&lt;$E$26,"Pre-Development",IF(AND(P110&gt;=$E$26,P110&lt;=$H$26),"Construction",IF(P110='Assumptions'!$T$110,"Terminal Sale","Operating")))</f>
      </c>
      <c r="U110" s="26" t="n"/>
      <c r="V110" s="26" t="n">
        <f t="array" ref="V110">V109</f>
        <v>9</v>
      </c>
      <c r="W110" s="26" t="n"/>
      <c r="X110" s="26" t="n"/>
      <c r="Y110" s="26" t="n"/>
      <c r="Z110" s="26" t="n"/>
      <c r="AA110" s="26" t="n"/>
      <c r="AB110" s="26" t="n"/>
      <c r="AC110" s="26" t="n"/>
      <c r="AD110" s="26" t="n"/>
      <c r="AE110" s="26" t="n"/>
      <c r="AF110" s="26" t="n"/>
      <c r="AG110" s="26" t="n"/>
      <c r="AH110" s="26" t="n"/>
      <c r="AI110" s="26" t="n"/>
      <c r="AJ110" s="26" t="n"/>
      <c r="AK110" s="26" t="n"/>
      <c r="AL110" s="26" t="n"/>
      <c r="AM110" s="26" t="n"/>
      <c r="AN110" s="26" t="n"/>
      <c r="AO110" s="26" t="n"/>
      <c r="AP110" s="26" t="n"/>
      <c r="AQ110" s="26" t="n"/>
      <c r="AR110" s="26" t="n"/>
      <c r="AS110" s="26" t="n"/>
      <c r="AT110" s="26" t="n"/>
      <c r="AU110" s="27" t="n"/>
    </row>
    <row r="111" s="3154" customFormat="1" ht="13.5" customHeight="1">
      <c r="A111" s="627" t="n"/>
      <c r="B111" s="26" t="n"/>
      <c r="C111" s="26" t="n"/>
      <c r="D111" s="26" t="n"/>
      <c r="E111" s="3322" t="n"/>
      <c r="F111" s="26" t="n"/>
      <c r="G111" s="26" t="n"/>
      <c r="H111" s="26" t="n"/>
      <c r="I111" s="26" t="n"/>
      <c r="J111" s="26" t="n"/>
      <c r="K111" s="26" t="n"/>
      <c r="L111" s="26" t="n"/>
      <c r="M111" s="26" t="n"/>
      <c r="N111" s="26" t="n"/>
      <c r="O111" s="26" t="n"/>
      <c r="P111" s="1100" t="e">
        <f t="array" ref="P111">P110+1</f>
      </c>
      <c r="Q111" s="1100" t="e">
        <f t="array" ref="Q111">YEAR(R111)</f>
      </c>
      <c r="R111" s="4015" t="e">
        <f t="array" ref="R111">EDATE($R$9,P111)</f>
      </c>
      <c r="S111" s="1100" t="e">
        <f t="array" ref="S111">P111</f>
      </c>
      <c r="T111" s="429" t="e">
        <f t="array" ref="T111">IF(P111&lt;$E$26,"Pre-Development",IF(AND(P111&gt;=$E$26,P111&lt;=$H$26),"Construction",IF(P111='Assumptions'!$T$110,"Terminal Sale","Operating")))</f>
      </c>
      <c r="U111" s="26" t="n"/>
      <c r="V111" s="26" t="n">
        <f t="array" ref="V111">V110</f>
        <v>9</v>
      </c>
      <c r="W111" s="26" t="n"/>
      <c r="X111" s="26" t="n"/>
      <c r="Y111" s="26" t="n"/>
      <c r="Z111" s="26" t="n"/>
      <c r="AA111" s="26" t="n"/>
      <c r="AB111" s="26" t="n"/>
      <c r="AC111" s="26" t="n"/>
      <c r="AD111" s="26" t="n"/>
      <c r="AE111" s="26" t="n"/>
      <c r="AF111" s="26" t="n"/>
      <c r="AG111" s="26" t="n"/>
      <c r="AH111" s="26" t="n"/>
      <c r="AI111" s="26" t="n"/>
      <c r="AJ111" s="26" t="n"/>
      <c r="AK111" s="26" t="n"/>
      <c r="AL111" s="26" t="n"/>
      <c r="AM111" s="26" t="n"/>
      <c r="AN111" s="26" t="n"/>
      <c r="AO111" s="26" t="n"/>
      <c r="AP111" s="26" t="n"/>
      <c r="AQ111" s="26" t="n"/>
      <c r="AR111" s="26" t="n"/>
      <c r="AS111" s="26" t="n"/>
      <c r="AT111" s="26" t="n"/>
      <c r="AU111" s="27" t="n"/>
    </row>
    <row r="112" s="3154" customFormat="1" ht="13.5" customHeight="1">
      <c r="A112" s="627" t="n"/>
      <c r="B112" s="26" t="n"/>
      <c r="C112" s="26" t="n"/>
      <c r="D112" s="26" t="n"/>
      <c r="E112" s="3322" t="n"/>
      <c r="F112" s="26" t="n"/>
      <c r="G112" s="26" t="n"/>
      <c r="H112" s="26" t="n"/>
      <c r="I112" s="26" t="n"/>
      <c r="J112" s="26" t="n"/>
      <c r="K112" s="26" t="n"/>
      <c r="L112" s="26" t="n"/>
      <c r="M112" s="26" t="n"/>
      <c r="N112" s="26" t="n"/>
      <c r="O112" s="26" t="n"/>
      <c r="P112" s="1100" t="e">
        <f t="array" ref="P112">P111+1</f>
      </c>
      <c r="Q112" s="1100" t="e">
        <f t="array" ref="Q112">YEAR(R112)</f>
      </c>
      <c r="R112" s="4015" t="e">
        <f t="array" ref="R112">EDATE($R$9,P112)</f>
      </c>
      <c r="S112" s="1100" t="e">
        <f t="array" ref="S112">P112</f>
      </c>
      <c r="T112" s="429" t="e">
        <f t="array" ref="T112">IF(P112&lt;$E$26,"Pre-Development",IF(AND(P112&gt;=$E$26,P112&lt;=$H$26),"Construction",IF(P112='Assumptions'!$T$110,"Terminal Sale","Operating")))</f>
      </c>
      <c r="U112" s="26" t="n"/>
      <c r="V112" s="26" t="n">
        <f t="array" ref="V112">V111</f>
        <v>9</v>
      </c>
      <c r="W112" s="26" t="n"/>
      <c r="X112" s="26" t="n"/>
      <c r="Y112" s="26" t="n"/>
      <c r="Z112" s="26" t="n"/>
      <c r="AA112" s="26" t="n"/>
      <c r="AB112" s="26" t="n"/>
      <c r="AC112" s="26" t="n"/>
      <c r="AD112" s="26" t="n"/>
      <c r="AE112" s="26" t="n"/>
      <c r="AF112" s="26" t="n"/>
      <c r="AG112" s="26" t="n"/>
      <c r="AH112" s="26" t="n"/>
      <c r="AI112" s="26" t="n"/>
      <c r="AJ112" s="26" t="n"/>
      <c r="AK112" s="26" t="n"/>
      <c r="AL112" s="26" t="n"/>
      <c r="AM112" s="26" t="n"/>
      <c r="AN112" s="26" t="n"/>
      <c r="AO112" s="26" t="n"/>
      <c r="AP112" s="26" t="n"/>
      <c r="AQ112" s="26" t="n"/>
      <c r="AR112" s="26" t="n"/>
      <c r="AS112" s="26" t="n"/>
      <c r="AT112" s="26" t="n"/>
      <c r="AU112" s="27" t="n"/>
    </row>
    <row r="113" s="3154" customFormat="1" ht="13.5" customHeight="1">
      <c r="A113" s="627" t="n"/>
      <c r="B113" s="26" t="n"/>
      <c r="C113" s="26" t="n"/>
      <c r="D113" s="26" t="n"/>
      <c r="E113" s="3322" t="n"/>
      <c r="F113" s="26" t="n"/>
      <c r="G113" s="26" t="n"/>
      <c r="H113" s="26" t="n"/>
      <c r="I113" s="26" t="n"/>
      <c r="J113" s="26" t="n"/>
      <c r="K113" s="26" t="n"/>
      <c r="L113" s="26" t="n"/>
      <c r="M113" s="26" t="n"/>
      <c r="N113" s="26" t="n"/>
      <c r="O113" s="26" t="n"/>
      <c r="P113" s="1100" t="e">
        <f t="array" ref="P113">P112+1</f>
      </c>
      <c r="Q113" s="1100" t="e">
        <f t="array" ref="Q113">YEAR(R113)</f>
      </c>
      <c r="R113" s="4015" t="e">
        <f t="array" ref="R113">EDATE($R$9,P113)</f>
      </c>
      <c r="S113" s="1100" t="e">
        <f t="array" ref="S113">P113</f>
      </c>
      <c r="T113" s="429" t="e">
        <f t="array" ref="T113">IF(P113&lt;$E$26,"Pre-Development",IF(AND(P113&gt;=$E$26,P113&lt;=$H$26),"Construction",IF(P113='Assumptions'!$T$110,"Terminal Sale","Operating")))</f>
      </c>
      <c r="U113" s="26" t="n"/>
      <c r="V113" s="26" t="n">
        <f t="array" ref="V113">V112</f>
        <v>9</v>
      </c>
      <c r="W113" s="26" t="n"/>
      <c r="X113" s="26" t="n"/>
      <c r="Y113" s="26" t="n"/>
      <c r="Z113" s="26" t="n"/>
      <c r="AA113" s="26" t="n"/>
      <c r="AB113" s="26" t="n"/>
      <c r="AC113" s="26" t="n"/>
      <c r="AD113" s="26" t="n"/>
      <c r="AE113" s="26" t="n"/>
      <c r="AF113" s="26" t="n"/>
      <c r="AG113" s="26" t="n"/>
      <c r="AH113" s="26" t="n"/>
      <c r="AI113" s="26" t="n"/>
      <c r="AJ113" s="26" t="n"/>
      <c r="AK113" s="26" t="n"/>
      <c r="AL113" s="26" t="n"/>
      <c r="AM113" s="26" t="n"/>
      <c r="AN113" s="26" t="n"/>
      <c r="AO113" s="26" t="n"/>
      <c r="AP113" s="26" t="n"/>
      <c r="AQ113" s="26" t="n"/>
      <c r="AR113" s="26" t="n"/>
      <c r="AS113" s="26" t="n"/>
      <c r="AT113" s="26" t="n"/>
      <c r="AU113" s="27" t="n"/>
    </row>
    <row r="114" s="3154" customFormat="1" ht="13.5" customHeight="1">
      <c r="A114" s="627" t="n"/>
      <c r="B114" s="26" t="n"/>
      <c r="C114" s="26" t="n"/>
      <c r="D114" s="26" t="n"/>
      <c r="E114" s="3322" t="n"/>
      <c r="F114" s="26" t="n"/>
      <c r="G114" s="26" t="n"/>
      <c r="H114" s="26" t="n"/>
      <c r="I114" s="26" t="n"/>
      <c r="J114" s="26" t="n"/>
      <c r="K114" s="26" t="n"/>
      <c r="L114" s="26" t="n"/>
      <c r="M114" s="26" t="n"/>
      <c r="N114" s="26" t="n"/>
      <c r="O114" s="26" t="n"/>
      <c r="P114" s="1100" t="e">
        <f t="array" ref="P114">P113+1</f>
      </c>
      <c r="Q114" s="1100" t="e">
        <f t="array" ref="Q114">YEAR(R114)</f>
      </c>
      <c r="R114" s="4015" t="e">
        <f t="array" ref="R114">EDATE($R$9,P114)</f>
      </c>
      <c r="S114" s="1100" t="e">
        <f t="array" ref="S114">P114</f>
      </c>
      <c r="T114" s="429" t="e">
        <f t="array" ref="T114">IF(P114&lt;$E$26,"Pre-Development",IF(AND(P114&gt;=$E$26,P114&lt;=$H$26),"Construction",IF(P114='Assumptions'!$T$110,"Terminal Sale","Operating")))</f>
      </c>
      <c r="U114" s="26" t="n"/>
      <c r="V114" s="26" t="n">
        <f t="array" ref="V114">V113</f>
        <v>9</v>
      </c>
      <c r="W114" s="26" t="n"/>
      <c r="X114" s="26" t="n"/>
      <c r="Y114" s="26" t="n"/>
      <c r="Z114" s="26" t="n"/>
      <c r="AA114" s="26" t="n"/>
      <c r="AB114" s="26" t="n"/>
      <c r="AC114" s="26" t="n"/>
      <c r="AD114" s="26" t="n"/>
      <c r="AE114" s="26" t="n"/>
      <c r="AF114" s="26" t="n"/>
      <c r="AG114" s="26" t="n"/>
      <c r="AH114" s="26" t="n"/>
      <c r="AI114" s="26" t="n"/>
      <c r="AJ114" s="26" t="n"/>
      <c r="AK114" s="26" t="n"/>
      <c r="AL114" s="26" t="n"/>
      <c r="AM114" s="26" t="n"/>
      <c r="AN114" s="26" t="n"/>
      <c r="AO114" s="26" t="n"/>
      <c r="AP114" s="26" t="n"/>
      <c r="AQ114" s="26" t="n"/>
      <c r="AR114" s="26" t="n"/>
      <c r="AS114" s="26" t="n"/>
      <c r="AT114" s="26" t="n"/>
      <c r="AU114" s="27" t="n"/>
    </row>
    <row r="115" s="3154" customFormat="1" ht="13.5" customHeight="1">
      <c r="A115" s="627" t="n"/>
      <c r="B115" s="26" t="n"/>
      <c r="C115" s="26" t="n"/>
      <c r="D115" s="26" t="n"/>
      <c r="E115" s="3322" t="n"/>
      <c r="F115" s="26" t="n"/>
      <c r="G115" s="26" t="n"/>
      <c r="H115" s="26" t="n"/>
      <c r="I115" s="26" t="n"/>
      <c r="J115" s="26" t="n"/>
      <c r="K115" s="26" t="n"/>
      <c r="L115" s="26" t="n"/>
      <c r="M115" s="26" t="n"/>
      <c r="N115" s="26" t="n"/>
      <c r="O115" s="26" t="n"/>
      <c r="P115" s="1100" t="e">
        <f t="array" ref="P115">P114+1</f>
      </c>
      <c r="Q115" s="1100" t="e">
        <f t="array" ref="Q115">YEAR(R115)</f>
      </c>
      <c r="R115" s="4015" t="e">
        <f t="array" ref="R115">EDATE($R$9,P115)</f>
      </c>
      <c r="S115" s="1100" t="e">
        <f t="array" ref="S115">P115</f>
      </c>
      <c r="T115" s="429" t="e">
        <f t="array" ref="T115">IF(P115&lt;$E$26,"Pre-Development",IF(AND(P115&gt;=$E$26,P115&lt;=$H$26),"Construction",IF(P115='Assumptions'!$T$110,"Terminal Sale","Operating")))</f>
      </c>
      <c r="U115" s="26" t="n"/>
      <c r="V115" s="26" t="n">
        <f t="array" ref="V115">V114</f>
        <v>9</v>
      </c>
      <c r="W115" s="26" t="n"/>
      <c r="X115" s="26" t="n"/>
      <c r="Y115" s="26" t="n"/>
      <c r="Z115" s="26" t="n"/>
      <c r="AA115" s="26" t="n"/>
      <c r="AB115" s="26" t="n"/>
      <c r="AC115" s="26" t="n"/>
      <c r="AD115" s="26" t="n"/>
      <c r="AE115" s="26" t="n"/>
      <c r="AF115" s="26" t="n"/>
      <c r="AG115" s="26" t="n"/>
      <c r="AH115" s="26" t="n"/>
      <c r="AI115" s="26" t="n"/>
      <c r="AJ115" s="26" t="n"/>
      <c r="AK115" s="26" t="n"/>
      <c r="AL115" s="26" t="n"/>
      <c r="AM115" s="26" t="n"/>
      <c r="AN115" s="26" t="n"/>
      <c r="AO115" s="26" t="n"/>
      <c r="AP115" s="26" t="n"/>
      <c r="AQ115" s="26" t="n"/>
      <c r="AR115" s="26" t="n"/>
      <c r="AS115" s="26" t="n"/>
      <c r="AT115" s="26" t="n"/>
      <c r="AU115" s="27" t="n"/>
    </row>
    <row r="116" s="3154" customFormat="1" ht="13.5" customHeight="1">
      <c r="A116" s="627" t="n"/>
      <c r="B116" s="26" t="n"/>
      <c r="C116" s="26" t="n"/>
      <c r="D116" s="26" t="n"/>
      <c r="E116" s="3322" t="n"/>
      <c r="F116" s="26" t="n"/>
      <c r="G116" s="26" t="n"/>
      <c r="H116" s="26" t="n"/>
      <c r="I116" s="26" t="n"/>
      <c r="J116" s="26" t="n"/>
      <c r="K116" s="26" t="n"/>
      <c r="L116" s="26" t="n"/>
      <c r="M116" s="26" t="n"/>
      <c r="N116" s="26" t="n"/>
      <c r="O116" s="26" t="n"/>
      <c r="P116" s="1100" t="e">
        <f t="array" ref="P116">P115+1</f>
      </c>
      <c r="Q116" s="1100" t="e">
        <f t="array" ref="Q116">YEAR(R116)</f>
      </c>
      <c r="R116" s="4015" t="e">
        <f t="array" ref="R116">EDATE($R$9,P116)</f>
      </c>
      <c r="S116" s="1100" t="e">
        <f t="array" ref="S116">P116</f>
      </c>
      <c r="T116" s="429" t="e">
        <f t="array" ref="T116">IF(P116&lt;$E$26,"Pre-Development",IF(AND(P116&gt;=$E$26,P116&lt;=$H$26),"Construction",IF(P116='Assumptions'!$T$110,"Terminal Sale","Operating")))</f>
      </c>
      <c r="U116" s="26" t="n"/>
      <c r="V116" s="26" t="n">
        <f t="array" ref="V116">V115</f>
        <v>9</v>
      </c>
      <c r="W116" s="26" t="n"/>
      <c r="X116" s="26" t="n"/>
      <c r="Y116" s="26" t="n"/>
      <c r="Z116" s="26" t="n"/>
      <c r="AA116" s="26" t="n"/>
      <c r="AB116" s="26" t="n"/>
      <c r="AC116" s="26" t="n"/>
      <c r="AD116" s="26" t="n"/>
      <c r="AE116" s="26" t="n"/>
      <c r="AF116" s="26" t="n"/>
      <c r="AG116" s="26" t="n"/>
      <c r="AH116" s="26" t="n"/>
      <c r="AI116" s="26" t="n"/>
      <c r="AJ116" s="26" t="n"/>
      <c r="AK116" s="26" t="n"/>
      <c r="AL116" s="26" t="n"/>
      <c r="AM116" s="26" t="n"/>
      <c r="AN116" s="26" t="n"/>
      <c r="AO116" s="26" t="n"/>
      <c r="AP116" s="26" t="n"/>
      <c r="AQ116" s="26" t="n"/>
      <c r="AR116" s="26" t="n"/>
      <c r="AS116" s="26" t="n"/>
      <c r="AT116" s="26" t="n"/>
      <c r="AU116" s="27" t="n"/>
    </row>
    <row r="117" s="3154" customFormat="1" ht="13.5" customHeight="1">
      <c r="A117" s="627" t="n"/>
      <c r="B117" s="26" t="n"/>
      <c r="C117" s="26" t="n"/>
      <c r="D117" s="26" t="n"/>
      <c r="E117" s="3322" t="n"/>
      <c r="F117" s="26" t="n"/>
      <c r="G117" s="26" t="n"/>
      <c r="H117" s="26" t="n"/>
      <c r="I117" s="26" t="n"/>
      <c r="J117" s="26" t="n"/>
      <c r="K117" s="26" t="n"/>
      <c r="L117" s="26" t="n"/>
      <c r="M117" s="26" t="n"/>
      <c r="N117" s="26" t="n"/>
      <c r="O117" s="26" t="n"/>
      <c r="P117" s="1100" t="e">
        <f t="array" ref="P117">P116+1</f>
      </c>
      <c r="Q117" s="1100" t="e">
        <f t="array" ref="Q117">YEAR(R117)</f>
      </c>
      <c r="R117" s="4015" t="e">
        <f t="array" ref="R117">EDATE($R$9,P117)</f>
      </c>
      <c r="S117" s="1100" t="e">
        <f t="array" ref="S117">P117</f>
      </c>
      <c r="T117" s="429" t="e">
        <f t="array" ref="T117">IF(P117&lt;$E$26,"Pre-Development",IF(AND(P117&gt;=$E$26,P117&lt;=$H$26),"Construction",IF(P117='Assumptions'!$T$110,"Terminal Sale","Operating")))</f>
      </c>
      <c r="U117" s="26" t="n"/>
      <c r="V117" s="26" t="n">
        <f t="array" ref="V117">V116+1</f>
        <v>10</v>
      </c>
      <c r="W117" s="26" t="n"/>
      <c r="X117" s="26" t="n"/>
      <c r="Y117" s="26" t="n"/>
      <c r="Z117" s="26" t="n"/>
      <c r="AA117" s="26" t="n"/>
      <c r="AB117" s="26" t="n"/>
      <c r="AC117" s="26" t="n"/>
      <c r="AD117" s="26" t="n"/>
      <c r="AE117" s="26" t="n"/>
      <c r="AF117" s="26" t="n"/>
      <c r="AG117" s="26" t="n"/>
      <c r="AH117" s="26" t="n"/>
      <c r="AI117" s="26" t="n"/>
      <c r="AJ117" s="26" t="n"/>
      <c r="AK117" s="26" t="n"/>
      <c r="AL117" s="26" t="n"/>
      <c r="AM117" s="26" t="n"/>
      <c r="AN117" s="26" t="n"/>
      <c r="AO117" s="26" t="n"/>
      <c r="AP117" s="26" t="n"/>
      <c r="AQ117" s="26" t="n"/>
      <c r="AR117" s="26" t="n"/>
      <c r="AS117" s="26" t="n"/>
      <c r="AT117" s="26" t="n"/>
      <c r="AU117" s="27" t="n"/>
    </row>
    <row r="118" s="3154" customFormat="1" ht="13.5" customHeight="1">
      <c r="A118" s="627" t="n"/>
      <c r="B118" s="26" t="n"/>
      <c r="C118" s="26" t="n"/>
      <c r="D118" s="26" t="n"/>
      <c r="E118" s="3322" t="n"/>
      <c r="F118" s="26" t="n"/>
      <c r="G118" s="26" t="n"/>
      <c r="H118" s="26" t="n"/>
      <c r="I118" s="26" t="n"/>
      <c r="J118" s="26" t="n"/>
      <c r="K118" s="26" t="n"/>
      <c r="L118" s="26" t="n"/>
      <c r="M118" s="26" t="n"/>
      <c r="N118" s="26" t="n"/>
      <c r="O118" s="26" t="n"/>
      <c r="P118" s="1100" t="e">
        <f t="array" ref="P118">P117+1</f>
      </c>
      <c r="Q118" s="1100" t="e">
        <f t="array" ref="Q118">YEAR(R118)</f>
      </c>
      <c r="R118" s="4015" t="e">
        <f t="array" ref="R118">EDATE($R$9,P118)</f>
      </c>
      <c r="S118" s="1100" t="e">
        <f t="array" ref="S118">P118</f>
      </c>
      <c r="T118" s="429" t="e">
        <f t="array" ref="T118">IF(P118&lt;$E$26,"Pre-Development",IF(AND(P118&gt;=$E$26,P118&lt;=$H$26),"Construction",IF(P118='Assumptions'!$T$110,"Terminal Sale","Operating")))</f>
      </c>
      <c r="U118" s="26" t="n"/>
      <c r="V118" s="26" t="n">
        <f t="array" ref="V118">V117</f>
        <v>10</v>
      </c>
      <c r="W118" s="26" t="n"/>
      <c r="X118" s="26" t="n"/>
      <c r="Y118" s="26" t="n"/>
      <c r="Z118" s="26" t="n"/>
      <c r="AA118" s="26" t="n"/>
      <c r="AB118" s="26" t="n"/>
      <c r="AC118" s="26" t="n"/>
      <c r="AD118" s="26" t="n"/>
      <c r="AE118" s="26" t="n"/>
      <c r="AF118" s="26" t="n"/>
      <c r="AG118" s="26" t="n"/>
      <c r="AH118" s="26" t="n"/>
      <c r="AI118" s="26" t="n"/>
      <c r="AJ118" s="26" t="n"/>
      <c r="AK118" s="26" t="n"/>
      <c r="AL118" s="26" t="n"/>
      <c r="AM118" s="26" t="n"/>
      <c r="AN118" s="26" t="n"/>
      <c r="AO118" s="26" t="n"/>
      <c r="AP118" s="26" t="n"/>
      <c r="AQ118" s="26" t="n"/>
      <c r="AR118" s="26" t="n"/>
      <c r="AS118" s="26" t="n"/>
      <c r="AT118" s="26" t="n"/>
      <c r="AU118" s="27" t="n"/>
    </row>
    <row r="119" s="3154" customFormat="1" ht="13.5" customHeight="1">
      <c r="A119" s="627" t="n"/>
      <c r="B119" s="26" t="n"/>
      <c r="C119" s="26" t="n"/>
      <c r="D119" s="26" t="n"/>
      <c r="E119" s="3322" t="n"/>
      <c r="F119" s="26" t="n"/>
      <c r="G119" s="26" t="n"/>
      <c r="H119" s="26" t="n"/>
      <c r="I119" s="26" t="n"/>
      <c r="J119" s="26" t="n"/>
      <c r="K119" s="26" t="n"/>
      <c r="L119" s="26" t="n"/>
      <c r="M119" s="26" t="n"/>
      <c r="N119" s="26" t="n"/>
      <c r="O119" s="26" t="n"/>
      <c r="P119" s="1100" t="e">
        <f t="array" ref="P119">P118+1</f>
      </c>
      <c r="Q119" s="1100" t="e">
        <f t="array" ref="Q119">YEAR(R119)</f>
      </c>
      <c r="R119" s="4015" t="e">
        <f t="array" ref="R119">EDATE($R$9,P119)</f>
      </c>
      <c r="S119" s="1100" t="e">
        <f t="array" ref="S119">P119</f>
      </c>
      <c r="T119" s="429" t="e">
        <f t="array" ref="T119">IF(P119&lt;$E$26,"Pre-Development",IF(AND(P119&gt;=$E$26,P119&lt;=$H$26),"Construction",IF(P119='Assumptions'!$T$110,"Terminal Sale","Operating")))</f>
      </c>
      <c r="U119" s="26" t="n"/>
      <c r="V119" s="26" t="n">
        <f t="array" ref="V119">V118</f>
        <v>10</v>
      </c>
      <c r="W119" s="26" t="n"/>
      <c r="X119" s="26" t="n"/>
      <c r="Y119" s="26" t="n"/>
      <c r="Z119" s="26" t="n"/>
      <c r="AA119" s="26" t="n"/>
      <c r="AB119" s="26" t="n"/>
      <c r="AC119" s="26" t="n"/>
      <c r="AD119" s="26" t="n"/>
      <c r="AE119" s="26" t="n"/>
      <c r="AF119" s="26" t="n"/>
      <c r="AG119" s="26" t="n"/>
      <c r="AH119" s="26" t="n"/>
      <c r="AI119" s="26" t="n"/>
      <c r="AJ119" s="26" t="n"/>
      <c r="AK119" s="26" t="n"/>
      <c r="AL119" s="26" t="n"/>
      <c r="AM119" s="26" t="n"/>
      <c r="AN119" s="26" t="n"/>
      <c r="AO119" s="26" t="n"/>
      <c r="AP119" s="26" t="n"/>
      <c r="AQ119" s="26" t="n"/>
      <c r="AR119" s="26" t="n"/>
      <c r="AS119" s="26" t="n"/>
      <c r="AT119" s="26" t="n"/>
      <c r="AU119" s="27" t="n"/>
    </row>
    <row r="120" s="3154" customFormat="1" ht="13.5" customHeight="1">
      <c r="A120" s="627" t="n"/>
      <c r="B120" s="26" t="n"/>
      <c r="C120" s="26" t="n"/>
      <c r="D120" s="26" t="n"/>
      <c r="E120" s="3322" t="n"/>
      <c r="F120" s="26" t="n"/>
      <c r="G120" s="26" t="n"/>
      <c r="H120" s="26" t="n"/>
      <c r="I120" s="26" t="n"/>
      <c r="J120" s="26" t="n"/>
      <c r="K120" s="26" t="n"/>
      <c r="L120" s="26" t="n"/>
      <c r="M120" s="26" t="n"/>
      <c r="N120" s="26" t="n"/>
      <c r="O120" s="26" t="n"/>
      <c r="P120" s="1100" t="e">
        <f t="array" ref="P120">P119+1</f>
      </c>
      <c r="Q120" s="1100" t="e">
        <f t="array" ref="Q120">YEAR(R120)</f>
      </c>
      <c r="R120" s="4015" t="e">
        <f t="array" ref="R120">EDATE($R$9,P120)</f>
      </c>
      <c r="S120" s="1100" t="e">
        <f t="array" ref="S120">P120</f>
      </c>
      <c r="T120" s="429" t="e">
        <f t="array" ref="T120">IF(P120&lt;$E$26,"Pre-Development",IF(AND(P120&gt;=$E$26,P120&lt;=$H$26),"Construction",IF(P120='Assumptions'!$T$110,"Terminal Sale","Operating")))</f>
      </c>
      <c r="U120" s="26" t="n"/>
      <c r="V120" s="26" t="n">
        <f t="array" ref="V120">V119</f>
        <v>10</v>
      </c>
      <c r="W120" s="26" t="n"/>
      <c r="X120" s="26" t="n"/>
      <c r="Y120" s="26" t="n"/>
      <c r="Z120" s="26" t="n"/>
      <c r="AA120" s="26" t="n"/>
      <c r="AB120" s="26" t="n"/>
      <c r="AC120" s="26" t="n"/>
      <c r="AD120" s="26" t="n"/>
      <c r="AE120" s="26" t="n"/>
      <c r="AF120" s="26" t="n"/>
      <c r="AG120" s="26" t="n"/>
      <c r="AH120" s="26" t="n"/>
      <c r="AI120" s="26" t="n"/>
      <c r="AJ120" s="26" t="n"/>
      <c r="AK120" s="26" t="n"/>
      <c r="AL120" s="26" t="n"/>
      <c r="AM120" s="26" t="n"/>
      <c r="AN120" s="26" t="n"/>
      <c r="AO120" s="26" t="n"/>
      <c r="AP120" s="26" t="n"/>
      <c r="AQ120" s="26" t="n"/>
      <c r="AR120" s="26" t="n"/>
      <c r="AS120" s="26" t="n"/>
      <c r="AT120" s="26" t="n"/>
      <c r="AU120" s="27" t="n"/>
    </row>
    <row r="121" s="3154" customFormat="1" ht="13.5" customHeight="1">
      <c r="A121" s="627" t="n"/>
      <c r="B121" s="26" t="n"/>
      <c r="C121" s="26" t="n"/>
      <c r="D121" s="26" t="n"/>
      <c r="E121" s="3322" t="n"/>
      <c r="F121" s="26" t="n"/>
      <c r="G121" s="26" t="n"/>
      <c r="H121" s="26" t="n"/>
      <c r="I121" s="26" t="n"/>
      <c r="J121" s="26" t="n"/>
      <c r="K121" s="26" t="n"/>
      <c r="L121" s="26" t="n"/>
      <c r="M121" s="26" t="n"/>
      <c r="N121" s="26" t="n"/>
      <c r="O121" s="26" t="n"/>
      <c r="P121" s="1100" t="e">
        <f t="array" ref="P121">P120+1</f>
      </c>
      <c r="Q121" s="1100" t="e">
        <f t="array" ref="Q121">YEAR(R121)</f>
      </c>
      <c r="R121" s="4015" t="e">
        <f t="array" ref="R121">EDATE($R$9,P121)</f>
      </c>
      <c r="S121" s="1100" t="e">
        <f t="array" ref="S121">P121</f>
      </c>
      <c r="T121" s="429" t="e">
        <f t="array" ref="T121">IF(P121&lt;$E$26,"Pre-Development",IF(AND(P121&gt;=$E$26,P121&lt;=$H$26),"Construction",IF(P121='Assumptions'!$T$110,"Terminal Sale","Operating")))</f>
      </c>
      <c r="U121" s="26" t="n"/>
      <c r="V121" s="26" t="n">
        <f t="array" ref="V121">V120</f>
        <v>10</v>
      </c>
      <c r="W121" s="26" t="n"/>
      <c r="X121" s="26" t="n"/>
      <c r="Y121" s="26" t="n"/>
      <c r="Z121" s="26" t="n"/>
      <c r="AA121" s="26" t="n"/>
      <c r="AB121" s="26" t="n"/>
      <c r="AC121" s="26" t="n"/>
      <c r="AD121" s="26" t="n"/>
      <c r="AE121" s="26" t="n"/>
      <c r="AF121" s="26" t="n"/>
      <c r="AG121" s="26" t="n"/>
      <c r="AH121" s="26" t="n"/>
      <c r="AI121" s="26" t="n"/>
      <c r="AJ121" s="26" t="n"/>
      <c r="AK121" s="26" t="n"/>
      <c r="AL121" s="26" t="n"/>
      <c r="AM121" s="26" t="n"/>
      <c r="AN121" s="26" t="n"/>
      <c r="AO121" s="26" t="n"/>
      <c r="AP121" s="26" t="n"/>
      <c r="AQ121" s="26" t="n"/>
      <c r="AR121" s="26" t="n"/>
      <c r="AS121" s="26" t="n"/>
      <c r="AT121" s="26" t="n"/>
      <c r="AU121" s="27" t="n"/>
    </row>
    <row r="122" s="3154" customFormat="1" ht="13.5" customHeight="1">
      <c r="A122" s="627" t="n"/>
      <c r="B122" s="26" t="n"/>
      <c r="C122" s="26" t="n"/>
      <c r="D122" s="26" t="n"/>
      <c r="E122" s="3322" t="n"/>
      <c r="F122" s="26" t="n"/>
      <c r="G122" s="26" t="n"/>
      <c r="H122" s="26" t="n"/>
      <c r="I122" s="26" t="n"/>
      <c r="J122" s="26" t="n"/>
      <c r="K122" s="26" t="n"/>
      <c r="L122" s="26" t="n"/>
      <c r="M122" s="26" t="n"/>
      <c r="N122" s="26" t="n"/>
      <c r="O122" s="26" t="n"/>
      <c r="P122" s="1100" t="e">
        <f t="array" ref="P122">P121+1</f>
      </c>
      <c r="Q122" s="1100" t="e">
        <f t="array" ref="Q122">YEAR(R122)</f>
      </c>
      <c r="R122" s="4015" t="e">
        <f t="array" ref="R122">EDATE($R$9,P122)</f>
      </c>
      <c r="S122" s="1100" t="e">
        <f t="array" ref="S122">P122</f>
      </c>
      <c r="T122" s="429" t="e">
        <f t="array" ref="T122">IF(P122&lt;$E$26,"Pre-Development",IF(AND(P122&gt;=$E$26,P122&lt;=$H$26),"Construction",IF(P122='Assumptions'!$T$110,"Terminal Sale","Operating")))</f>
      </c>
      <c r="U122" s="26" t="n"/>
      <c r="V122" s="26" t="n">
        <f t="array" ref="V122">V121</f>
        <v>10</v>
      </c>
      <c r="W122" s="26" t="n"/>
      <c r="X122" s="26" t="n"/>
      <c r="Y122" s="26" t="n"/>
      <c r="Z122" s="26" t="n"/>
      <c r="AA122" s="26" t="n"/>
      <c r="AB122" s="26" t="n"/>
      <c r="AC122" s="26" t="n"/>
      <c r="AD122" s="26" t="n"/>
      <c r="AE122" s="26" t="n"/>
      <c r="AF122" s="26" t="n"/>
      <c r="AG122" s="26" t="n"/>
      <c r="AH122" s="26" t="n"/>
      <c r="AI122" s="26" t="n"/>
      <c r="AJ122" s="26" t="n"/>
      <c r="AK122" s="26" t="n"/>
      <c r="AL122" s="26" t="n"/>
      <c r="AM122" s="26" t="n"/>
      <c r="AN122" s="26" t="n"/>
      <c r="AO122" s="26" t="n"/>
      <c r="AP122" s="26" t="n"/>
      <c r="AQ122" s="26" t="n"/>
      <c r="AR122" s="26" t="n"/>
      <c r="AS122" s="26" t="n"/>
      <c r="AT122" s="26" t="n"/>
      <c r="AU122" s="27" t="n"/>
    </row>
    <row r="123" s="3154" customFormat="1" ht="13.5" customHeight="1">
      <c r="A123" s="627" t="n"/>
      <c r="B123" s="26" t="n"/>
      <c r="C123" s="26" t="n"/>
      <c r="D123" s="26" t="n"/>
      <c r="E123" s="3322" t="n"/>
      <c r="F123" s="26" t="n"/>
      <c r="G123" s="26" t="n"/>
      <c r="H123" s="26" t="n"/>
      <c r="I123" s="26" t="n"/>
      <c r="J123" s="26" t="n"/>
      <c r="K123" s="26" t="n"/>
      <c r="L123" s="26" t="n"/>
      <c r="M123" s="26" t="n"/>
      <c r="N123" s="26" t="n"/>
      <c r="O123" s="26" t="n"/>
      <c r="P123" s="1100" t="e">
        <f t="array" ref="P123">P122+1</f>
      </c>
      <c r="Q123" s="1100" t="e">
        <f t="array" ref="Q123">YEAR(R123)</f>
      </c>
      <c r="R123" s="4015" t="e">
        <f t="array" ref="R123">EDATE($R$9,P123)</f>
      </c>
      <c r="S123" s="1100" t="e">
        <f t="array" ref="S123">P123</f>
      </c>
      <c r="T123" s="429" t="e">
        <f t="array" ref="T123">IF(P123&lt;$E$26,"Pre-Development",IF(AND(P123&gt;=$E$26,P123&lt;=$H$26),"Construction",IF(P123='Assumptions'!$T$110,"Terminal Sale","Operating")))</f>
      </c>
      <c r="U123" s="26" t="n"/>
      <c r="V123" s="26" t="n">
        <f t="array" ref="V123">V122</f>
        <v>10</v>
      </c>
      <c r="W123" s="26" t="n"/>
      <c r="X123" s="26" t="n"/>
      <c r="Y123" s="26" t="n"/>
      <c r="Z123" s="26" t="n"/>
      <c r="AA123" s="26" t="n"/>
      <c r="AB123" s="26" t="n"/>
      <c r="AC123" s="26" t="n"/>
      <c r="AD123" s="26" t="n"/>
      <c r="AE123" s="26" t="n"/>
      <c r="AF123" s="26" t="n"/>
      <c r="AG123" s="26" t="n"/>
      <c r="AH123" s="26" t="n"/>
      <c r="AI123" s="26" t="n"/>
      <c r="AJ123" s="26" t="n"/>
      <c r="AK123" s="26" t="n"/>
      <c r="AL123" s="26" t="n"/>
      <c r="AM123" s="26" t="n"/>
      <c r="AN123" s="26" t="n"/>
      <c r="AO123" s="26" t="n"/>
      <c r="AP123" s="26" t="n"/>
      <c r="AQ123" s="26" t="n"/>
      <c r="AR123" s="26" t="n"/>
      <c r="AS123" s="26" t="n"/>
      <c r="AT123" s="26" t="n"/>
      <c r="AU123" s="27" t="n"/>
    </row>
    <row r="124" s="3154" customFormat="1" ht="13.5" customHeight="1">
      <c r="A124" s="627" t="n"/>
      <c r="B124" s="26" t="n"/>
      <c r="C124" s="26" t="n"/>
      <c r="D124" s="26" t="n"/>
      <c r="E124" s="3322" t="n"/>
      <c r="F124" s="26" t="n"/>
      <c r="G124" s="26" t="n"/>
      <c r="H124" s="26" t="n"/>
      <c r="I124" s="26" t="n"/>
      <c r="J124" s="26" t="n"/>
      <c r="K124" s="26" t="n"/>
      <c r="L124" s="26" t="n"/>
      <c r="M124" s="26" t="n"/>
      <c r="N124" s="26" t="n"/>
      <c r="O124" s="26" t="n"/>
      <c r="P124" s="1100" t="e">
        <f t="array" ref="P124">P123+1</f>
      </c>
      <c r="Q124" s="1100" t="e">
        <f t="array" ref="Q124">YEAR(R124)</f>
      </c>
      <c r="R124" s="4015" t="e">
        <f t="array" ref="R124">EDATE($R$9,P124)</f>
      </c>
      <c r="S124" s="1100" t="e">
        <f t="array" ref="S124">P124</f>
      </c>
      <c r="T124" s="429" t="e">
        <f t="array" ref="T124">IF(P124&lt;$E$26,"Pre-Development",IF(AND(P124&gt;=$E$26,P124&lt;=$H$26),"Construction",IF(P124='Assumptions'!$T$110,"Terminal Sale","Operating")))</f>
      </c>
      <c r="U124" s="26" t="n"/>
      <c r="V124" s="26" t="n">
        <f t="array" ref="V124">V123</f>
        <v>10</v>
      </c>
      <c r="W124" s="26" t="n"/>
      <c r="X124" s="26" t="n"/>
      <c r="Y124" s="26" t="n"/>
      <c r="Z124" s="26" t="n"/>
      <c r="AA124" s="26" t="n"/>
      <c r="AB124" s="26" t="n"/>
      <c r="AC124" s="26" t="n"/>
      <c r="AD124" s="26" t="n"/>
      <c r="AE124" s="26" t="n"/>
      <c r="AF124" s="26" t="n"/>
      <c r="AG124" s="26" t="n"/>
      <c r="AH124" s="26" t="n"/>
      <c r="AI124" s="26" t="n"/>
      <c r="AJ124" s="26" t="n"/>
      <c r="AK124" s="26" t="n"/>
      <c r="AL124" s="26" t="n"/>
      <c r="AM124" s="26" t="n"/>
      <c r="AN124" s="26" t="n"/>
      <c r="AO124" s="26" t="n"/>
      <c r="AP124" s="26" t="n"/>
      <c r="AQ124" s="26" t="n"/>
      <c r="AR124" s="26" t="n"/>
      <c r="AS124" s="26" t="n"/>
      <c r="AT124" s="26" t="n"/>
      <c r="AU124" s="27" t="n"/>
    </row>
    <row r="125" s="3154" customFormat="1" ht="13.5" customHeight="1">
      <c r="A125" s="627" t="n"/>
      <c r="B125" s="26" t="n"/>
      <c r="C125" s="26" t="n"/>
      <c r="D125" s="26" t="n"/>
      <c r="E125" s="3322" t="n"/>
      <c r="F125" s="26" t="n"/>
      <c r="G125" s="26" t="n"/>
      <c r="H125" s="26" t="n"/>
      <c r="I125" s="26" t="n"/>
      <c r="J125" s="26" t="n"/>
      <c r="K125" s="26" t="n"/>
      <c r="L125" s="26" t="n"/>
      <c r="M125" s="26" t="n"/>
      <c r="N125" s="26" t="n"/>
      <c r="O125" s="26" t="n"/>
      <c r="P125" s="1100" t="e">
        <f t="array" ref="P125">P124+1</f>
      </c>
      <c r="Q125" s="1100" t="e">
        <f t="array" ref="Q125">YEAR(R125)</f>
      </c>
      <c r="R125" s="4015" t="e">
        <f t="array" ref="R125">EDATE($R$9,P125)</f>
      </c>
      <c r="S125" s="1100" t="e">
        <f t="array" ref="S125">P125</f>
      </c>
      <c r="T125" s="429" t="e">
        <f t="array" ref="T125">IF(P125&lt;$E$26,"Pre-Development",IF(AND(P125&gt;=$E$26,P125&lt;=$H$26),"Construction",IF(P125='Assumptions'!$T$110,"Terminal Sale","Operating")))</f>
      </c>
      <c r="U125" s="26" t="n"/>
      <c r="V125" s="26" t="n">
        <f t="array" ref="V125">V124</f>
        <v>10</v>
      </c>
      <c r="W125" s="26" t="n"/>
      <c r="X125" s="26" t="n"/>
      <c r="Y125" s="26" t="n"/>
      <c r="Z125" s="26" t="n"/>
      <c r="AA125" s="26" t="n"/>
      <c r="AB125" s="26" t="n"/>
      <c r="AC125" s="26" t="n"/>
      <c r="AD125" s="26" t="n"/>
      <c r="AE125" s="26" t="n"/>
      <c r="AF125" s="26" t="n"/>
      <c r="AG125" s="26" t="n"/>
      <c r="AH125" s="26" t="n"/>
      <c r="AI125" s="26" t="n"/>
      <c r="AJ125" s="26" t="n"/>
      <c r="AK125" s="26" t="n"/>
      <c r="AL125" s="26" t="n"/>
      <c r="AM125" s="26" t="n"/>
      <c r="AN125" s="26" t="n"/>
      <c r="AO125" s="26" t="n"/>
      <c r="AP125" s="26" t="n"/>
      <c r="AQ125" s="26" t="n"/>
      <c r="AR125" s="26" t="n"/>
      <c r="AS125" s="26" t="n"/>
      <c r="AT125" s="26" t="n"/>
      <c r="AU125" s="27" t="n"/>
    </row>
    <row r="126" s="3154" customFormat="1" ht="13.5" customHeight="1">
      <c r="A126" s="627" t="n"/>
      <c r="B126" s="26" t="n"/>
      <c r="C126" s="26" t="n"/>
      <c r="D126" s="26" t="n"/>
      <c r="E126" s="3322" t="n"/>
      <c r="F126" s="26" t="n"/>
      <c r="G126" s="26" t="n"/>
      <c r="H126" s="26" t="n"/>
      <c r="I126" s="26" t="n"/>
      <c r="J126" s="26" t="n"/>
      <c r="K126" s="26" t="n"/>
      <c r="L126" s="26" t="n"/>
      <c r="M126" s="26" t="n"/>
      <c r="N126" s="26" t="n"/>
      <c r="O126" s="26" t="n"/>
      <c r="P126" s="1100" t="e">
        <f t="array" ref="P126">P125+1</f>
      </c>
      <c r="Q126" s="1100" t="e">
        <f t="array" ref="Q126">YEAR(R126)</f>
      </c>
      <c r="R126" s="4015" t="e">
        <f t="array" ref="R126">EDATE($R$9,P126)</f>
      </c>
      <c r="S126" s="1100" t="e">
        <f t="array" ref="S126">P126</f>
      </c>
      <c r="T126" s="429" t="e">
        <f t="array" ref="T126">IF(P126&lt;$E$26,"Pre-Development",IF(AND(P126&gt;=$E$26,P126&lt;=$H$26),"Construction",IF(P126='Assumptions'!$T$110,"Terminal Sale","Operating")))</f>
      </c>
      <c r="U126" s="26" t="n"/>
      <c r="V126" s="26" t="n">
        <f t="array" ref="V126">V125</f>
        <v>10</v>
      </c>
      <c r="W126" s="26" t="n"/>
      <c r="X126" s="26" t="n"/>
      <c r="Y126" s="26" t="n"/>
      <c r="Z126" s="26" t="n"/>
      <c r="AA126" s="26" t="n"/>
      <c r="AB126" s="26" t="n"/>
      <c r="AC126" s="26" t="n"/>
      <c r="AD126" s="26" t="n"/>
      <c r="AE126" s="26" t="n"/>
      <c r="AF126" s="26" t="n"/>
      <c r="AG126" s="26" t="n"/>
      <c r="AH126" s="26" t="n"/>
      <c r="AI126" s="26" t="n"/>
      <c r="AJ126" s="26" t="n"/>
      <c r="AK126" s="26" t="n"/>
      <c r="AL126" s="26" t="n"/>
      <c r="AM126" s="26" t="n"/>
      <c r="AN126" s="26" t="n"/>
      <c r="AO126" s="26" t="n"/>
      <c r="AP126" s="26" t="n"/>
      <c r="AQ126" s="26" t="n"/>
      <c r="AR126" s="26" t="n"/>
      <c r="AS126" s="26" t="n"/>
      <c r="AT126" s="26" t="n"/>
      <c r="AU126" s="27" t="n"/>
    </row>
    <row r="127" s="3154" customFormat="1" ht="13.5" customHeight="1">
      <c r="A127" s="627" t="n"/>
      <c r="B127" s="26" t="n"/>
      <c r="C127" s="26" t="n"/>
      <c r="D127" s="26" t="n"/>
      <c r="E127" s="3322" t="n"/>
      <c r="F127" s="26" t="n"/>
      <c r="G127" s="26" t="n"/>
      <c r="H127" s="26" t="n"/>
      <c r="I127" s="26" t="n"/>
      <c r="J127" s="26" t="n"/>
      <c r="K127" s="26" t="n"/>
      <c r="L127" s="26" t="n"/>
      <c r="M127" s="26" t="n"/>
      <c r="N127" s="26" t="n"/>
      <c r="O127" s="26" t="n"/>
      <c r="P127" s="1100" t="e">
        <f t="array" ref="P127">P126+1</f>
      </c>
      <c r="Q127" s="1100" t="e">
        <f t="array" ref="Q127">YEAR(R127)</f>
      </c>
      <c r="R127" s="4015" t="e">
        <f t="array" ref="R127">EDATE($R$9,P127)</f>
      </c>
      <c r="S127" s="1100" t="e">
        <f t="array" ref="S127">P127</f>
      </c>
      <c r="T127" s="429" t="e">
        <f t="array" ref="T127">IF(P127&lt;$E$26,"Pre-Development",IF(AND(P127&gt;=$E$26,P127&lt;=$H$26),"Construction",IF(P127='Assumptions'!$T$110,"Terminal Sale","Operating")))</f>
      </c>
      <c r="U127" s="26" t="n"/>
      <c r="V127" s="26" t="n">
        <f t="array" ref="V127">V126</f>
        <v>10</v>
      </c>
      <c r="W127" s="26" t="n"/>
      <c r="X127" s="26" t="n"/>
      <c r="Y127" s="26" t="n"/>
      <c r="Z127" s="26" t="n"/>
      <c r="AA127" s="26" t="n"/>
      <c r="AB127" s="26" t="n"/>
      <c r="AC127" s="26" t="n"/>
      <c r="AD127" s="26" t="n"/>
      <c r="AE127" s="26" t="n"/>
      <c r="AF127" s="26" t="n"/>
      <c r="AG127" s="26" t="n"/>
      <c r="AH127" s="26" t="n"/>
      <c r="AI127" s="26" t="n"/>
      <c r="AJ127" s="26" t="n"/>
      <c r="AK127" s="26" t="n"/>
      <c r="AL127" s="26" t="n"/>
      <c r="AM127" s="26" t="n"/>
      <c r="AN127" s="26" t="n"/>
      <c r="AO127" s="26" t="n"/>
      <c r="AP127" s="26" t="n"/>
      <c r="AQ127" s="26" t="n"/>
      <c r="AR127" s="26" t="n"/>
      <c r="AS127" s="26" t="n"/>
      <c r="AT127" s="26" t="n"/>
      <c r="AU127" s="27" t="n"/>
    </row>
    <row r="128" s="3154" customFormat="1" ht="13.5" customHeight="1">
      <c r="A128" s="627" t="n"/>
      <c r="B128" s="26" t="n"/>
      <c r="C128" s="26" t="n"/>
      <c r="D128" s="26" t="n"/>
      <c r="E128" s="3322" t="n"/>
      <c r="F128" s="26" t="n"/>
      <c r="G128" s="26" t="n"/>
      <c r="H128" s="26" t="n"/>
      <c r="I128" s="26" t="n"/>
      <c r="J128" s="26" t="n"/>
      <c r="K128" s="26" t="n"/>
      <c r="L128" s="26" t="n"/>
      <c r="M128" s="26" t="n"/>
      <c r="N128" s="26" t="n"/>
      <c r="O128" s="26" t="n"/>
      <c r="P128" s="1100" t="e">
        <f t="array" ref="P128">P127+1</f>
      </c>
      <c r="Q128" s="1100" t="e">
        <f t="array" ref="Q128">YEAR(R128)</f>
      </c>
      <c r="R128" s="4015" t="e">
        <f t="array" ref="R128">EDATE($R$9,P128)</f>
      </c>
      <c r="S128" s="1100" t="e">
        <f t="array" ref="S128">P128</f>
      </c>
      <c r="T128" s="429" t="e">
        <f t="array" ref="T128">IF(P128&lt;$E$26,"Pre-Development",IF(AND(P128&gt;=$E$26,P128&lt;=$H$26),"Construction",IF(P128='Assumptions'!$T$110,"Terminal Sale","Operating")))</f>
      </c>
      <c r="U128" s="26" t="n"/>
      <c r="V128" s="26" t="n">
        <f t="array" ref="V128">V127</f>
        <v>10</v>
      </c>
      <c r="W128" s="26" t="n"/>
      <c r="X128" s="26" t="n"/>
      <c r="Y128" s="26" t="n"/>
      <c r="Z128" s="26" t="n"/>
      <c r="AA128" s="26" t="n"/>
      <c r="AB128" s="26" t="n"/>
      <c r="AC128" s="26" t="n"/>
      <c r="AD128" s="26" t="n"/>
      <c r="AE128" s="26" t="n"/>
      <c r="AF128" s="26" t="n"/>
      <c r="AG128" s="26" t="n"/>
      <c r="AH128" s="26" t="n"/>
      <c r="AI128" s="26" t="n"/>
      <c r="AJ128" s="26" t="n"/>
      <c r="AK128" s="26" t="n"/>
      <c r="AL128" s="26" t="n"/>
      <c r="AM128" s="26" t="n"/>
      <c r="AN128" s="26" t="n"/>
      <c r="AO128" s="26" t="n"/>
      <c r="AP128" s="26" t="n"/>
      <c r="AQ128" s="26" t="n"/>
      <c r="AR128" s="26" t="n"/>
      <c r="AS128" s="26" t="n"/>
      <c r="AT128" s="26" t="n"/>
      <c r="AU128" s="27" t="n"/>
    </row>
    <row r="129" s="3154" customFormat="1" ht="13.5" customHeight="1">
      <c r="A129" s="627" t="n"/>
      <c r="B129" s="26" t="n"/>
      <c r="C129" s="26" t="n"/>
      <c r="D129" s="26" t="n"/>
      <c r="E129" s="3322" t="n"/>
      <c r="F129" s="26" t="n"/>
      <c r="G129" s="26" t="n"/>
      <c r="H129" s="26" t="n"/>
      <c r="I129" s="26" t="n"/>
      <c r="J129" s="26" t="n"/>
      <c r="K129" s="26" t="n"/>
      <c r="L129" s="26" t="n"/>
      <c r="M129" s="26" t="n"/>
      <c r="N129" s="26" t="n"/>
      <c r="O129" s="26" t="n"/>
      <c r="P129" s="1100" t="e">
        <f t="array" ref="P129">P128+1</f>
      </c>
      <c r="Q129" s="1100" t="e">
        <f t="array" ref="Q129">YEAR(R129)</f>
      </c>
      <c r="R129" s="4015" t="e">
        <f t="array" ref="R129">EDATE($R$9,P129)</f>
      </c>
      <c r="S129" s="1100" t="e">
        <f t="array" ref="S129">P129</f>
      </c>
      <c r="T129" s="429" t="e">
        <f t="array" ref="T129">IF(P129&lt;$E$26,"Pre-Development",IF(AND(P129&gt;=$E$26,P129&lt;=$H$26),"Construction",IF(P129='Assumptions'!$T$110,"Terminal Sale","Operating")))</f>
      </c>
      <c r="U129" s="26" t="n"/>
      <c r="V129" s="26" t="n">
        <f t="array" ref="V129">V128+1</f>
        <v>11</v>
      </c>
      <c r="W129" s="26" t="n"/>
      <c r="X129" s="26" t="n"/>
      <c r="Y129" s="26" t="n"/>
      <c r="Z129" s="26" t="n"/>
      <c r="AA129" s="26" t="n"/>
      <c r="AB129" s="26" t="n"/>
      <c r="AC129" s="26" t="n"/>
      <c r="AD129" s="26" t="n"/>
      <c r="AE129" s="26" t="n"/>
      <c r="AF129" s="26" t="n"/>
      <c r="AG129" s="26" t="n"/>
      <c r="AH129" s="26" t="n"/>
      <c r="AI129" s="26" t="n"/>
      <c r="AJ129" s="26" t="n"/>
      <c r="AK129" s="26" t="n"/>
      <c r="AL129" s="26" t="n"/>
      <c r="AM129" s="26" t="n"/>
      <c r="AN129" s="26" t="n"/>
      <c r="AO129" s="26" t="n"/>
      <c r="AP129" s="26" t="n"/>
      <c r="AQ129" s="26" t="n"/>
      <c r="AR129" s="26" t="n"/>
      <c r="AS129" s="26" t="n"/>
      <c r="AT129" s="26" t="n"/>
      <c r="AU129" s="27" t="n"/>
    </row>
    <row r="130" s="3154" customFormat="1" ht="13.5" customHeight="1">
      <c r="A130" s="627" t="n"/>
      <c r="B130" s="26" t="n"/>
      <c r="C130" s="26" t="n"/>
      <c r="D130" s="26" t="n"/>
      <c r="E130" s="3322" t="n"/>
      <c r="F130" s="26" t="n"/>
      <c r="G130" s="26" t="n"/>
      <c r="H130" s="26" t="n"/>
      <c r="I130" s="26" t="n"/>
      <c r="J130" s="26" t="n"/>
      <c r="K130" s="26" t="n"/>
      <c r="L130" s="26" t="n"/>
      <c r="M130" s="26" t="n"/>
      <c r="N130" s="26" t="n"/>
      <c r="O130" s="26" t="n"/>
      <c r="P130" s="1100" t="e">
        <f t="array" ref="P130">P129+1</f>
      </c>
      <c r="Q130" s="1100" t="e">
        <f t="array" ref="Q130">YEAR(R130)</f>
      </c>
      <c r="R130" s="4015" t="e">
        <f t="array" ref="R130">EDATE($R$9,P130)</f>
      </c>
      <c r="S130" s="1100" t="e">
        <f t="array" ref="S130">P130</f>
      </c>
      <c r="T130" s="429" t="e">
        <f t="array" ref="T130">IF(P130&lt;$E$26,"Pre-Development",IF(AND(P130&gt;=$E$26,P130&lt;=$H$26),"Construction",IF(P130='Assumptions'!$T$110,"Terminal Sale","Operating")))</f>
      </c>
      <c r="U130" s="26" t="n"/>
      <c r="V130" s="26" t="n">
        <f t="array" ref="V130">V129</f>
        <v>11</v>
      </c>
      <c r="W130" s="26" t="n"/>
      <c r="X130" s="26" t="n"/>
      <c r="Y130" s="26" t="n"/>
      <c r="Z130" s="26" t="n"/>
      <c r="AA130" s="26" t="n"/>
      <c r="AB130" s="26" t="n"/>
      <c r="AC130" s="26" t="n"/>
      <c r="AD130" s="26" t="n"/>
      <c r="AE130" s="26" t="n"/>
      <c r="AF130" s="26" t="n"/>
      <c r="AG130" s="26" t="n"/>
      <c r="AH130" s="26" t="n"/>
      <c r="AI130" s="26" t="n"/>
      <c r="AJ130" s="26" t="n"/>
      <c r="AK130" s="26" t="n"/>
      <c r="AL130" s="26" t="n"/>
      <c r="AM130" s="26" t="n"/>
      <c r="AN130" s="26" t="n"/>
      <c r="AO130" s="26" t="n"/>
      <c r="AP130" s="26" t="n"/>
      <c r="AQ130" s="26" t="n"/>
      <c r="AR130" s="26" t="n"/>
      <c r="AS130" s="26" t="n"/>
      <c r="AT130" s="26" t="n"/>
      <c r="AU130" s="27" t="n"/>
    </row>
    <row r="131" s="3154" customFormat="1" ht="13.5" customHeight="1">
      <c r="A131" s="627" t="n"/>
      <c r="B131" s="26" t="n"/>
      <c r="C131" s="26" t="n"/>
      <c r="D131" s="26" t="n"/>
      <c r="E131" s="3322" t="n"/>
      <c r="F131" s="26" t="n"/>
      <c r="G131" s="26" t="n"/>
      <c r="H131" s="26" t="n"/>
      <c r="I131" s="26" t="n"/>
      <c r="J131" s="26" t="n"/>
      <c r="K131" s="26" t="n"/>
      <c r="L131" s="26" t="n"/>
      <c r="M131" s="26" t="n"/>
      <c r="N131" s="26" t="n"/>
      <c r="O131" s="26" t="n"/>
      <c r="P131" s="1100" t="e">
        <f t="array" ref="P131">P130+1</f>
      </c>
      <c r="Q131" s="1100" t="e">
        <f t="array" ref="Q131">YEAR(R131)</f>
      </c>
      <c r="R131" s="4015" t="e">
        <f t="array" ref="R131">EDATE($R$9,P131)</f>
      </c>
      <c r="S131" s="1100" t="e">
        <f t="array" ref="S131">P131</f>
      </c>
      <c r="T131" s="429" t="e">
        <f t="array" ref="T131">IF(P131&lt;$E$26,"Pre-Development",IF(AND(P131&gt;=$E$26,P131&lt;=$H$26),"Construction",IF(P131='Assumptions'!$T$110,"Terminal Sale","Operating")))</f>
      </c>
      <c r="U131" s="26" t="n"/>
      <c r="V131" s="26" t="n">
        <f t="array" ref="V131">V130</f>
        <v>11</v>
      </c>
      <c r="W131" s="26" t="n"/>
      <c r="X131" s="26" t="n"/>
      <c r="Y131" s="26" t="n"/>
      <c r="Z131" s="26" t="n"/>
      <c r="AA131" s="26" t="n"/>
      <c r="AB131" s="26" t="n"/>
      <c r="AC131" s="26" t="n"/>
      <c r="AD131" s="26" t="n"/>
      <c r="AE131" s="26" t="n"/>
      <c r="AF131" s="26" t="n"/>
      <c r="AG131" s="26" t="n"/>
      <c r="AH131" s="26" t="n"/>
      <c r="AI131" s="26" t="n"/>
      <c r="AJ131" s="26" t="n"/>
      <c r="AK131" s="26" t="n"/>
      <c r="AL131" s="26" t="n"/>
      <c r="AM131" s="26" t="n"/>
      <c r="AN131" s="26" t="n"/>
      <c r="AO131" s="26" t="n"/>
      <c r="AP131" s="26" t="n"/>
      <c r="AQ131" s="26" t="n"/>
      <c r="AR131" s="26" t="n"/>
      <c r="AS131" s="26" t="n"/>
      <c r="AT131" s="26" t="n"/>
      <c r="AU131" s="27" t="n"/>
    </row>
    <row r="132" s="3154" customFormat="1" ht="13.5" customHeight="1">
      <c r="A132" s="627" t="n"/>
      <c r="B132" s="26" t="n"/>
      <c r="C132" s="26" t="n"/>
      <c r="D132" s="26" t="n"/>
      <c r="E132" s="3322" t="n"/>
      <c r="F132" s="26" t="n"/>
      <c r="G132" s="26" t="n"/>
      <c r="H132" s="26" t="n"/>
      <c r="I132" s="26" t="n"/>
      <c r="J132" s="26" t="n"/>
      <c r="K132" s="26" t="n"/>
      <c r="L132" s="26" t="n"/>
      <c r="M132" s="26" t="n"/>
      <c r="N132" s="26" t="n"/>
      <c r="O132" s="26" t="n"/>
      <c r="P132" s="1100" t="e">
        <f t="array" ref="P132">P131+1</f>
      </c>
      <c r="Q132" s="1100" t="e">
        <f t="array" ref="Q132">YEAR(R132)</f>
      </c>
      <c r="R132" s="4015" t="e">
        <f t="array" ref="R132">EDATE($R$9,P132)</f>
      </c>
      <c r="S132" s="1100" t="e">
        <f t="array" ref="S132">P132</f>
      </c>
      <c r="T132" s="429" t="e">
        <f t="array" ref="T132">IF(P132&lt;$E$26,"Pre-Development",IF(AND(P132&gt;=$E$26,P132&lt;=$H$26),"Construction",IF(P132='Assumptions'!$T$110,"Terminal Sale","Operating")))</f>
      </c>
      <c r="U132" s="26" t="n"/>
      <c r="V132" s="26" t="n">
        <f t="array" ref="V132">V131</f>
        <v>11</v>
      </c>
      <c r="W132" s="26" t="n"/>
      <c r="X132" s="26" t="n"/>
      <c r="Y132" s="26" t="n"/>
      <c r="Z132" s="26" t="n"/>
      <c r="AA132" s="26" t="n"/>
      <c r="AB132" s="26" t="n"/>
      <c r="AC132" s="26" t="n"/>
      <c r="AD132" s="26" t="n"/>
      <c r="AE132" s="26" t="n"/>
      <c r="AF132" s="26" t="n"/>
      <c r="AG132" s="26" t="n"/>
      <c r="AH132" s="26" t="n"/>
      <c r="AI132" s="26" t="n"/>
      <c r="AJ132" s="26" t="n"/>
      <c r="AK132" s="26" t="n"/>
      <c r="AL132" s="26" t="n"/>
      <c r="AM132" s="26" t="n"/>
      <c r="AN132" s="26" t="n"/>
      <c r="AO132" s="26" t="n"/>
      <c r="AP132" s="26" t="n"/>
      <c r="AQ132" s="26" t="n"/>
      <c r="AR132" s="26" t="n"/>
      <c r="AS132" s="26" t="n"/>
      <c r="AT132" s="26" t="n"/>
      <c r="AU132" s="27" t="n"/>
    </row>
    <row r="133" s="3154" customFormat="1" ht="13.5" customHeight="1">
      <c r="A133" s="627" t="n"/>
      <c r="B133" s="26" t="n"/>
      <c r="C133" s="26" t="n"/>
      <c r="D133" s="26" t="n"/>
      <c r="E133" s="3322" t="n"/>
      <c r="F133" s="26" t="n"/>
      <c r="G133" s="26" t="n"/>
      <c r="H133" s="26" t="n"/>
      <c r="I133" s="26" t="n"/>
      <c r="J133" s="26" t="n"/>
      <c r="K133" s="26" t="n"/>
      <c r="L133" s="26" t="n"/>
      <c r="M133" s="26" t="n"/>
      <c r="N133" s="26" t="n"/>
      <c r="O133" s="26" t="n"/>
      <c r="P133" s="1100" t="e">
        <f t="array" ref="P133">P132+1</f>
      </c>
      <c r="Q133" s="1100" t="e">
        <f t="array" ref="Q133">YEAR(R133)</f>
      </c>
      <c r="R133" s="4015" t="e">
        <f t="array" ref="R133">EDATE($R$9,P133)</f>
      </c>
      <c r="S133" s="1100" t="e">
        <f t="array" ref="S133">P133</f>
      </c>
      <c r="T133" s="429" t="e">
        <f t="array" ref="T133">IF(P133&lt;$E$26,"Pre-Development",IF(AND(P133&gt;=$E$26,P133&lt;=$H$26),"Construction",IF(P133='Assumptions'!$T$110,"Terminal Sale","Operating")))</f>
      </c>
      <c r="U133" s="26" t="n"/>
      <c r="V133" s="26" t="n">
        <f t="array" ref="V133">V132</f>
        <v>11</v>
      </c>
      <c r="W133" s="26" t="n"/>
      <c r="X133" s="26" t="n"/>
      <c r="Y133" s="26" t="n"/>
      <c r="Z133" s="26" t="n"/>
      <c r="AA133" s="26" t="n"/>
      <c r="AB133" s="26" t="n"/>
      <c r="AC133" s="26" t="n"/>
      <c r="AD133" s="26" t="n"/>
      <c r="AE133" s="26" t="n"/>
      <c r="AF133" s="26" t="n"/>
      <c r="AG133" s="26" t="n"/>
      <c r="AH133" s="26" t="n"/>
      <c r="AI133" s="26" t="n"/>
      <c r="AJ133" s="26" t="n"/>
      <c r="AK133" s="26" t="n"/>
      <c r="AL133" s="26" t="n"/>
      <c r="AM133" s="26" t="n"/>
      <c r="AN133" s="26" t="n"/>
      <c r="AO133" s="26" t="n"/>
      <c r="AP133" s="26" t="n"/>
      <c r="AQ133" s="26" t="n"/>
      <c r="AR133" s="26" t="n"/>
      <c r="AS133" s="26" t="n"/>
      <c r="AT133" s="26" t="n"/>
      <c r="AU133" s="27" t="n"/>
    </row>
    <row r="134" s="3154" customFormat="1" ht="13.5" customHeight="1">
      <c r="A134" s="627" t="n"/>
      <c r="B134" s="26" t="n"/>
      <c r="C134" s="26" t="n"/>
      <c r="D134" s="26" t="n"/>
      <c r="E134" s="3322" t="n"/>
      <c r="F134" s="26" t="n"/>
      <c r="G134" s="26" t="n"/>
      <c r="H134" s="26" t="n"/>
      <c r="I134" s="26" t="n"/>
      <c r="J134" s="26" t="n"/>
      <c r="K134" s="26" t="n"/>
      <c r="L134" s="26" t="n"/>
      <c r="M134" s="26" t="n"/>
      <c r="N134" s="26" t="n"/>
      <c r="O134" s="26" t="n"/>
      <c r="P134" s="1100" t="e">
        <f t="array" ref="P134">P133+1</f>
      </c>
      <c r="Q134" s="1100" t="e">
        <f t="array" ref="Q134">YEAR(R134)</f>
      </c>
      <c r="R134" s="4015" t="e">
        <f t="array" ref="R134">EDATE($R$9,P134)</f>
      </c>
      <c r="S134" s="1100" t="e">
        <f t="array" ref="S134">P134</f>
      </c>
      <c r="T134" s="429" t="e">
        <f t="array" ref="T134">IF(P134&lt;$E$26,"Pre-Development",IF(AND(P134&gt;=$E$26,P134&lt;=$H$26),"Construction",IF(P134='Assumptions'!$T$110,"Terminal Sale","Operating")))</f>
      </c>
      <c r="U134" s="26" t="n"/>
      <c r="V134" s="26" t="n">
        <f t="array" ref="V134">V133</f>
        <v>11</v>
      </c>
      <c r="W134" s="26" t="n"/>
      <c r="X134" s="26" t="n"/>
      <c r="Y134" s="26" t="n"/>
      <c r="Z134" s="26" t="n"/>
      <c r="AA134" s="26" t="n"/>
      <c r="AB134" s="26" t="n"/>
      <c r="AC134" s="26" t="n"/>
      <c r="AD134" s="26" t="n"/>
      <c r="AE134" s="26" t="n"/>
      <c r="AF134" s="26" t="n"/>
      <c r="AG134" s="26" t="n"/>
      <c r="AH134" s="26" t="n"/>
      <c r="AI134" s="26" t="n"/>
      <c r="AJ134" s="26" t="n"/>
      <c r="AK134" s="26" t="n"/>
      <c r="AL134" s="26" t="n"/>
      <c r="AM134" s="26" t="n"/>
      <c r="AN134" s="26" t="n"/>
      <c r="AO134" s="26" t="n"/>
      <c r="AP134" s="26" t="n"/>
      <c r="AQ134" s="26" t="n"/>
      <c r="AR134" s="26" t="n"/>
      <c r="AS134" s="26" t="n"/>
      <c r="AT134" s="26" t="n"/>
      <c r="AU134" s="27" t="n"/>
    </row>
    <row r="135" s="3154" customFormat="1" ht="13.5" customHeight="1">
      <c r="A135" s="627" t="n"/>
      <c r="B135" s="26" t="n"/>
      <c r="C135" s="26" t="n"/>
      <c r="D135" s="26" t="n"/>
      <c r="E135" s="3322" t="n"/>
      <c r="F135" s="26" t="n"/>
      <c r="G135" s="26" t="n"/>
      <c r="H135" s="26" t="n"/>
      <c r="I135" s="26" t="n"/>
      <c r="J135" s="26" t="n"/>
      <c r="K135" s="26" t="n"/>
      <c r="L135" s="26" t="n"/>
      <c r="M135" s="26" t="n"/>
      <c r="N135" s="26" t="n"/>
      <c r="O135" s="26" t="n"/>
      <c r="P135" s="1100" t="e">
        <f t="array" ref="P135">P134+1</f>
      </c>
      <c r="Q135" s="1100" t="e">
        <f t="array" ref="Q135">YEAR(R135)</f>
      </c>
      <c r="R135" s="4015" t="e">
        <f t="array" ref="R135">EDATE($R$9,P135)</f>
      </c>
      <c r="S135" s="1100" t="e">
        <f t="array" ref="S135">P135</f>
      </c>
      <c r="T135" s="429" t="e">
        <f t="array" ref="T135">IF(P135&lt;$E$26,"Pre-Development",IF(AND(P135&gt;=$E$26,P135&lt;=$H$26),"Construction",IF(P135='Assumptions'!$T$110,"Terminal Sale","Operating")))</f>
      </c>
      <c r="U135" s="26" t="n"/>
      <c r="V135" s="26" t="n">
        <f t="array" ref="V135">V134</f>
        <v>11</v>
      </c>
      <c r="W135" s="26" t="n"/>
      <c r="X135" s="26" t="n"/>
      <c r="Y135" s="26" t="n"/>
      <c r="Z135" s="26" t="n"/>
      <c r="AA135" s="26" t="n"/>
      <c r="AB135" s="26" t="n"/>
      <c r="AC135" s="26" t="n"/>
      <c r="AD135" s="26" t="n"/>
      <c r="AE135" s="26" t="n"/>
      <c r="AF135" s="26" t="n"/>
      <c r="AG135" s="26" t="n"/>
      <c r="AH135" s="26" t="n"/>
      <c r="AI135" s="26" t="n"/>
      <c r="AJ135" s="26" t="n"/>
      <c r="AK135" s="26" t="n"/>
      <c r="AL135" s="26" t="n"/>
      <c r="AM135" s="26" t="n"/>
      <c r="AN135" s="26" t="n"/>
      <c r="AO135" s="26" t="n"/>
      <c r="AP135" s="26" t="n"/>
      <c r="AQ135" s="26" t="n"/>
      <c r="AR135" s="26" t="n"/>
      <c r="AS135" s="26" t="n"/>
      <c r="AT135" s="26" t="n"/>
      <c r="AU135" s="27" t="n"/>
    </row>
    <row r="136" s="3154" customFormat="1" ht="13.5" customHeight="1">
      <c r="A136" s="627" t="n"/>
      <c r="B136" s="26" t="n"/>
      <c r="C136" s="26" t="n"/>
      <c r="D136" s="26" t="n"/>
      <c r="E136" s="3322" t="n"/>
      <c r="F136" s="26" t="n"/>
      <c r="G136" s="26" t="n"/>
      <c r="H136" s="26" t="n"/>
      <c r="I136" s="26" t="n"/>
      <c r="J136" s="26" t="n"/>
      <c r="K136" s="26" t="n"/>
      <c r="L136" s="26" t="n"/>
      <c r="M136" s="26" t="n"/>
      <c r="N136" s="26" t="n"/>
      <c r="O136" s="26" t="n"/>
      <c r="P136" s="1100" t="e">
        <f t="array" ref="P136">P135+1</f>
      </c>
      <c r="Q136" s="1100" t="e">
        <f t="array" ref="Q136">YEAR(R136)</f>
      </c>
      <c r="R136" s="4015" t="e">
        <f t="array" ref="R136">EDATE($R$9,P136)</f>
      </c>
      <c r="S136" s="1100" t="e">
        <f t="array" ref="S136">P136</f>
      </c>
      <c r="T136" s="429" t="e">
        <f t="array" ref="T136">IF(P136&lt;$E$26,"Pre-Development",IF(AND(P136&gt;=$E$26,P136&lt;=$H$26),"Construction",IF(P136='Assumptions'!$T$110,"Terminal Sale","Operating")))</f>
      </c>
      <c r="U136" s="26" t="n"/>
      <c r="V136" s="26" t="n">
        <f t="array" ref="V136">V135</f>
        <v>11</v>
      </c>
      <c r="W136" s="26" t="n"/>
      <c r="X136" s="26" t="n"/>
      <c r="Y136" s="26" t="n"/>
      <c r="Z136" s="26" t="n"/>
      <c r="AA136" s="26" t="n"/>
      <c r="AB136" s="26" t="n"/>
      <c r="AC136" s="26" t="n"/>
      <c r="AD136" s="26" t="n"/>
      <c r="AE136" s="26" t="n"/>
      <c r="AF136" s="26" t="n"/>
      <c r="AG136" s="26" t="n"/>
      <c r="AH136" s="26" t="n"/>
      <c r="AI136" s="26" t="n"/>
      <c r="AJ136" s="26" t="n"/>
      <c r="AK136" s="26" t="n"/>
      <c r="AL136" s="26" t="n"/>
      <c r="AM136" s="26" t="n"/>
      <c r="AN136" s="26" t="n"/>
      <c r="AO136" s="26" t="n"/>
      <c r="AP136" s="26" t="n"/>
      <c r="AQ136" s="26" t="n"/>
      <c r="AR136" s="26" t="n"/>
      <c r="AS136" s="26" t="n"/>
      <c r="AT136" s="26" t="n"/>
      <c r="AU136" s="27" t="n"/>
    </row>
    <row r="137" s="3154" customFormat="1" ht="13.5" customHeight="1">
      <c r="A137" s="627" t="n"/>
      <c r="B137" s="26" t="n"/>
      <c r="C137" s="26" t="n"/>
      <c r="D137" s="26" t="n"/>
      <c r="E137" s="3322" t="n"/>
      <c r="F137" s="26" t="n"/>
      <c r="G137" s="26" t="n"/>
      <c r="H137" s="26" t="n"/>
      <c r="I137" s="26" t="n"/>
      <c r="J137" s="26" t="n"/>
      <c r="K137" s="26" t="n"/>
      <c r="L137" s="26" t="n"/>
      <c r="M137" s="26" t="n"/>
      <c r="N137" s="26" t="n"/>
      <c r="O137" s="26" t="n"/>
      <c r="P137" s="1100" t="e">
        <f t="array" ref="P137">P136+1</f>
      </c>
      <c r="Q137" s="1100" t="e">
        <f t="array" ref="Q137">YEAR(R137)</f>
      </c>
      <c r="R137" s="4015" t="e">
        <f t="array" ref="R137">EDATE($R$9,P137)</f>
      </c>
      <c r="S137" s="1100" t="e">
        <f t="array" ref="S137">P137</f>
      </c>
      <c r="T137" s="429" t="e">
        <f t="array" ref="T137">IF(P137&lt;$E$26,"Pre-Development",IF(AND(P137&gt;=$E$26,P137&lt;=$H$26),"Construction",IF(P137='Assumptions'!$T$110,"Terminal Sale","Operating")))</f>
      </c>
      <c r="U137" s="26" t="n"/>
      <c r="V137" s="26" t="n">
        <f t="array" ref="V137">V136</f>
        <v>11</v>
      </c>
      <c r="W137" s="26" t="n"/>
      <c r="X137" s="26" t="n"/>
      <c r="Y137" s="26" t="n"/>
      <c r="Z137" s="26" t="n"/>
      <c r="AA137" s="26" t="n"/>
      <c r="AB137" s="26" t="n"/>
      <c r="AC137" s="26" t="n"/>
      <c r="AD137" s="26" t="n"/>
      <c r="AE137" s="26" t="n"/>
      <c r="AF137" s="26" t="n"/>
      <c r="AG137" s="26" t="n"/>
      <c r="AH137" s="26" t="n"/>
      <c r="AI137" s="26" t="n"/>
      <c r="AJ137" s="26" t="n"/>
      <c r="AK137" s="26" t="n"/>
      <c r="AL137" s="26" t="n"/>
      <c r="AM137" s="26" t="n"/>
      <c r="AN137" s="26" t="n"/>
      <c r="AO137" s="26" t="n"/>
      <c r="AP137" s="26" t="n"/>
      <c r="AQ137" s="26" t="n"/>
      <c r="AR137" s="26" t="n"/>
      <c r="AS137" s="26" t="n"/>
      <c r="AT137" s="26" t="n"/>
      <c r="AU137" s="27" t="n"/>
    </row>
    <row r="138" s="3154" customFormat="1" ht="13.5" customHeight="1">
      <c r="A138" s="627" t="n"/>
      <c r="B138" s="26" t="n"/>
      <c r="C138" s="26" t="n"/>
      <c r="D138" s="26" t="n"/>
      <c r="E138" s="3322" t="n"/>
      <c r="F138" s="26" t="n"/>
      <c r="G138" s="26" t="n"/>
      <c r="H138" s="26" t="n"/>
      <c r="I138" s="26" t="n"/>
      <c r="J138" s="26" t="n"/>
      <c r="K138" s="26" t="n"/>
      <c r="L138" s="26" t="n"/>
      <c r="M138" s="26" t="n"/>
      <c r="N138" s="26" t="n"/>
      <c r="O138" s="26" t="n"/>
      <c r="P138" s="1100" t="e">
        <f t="array" ref="P138">P137+1</f>
      </c>
      <c r="Q138" s="1100" t="e">
        <f t="array" ref="Q138">YEAR(R138)</f>
      </c>
      <c r="R138" s="4015" t="e">
        <f t="array" ref="R138">EDATE($R$9,P138)</f>
      </c>
      <c r="S138" s="1100" t="e">
        <f t="array" ref="S138">P138</f>
      </c>
      <c r="T138" s="429" t="e">
        <f t="array" ref="T138">IF(P138&lt;$E$26,"Pre-Development",IF(AND(P138&gt;=$E$26,P138&lt;=$H$26),"Construction",IF(P138='Assumptions'!$T$110,"Terminal Sale","Operating")))</f>
      </c>
      <c r="U138" s="26" t="n"/>
      <c r="V138" s="26" t="n">
        <f t="array" ref="V138">V137</f>
        <v>11</v>
      </c>
      <c r="W138" s="26" t="n"/>
      <c r="X138" s="26" t="n"/>
      <c r="Y138" s="26" t="n"/>
      <c r="Z138" s="26" t="n"/>
      <c r="AA138" s="26" t="n"/>
      <c r="AB138" s="26" t="n"/>
      <c r="AC138" s="26" t="n"/>
      <c r="AD138" s="26" t="n"/>
      <c r="AE138" s="26" t="n"/>
      <c r="AF138" s="26" t="n"/>
      <c r="AG138" s="26" t="n"/>
      <c r="AH138" s="26" t="n"/>
      <c r="AI138" s="26" t="n"/>
      <c r="AJ138" s="26" t="n"/>
      <c r="AK138" s="26" t="n"/>
      <c r="AL138" s="26" t="n"/>
      <c r="AM138" s="26" t="n"/>
      <c r="AN138" s="26" t="n"/>
      <c r="AO138" s="26" t="n"/>
      <c r="AP138" s="26" t="n"/>
      <c r="AQ138" s="26" t="n"/>
      <c r="AR138" s="26" t="n"/>
      <c r="AS138" s="26" t="n"/>
      <c r="AT138" s="26" t="n"/>
      <c r="AU138" s="27" t="n"/>
    </row>
    <row r="139" s="3154" customFormat="1" ht="13.5" customHeight="1">
      <c r="A139" s="627" t="n"/>
      <c r="B139" s="26" t="n"/>
      <c r="C139" s="26" t="n"/>
      <c r="D139" s="26" t="n"/>
      <c r="E139" s="3322" t="n"/>
      <c r="F139" s="26" t="n"/>
      <c r="G139" s="26" t="n"/>
      <c r="H139" s="26" t="n"/>
      <c r="I139" s="26" t="n"/>
      <c r="J139" s="26" t="n"/>
      <c r="K139" s="26" t="n"/>
      <c r="L139" s="26" t="n"/>
      <c r="M139" s="26" t="n"/>
      <c r="N139" s="26" t="n"/>
      <c r="O139" s="26" t="n"/>
      <c r="P139" s="1100" t="e">
        <f t="array" ref="P139">P138+1</f>
      </c>
      <c r="Q139" s="1100" t="e">
        <f t="array" ref="Q139">YEAR(R139)</f>
      </c>
      <c r="R139" s="4015" t="e">
        <f t="array" ref="R139">EDATE($R$9,P139)</f>
      </c>
      <c r="S139" s="1100" t="e">
        <f t="array" ref="S139">P139</f>
      </c>
      <c r="T139" s="429" t="e">
        <f t="array" ref="T139">IF(P139&lt;$E$26,"Pre-Development",IF(AND(P139&gt;=$E$26,P139&lt;=$H$26),"Construction",IF(P139='Assumptions'!$T$110,"Terminal Sale","Operating")))</f>
      </c>
      <c r="U139" s="26" t="n"/>
      <c r="V139" s="26" t="n">
        <f t="array" ref="V139">V138</f>
        <v>11</v>
      </c>
      <c r="W139" s="26" t="n"/>
      <c r="X139" s="26" t="n"/>
      <c r="Y139" s="26" t="n"/>
      <c r="Z139" s="26" t="n"/>
      <c r="AA139" s="26" t="n"/>
      <c r="AB139" s="26" t="n"/>
      <c r="AC139" s="26" t="n"/>
      <c r="AD139" s="26" t="n"/>
      <c r="AE139" s="26" t="n"/>
      <c r="AF139" s="26" t="n"/>
      <c r="AG139" s="26" t="n"/>
      <c r="AH139" s="26" t="n"/>
      <c r="AI139" s="26" t="n"/>
      <c r="AJ139" s="26" t="n"/>
      <c r="AK139" s="26" t="n"/>
      <c r="AL139" s="26" t="n"/>
      <c r="AM139" s="26" t="n"/>
      <c r="AN139" s="26" t="n"/>
      <c r="AO139" s="26" t="n"/>
      <c r="AP139" s="26" t="n"/>
      <c r="AQ139" s="26" t="n"/>
      <c r="AR139" s="26" t="n"/>
      <c r="AS139" s="26" t="n"/>
      <c r="AT139" s="26" t="n"/>
      <c r="AU139" s="27" t="n"/>
    </row>
    <row r="140" s="3154" customFormat="1" ht="13.5" customHeight="1">
      <c r="A140" s="627" t="n"/>
      <c r="B140" s="26" t="n"/>
      <c r="C140" s="26" t="n"/>
      <c r="D140" s="26" t="n"/>
      <c r="E140" s="3322" t="n"/>
      <c r="F140" s="26" t="n"/>
      <c r="G140" s="26" t="n"/>
      <c r="H140" s="26" t="n"/>
      <c r="I140" s="26" t="n"/>
      <c r="J140" s="26" t="n"/>
      <c r="K140" s="26" t="n"/>
      <c r="L140" s="26" t="n"/>
      <c r="M140" s="26" t="n"/>
      <c r="N140" s="26" t="n"/>
      <c r="O140" s="26" t="n"/>
      <c r="P140" s="1100" t="e">
        <f t="array" ref="P140">P139+1</f>
      </c>
      <c r="Q140" s="1100" t="e">
        <f t="array" ref="Q140">YEAR(R140)</f>
      </c>
      <c r="R140" s="4015" t="e">
        <f t="array" ref="R140">EDATE($R$9,P140)</f>
      </c>
      <c r="S140" s="1100" t="e">
        <f t="array" ref="S140">P140</f>
      </c>
      <c r="T140" s="429" t="e">
        <f t="array" ref="T140">IF(P140&lt;$E$26,"Pre-Development",IF(AND(P140&gt;=$E$26,P140&lt;=$H$26),"Construction",IF(P140='Assumptions'!$T$110,"Terminal Sale","Operating")))</f>
      </c>
      <c r="U140" s="26" t="n"/>
      <c r="V140" s="26" t="n">
        <f t="array" ref="V140">V139</f>
        <v>11</v>
      </c>
      <c r="W140" s="26" t="n"/>
      <c r="X140" s="26" t="n"/>
      <c r="Y140" s="26" t="n"/>
      <c r="Z140" s="26" t="n"/>
      <c r="AA140" s="26" t="n"/>
      <c r="AB140" s="26" t="n"/>
      <c r="AC140" s="26" t="n"/>
      <c r="AD140" s="26" t="n"/>
      <c r="AE140" s="26" t="n"/>
      <c r="AF140" s="26" t="n"/>
      <c r="AG140" s="26" t="n"/>
      <c r="AH140" s="26" t="n"/>
      <c r="AI140" s="26" t="n"/>
      <c r="AJ140" s="26" t="n"/>
      <c r="AK140" s="26" t="n"/>
      <c r="AL140" s="26" t="n"/>
      <c r="AM140" s="26" t="n"/>
      <c r="AN140" s="26" t="n"/>
      <c r="AO140" s="26" t="n"/>
      <c r="AP140" s="26" t="n"/>
      <c r="AQ140" s="26" t="n"/>
      <c r="AR140" s="26" t="n"/>
      <c r="AS140" s="26" t="n"/>
      <c r="AT140" s="26" t="n"/>
      <c r="AU140" s="27" t="n"/>
    </row>
    <row r="141" s="3154" customFormat="1" ht="13.5" customHeight="1">
      <c r="A141" s="627" t="n"/>
      <c r="B141" s="26" t="n"/>
      <c r="C141" s="26" t="n"/>
      <c r="D141" s="26" t="n"/>
      <c r="E141" s="3322" t="n"/>
      <c r="F141" s="26" t="n"/>
      <c r="G141" s="26" t="n"/>
      <c r="H141" s="26" t="n"/>
      <c r="I141" s="26" t="n"/>
      <c r="J141" s="26" t="n"/>
      <c r="K141" s="26" t="n"/>
      <c r="L141" s="26" t="n"/>
      <c r="M141" s="26" t="n"/>
      <c r="N141" s="26" t="n"/>
      <c r="O141" s="26" t="n"/>
      <c r="P141" s="1100" t="e">
        <f t="array" ref="P141">P140+1</f>
      </c>
      <c r="Q141" s="1100" t="e">
        <f t="array" ref="Q141">YEAR(R141)</f>
      </c>
      <c r="R141" s="4015" t="e">
        <f t="array" ref="R141">EDATE($R$9,P141)</f>
      </c>
      <c r="S141" s="1100" t="e">
        <f t="array" ref="S141">P141</f>
      </c>
      <c r="T141" s="429" t="e">
        <f t="array" ref="T141">IF(P141&lt;$E$26,"Pre-Development",IF(AND(P141&gt;=$E$26,P141&lt;=$H$26),"Construction",IF(P141='Assumptions'!$T$110,"Terminal Sale","Operating")))</f>
      </c>
      <c r="U141" s="26" t="n"/>
      <c r="V141" s="26" t="n">
        <f t="array" ref="V141">V140+1</f>
        <v>12</v>
      </c>
      <c r="W141" s="26" t="n"/>
      <c r="X141" s="26" t="n"/>
      <c r="Y141" s="26" t="n"/>
      <c r="Z141" s="26" t="n"/>
      <c r="AA141" s="26" t="n"/>
      <c r="AB141" s="26" t="n"/>
      <c r="AC141" s="26" t="n"/>
      <c r="AD141" s="26" t="n"/>
      <c r="AE141" s="26" t="n"/>
      <c r="AF141" s="26" t="n"/>
      <c r="AG141" s="26" t="n"/>
      <c r="AH141" s="26" t="n"/>
      <c r="AI141" s="26" t="n"/>
      <c r="AJ141" s="26" t="n"/>
      <c r="AK141" s="26" t="n"/>
      <c r="AL141" s="26" t="n"/>
      <c r="AM141" s="26" t="n"/>
      <c r="AN141" s="26" t="n"/>
      <c r="AO141" s="26" t="n"/>
      <c r="AP141" s="26" t="n"/>
      <c r="AQ141" s="26" t="n"/>
      <c r="AR141" s="26" t="n"/>
      <c r="AS141" s="26" t="n"/>
      <c r="AT141" s="26" t="n"/>
      <c r="AU141" s="27" t="n"/>
    </row>
    <row r="142" s="3154" customFormat="1" ht="13.5" customHeight="1">
      <c r="A142" s="627" t="n"/>
      <c r="B142" s="26" t="n"/>
      <c r="C142" s="26" t="n"/>
      <c r="D142" s="26" t="n"/>
      <c r="E142" s="3322" t="n"/>
      <c r="F142" s="26" t="n"/>
      <c r="G142" s="26" t="n"/>
      <c r="H142" s="26" t="n"/>
      <c r="I142" s="26" t="n"/>
      <c r="J142" s="26" t="n"/>
      <c r="K142" s="26" t="n"/>
      <c r="L142" s="26" t="n"/>
      <c r="M142" s="26" t="n"/>
      <c r="N142" s="26" t="n"/>
      <c r="O142" s="26" t="n"/>
      <c r="P142" s="1100" t="e">
        <f t="array" ref="P142">P141+1</f>
      </c>
      <c r="Q142" s="1100" t="e">
        <f t="array" ref="Q142">YEAR(R142)</f>
      </c>
      <c r="R142" s="4015" t="e">
        <f t="array" ref="R142">EDATE($R$9,P142)</f>
      </c>
      <c r="S142" s="1100" t="e">
        <f t="array" ref="S142">P142</f>
      </c>
      <c r="T142" s="429" t="e">
        <f t="array" ref="T142">IF(P142&lt;$E$26,"Pre-Development",IF(AND(P142&gt;=$E$26,P142&lt;=$H$26),"Construction",IF(P142='Assumptions'!$T$110,"Terminal Sale","Operating")))</f>
      </c>
      <c r="U142" s="26" t="n"/>
      <c r="V142" s="26" t="n">
        <f t="array" ref="V142">V141</f>
        <v>12</v>
      </c>
      <c r="W142" s="26" t="n"/>
      <c r="X142" s="26" t="n"/>
      <c r="Y142" s="26" t="n"/>
      <c r="Z142" s="26" t="n"/>
      <c r="AA142" s="26" t="n"/>
      <c r="AB142" s="26" t="n"/>
      <c r="AC142" s="26" t="n"/>
      <c r="AD142" s="26" t="n"/>
      <c r="AE142" s="26" t="n"/>
      <c r="AF142" s="26" t="n"/>
      <c r="AG142" s="26" t="n"/>
      <c r="AH142" s="26" t="n"/>
      <c r="AI142" s="26" t="n"/>
      <c r="AJ142" s="26" t="n"/>
      <c r="AK142" s="26" t="n"/>
      <c r="AL142" s="26" t="n"/>
      <c r="AM142" s="26" t="n"/>
      <c r="AN142" s="26" t="n"/>
      <c r="AO142" s="26" t="n"/>
      <c r="AP142" s="26" t="n"/>
      <c r="AQ142" s="26" t="n"/>
      <c r="AR142" s="26" t="n"/>
      <c r="AS142" s="26" t="n"/>
      <c r="AT142" s="26" t="n"/>
      <c r="AU142" s="27" t="n"/>
    </row>
    <row r="143" s="3154" customFormat="1" ht="13.5" customHeight="1">
      <c r="A143" s="627" t="n"/>
      <c r="B143" s="26" t="n"/>
      <c r="C143" s="26" t="n"/>
      <c r="D143" s="26" t="n"/>
      <c r="E143" s="3322" t="n"/>
      <c r="F143" s="26" t="n"/>
      <c r="G143" s="26" t="n"/>
      <c r="H143" s="26" t="n"/>
      <c r="I143" s="26" t="n"/>
      <c r="J143" s="26" t="n"/>
      <c r="K143" s="26" t="n"/>
      <c r="L143" s="26" t="n"/>
      <c r="M143" s="26" t="n"/>
      <c r="N143" s="26" t="n"/>
      <c r="O143" s="26" t="n"/>
      <c r="P143" s="1100" t="e">
        <f t="array" ref="P143">P142+1</f>
      </c>
      <c r="Q143" s="1100" t="e">
        <f t="array" ref="Q143">YEAR(R143)</f>
      </c>
      <c r="R143" s="4015" t="e">
        <f t="array" ref="R143">EDATE($R$9,P143)</f>
      </c>
      <c r="S143" s="1100" t="e">
        <f t="array" ref="S143">P143</f>
      </c>
      <c r="T143" s="429" t="e">
        <f t="array" ref="T143">IF(P143&lt;$E$26,"Pre-Development",IF(AND(P143&gt;=$E$26,P143&lt;=$H$26),"Construction",IF(P143='Assumptions'!$T$110,"Terminal Sale","Operating")))</f>
      </c>
      <c r="U143" s="26" t="n"/>
      <c r="V143" s="26" t="n">
        <f t="array" ref="V143">V142</f>
        <v>12</v>
      </c>
      <c r="W143" s="26" t="n"/>
      <c r="X143" s="26" t="n"/>
      <c r="Y143" s="26" t="n"/>
      <c r="Z143" s="26" t="n"/>
      <c r="AA143" s="26" t="n"/>
      <c r="AB143" s="26" t="n"/>
      <c r="AC143" s="26" t="n"/>
      <c r="AD143" s="26" t="n"/>
      <c r="AE143" s="26" t="n"/>
      <c r="AF143" s="26" t="n"/>
      <c r="AG143" s="26" t="n"/>
      <c r="AH143" s="26" t="n"/>
      <c r="AI143" s="26" t="n"/>
      <c r="AJ143" s="26" t="n"/>
      <c r="AK143" s="26" t="n"/>
      <c r="AL143" s="26" t="n"/>
      <c r="AM143" s="26" t="n"/>
      <c r="AN143" s="26" t="n"/>
      <c r="AO143" s="26" t="n"/>
      <c r="AP143" s="26" t="n"/>
      <c r="AQ143" s="26" t="n"/>
      <c r="AR143" s="26" t="n"/>
      <c r="AS143" s="26" t="n"/>
      <c r="AT143" s="26" t="n"/>
      <c r="AU143" s="27" t="n"/>
    </row>
    <row r="144" s="3154" customFormat="1" ht="13.5" customHeight="1">
      <c r="A144" s="627" t="n"/>
      <c r="B144" s="26" t="n"/>
      <c r="C144" s="26" t="n"/>
      <c r="D144" s="26" t="n"/>
      <c r="E144" s="3322" t="n"/>
      <c r="F144" s="26" t="n"/>
      <c r="G144" s="26" t="n"/>
      <c r="H144" s="26" t="n"/>
      <c r="I144" s="26" t="n"/>
      <c r="J144" s="26" t="n"/>
      <c r="K144" s="26" t="n"/>
      <c r="L144" s="26" t="n"/>
      <c r="M144" s="26" t="n"/>
      <c r="N144" s="26" t="n"/>
      <c r="O144" s="26" t="n"/>
      <c r="P144" s="1100" t="e">
        <f t="array" ref="P144">P143+1</f>
      </c>
      <c r="Q144" s="1100" t="e">
        <f t="array" ref="Q144">YEAR(R144)</f>
      </c>
      <c r="R144" s="4015" t="e">
        <f t="array" ref="R144">EDATE($R$9,P144)</f>
      </c>
      <c r="S144" s="1100" t="e">
        <f t="array" ref="S144">P144</f>
      </c>
      <c r="T144" s="429" t="e">
        <f t="array" ref="T144">IF(P144&lt;$E$26,"Pre-Development",IF(AND(P144&gt;=$E$26,P144&lt;=$H$26),"Construction",IF(P144='Assumptions'!$T$110,"Terminal Sale","Operating")))</f>
      </c>
      <c r="U144" s="26" t="n"/>
      <c r="V144" s="26" t="n">
        <f t="array" ref="V144">V143</f>
        <v>12</v>
      </c>
      <c r="W144" s="26" t="n"/>
      <c r="X144" s="26" t="n"/>
      <c r="Y144" s="26" t="n"/>
      <c r="Z144" s="26" t="n"/>
      <c r="AA144" s="26" t="n"/>
      <c r="AB144" s="26" t="n"/>
      <c r="AC144" s="26" t="n"/>
      <c r="AD144" s="26" t="n"/>
      <c r="AE144" s="26" t="n"/>
      <c r="AF144" s="26" t="n"/>
      <c r="AG144" s="26" t="n"/>
      <c r="AH144" s="26" t="n"/>
      <c r="AI144" s="26" t="n"/>
      <c r="AJ144" s="26" t="n"/>
      <c r="AK144" s="26" t="n"/>
      <c r="AL144" s="26" t="n"/>
      <c r="AM144" s="26" t="n"/>
      <c r="AN144" s="26" t="n"/>
      <c r="AO144" s="26" t="n"/>
      <c r="AP144" s="26" t="n"/>
      <c r="AQ144" s="26" t="n"/>
      <c r="AR144" s="26" t="n"/>
      <c r="AS144" s="26" t="n"/>
      <c r="AT144" s="26" t="n"/>
      <c r="AU144" s="27" t="n"/>
    </row>
    <row r="145" s="3154" customFormat="1" ht="13.5" customHeight="1">
      <c r="A145" s="627" t="n"/>
      <c r="B145" s="26" t="n"/>
      <c r="C145" s="26" t="n"/>
      <c r="D145" s="26" t="n"/>
      <c r="E145" s="3322" t="n"/>
      <c r="F145" s="26" t="n"/>
      <c r="G145" s="26" t="n"/>
      <c r="H145" s="26" t="n"/>
      <c r="I145" s="26" t="n"/>
      <c r="J145" s="26" t="n"/>
      <c r="K145" s="26" t="n"/>
      <c r="L145" s="26" t="n"/>
      <c r="M145" s="26" t="n"/>
      <c r="N145" s="26" t="n"/>
      <c r="O145" s="26" t="n"/>
      <c r="P145" s="1100" t="e">
        <f t="array" ref="P145">P144+1</f>
      </c>
      <c r="Q145" s="1100" t="e">
        <f t="array" ref="Q145">YEAR(R145)</f>
      </c>
      <c r="R145" s="4015" t="e">
        <f t="array" ref="R145">EDATE($R$9,P145)</f>
      </c>
      <c r="S145" s="1100" t="e">
        <f t="array" ref="S145">P145</f>
      </c>
      <c r="T145" s="429" t="e">
        <f t="array" ref="T145">IF(P145&lt;$E$26,"Pre-Development",IF(AND(P145&gt;=$E$26,P145&lt;=$H$26),"Construction",IF(P145='Assumptions'!$T$110,"Terminal Sale","Operating")))</f>
      </c>
      <c r="U145" s="26" t="n"/>
      <c r="V145" s="26" t="n">
        <f t="array" ref="V145">V144</f>
        <v>12</v>
      </c>
      <c r="W145" s="26" t="n"/>
      <c r="X145" s="26" t="n"/>
      <c r="Y145" s="26" t="n"/>
      <c r="Z145" s="26" t="n"/>
      <c r="AA145" s="26" t="n"/>
      <c r="AB145" s="26" t="n"/>
      <c r="AC145" s="26" t="n"/>
      <c r="AD145" s="26" t="n"/>
      <c r="AE145" s="26" t="n"/>
      <c r="AF145" s="26" t="n"/>
      <c r="AG145" s="26" t="n"/>
      <c r="AH145" s="26" t="n"/>
      <c r="AI145" s="26" t="n"/>
      <c r="AJ145" s="26" t="n"/>
      <c r="AK145" s="26" t="n"/>
      <c r="AL145" s="26" t="n"/>
      <c r="AM145" s="26" t="n"/>
      <c r="AN145" s="26" t="n"/>
      <c r="AO145" s="26" t="n"/>
      <c r="AP145" s="26" t="n"/>
      <c r="AQ145" s="26" t="n"/>
      <c r="AR145" s="26" t="n"/>
      <c r="AS145" s="26" t="n"/>
      <c r="AT145" s="26" t="n"/>
      <c r="AU145" s="27" t="n"/>
    </row>
    <row r="146" s="3154" customFormat="1" ht="13.5" customHeight="1">
      <c r="A146" s="627" t="n"/>
      <c r="B146" s="26" t="n"/>
      <c r="C146" s="26" t="n"/>
      <c r="D146" s="26" t="n"/>
      <c r="E146" s="3322" t="n"/>
      <c r="F146" s="26" t="n"/>
      <c r="G146" s="26" t="n"/>
      <c r="H146" s="26" t="n"/>
      <c r="I146" s="26" t="n"/>
      <c r="J146" s="26" t="n"/>
      <c r="K146" s="26" t="n"/>
      <c r="L146" s="26" t="n"/>
      <c r="M146" s="26" t="n"/>
      <c r="N146" s="26" t="n"/>
      <c r="O146" s="26" t="n"/>
      <c r="P146" s="1100" t="e">
        <f t="array" ref="P146">P145+1</f>
      </c>
      <c r="Q146" s="1100" t="e">
        <f t="array" ref="Q146">YEAR(R146)</f>
      </c>
      <c r="R146" s="4015" t="e">
        <f t="array" ref="R146">EDATE($R$9,P146)</f>
      </c>
      <c r="S146" s="1100" t="e">
        <f t="array" ref="S146">P146</f>
      </c>
      <c r="T146" s="429" t="e">
        <f t="array" ref="T146">IF(P146&lt;$E$26,"Pre-Development",IF(AND(P146&gt;=$E$26,P146&lt;=$H$26),"Construction",IF(P146='Assumptions'!$T$110,"Terminal Sale","Operating")))</f>
      </c>
      <c r="U146" s="26" t="n"/>
      <c r="V146" s="26" t="n">
        <f t="array" ref="V146">V145</f>
        <v>12</v>
      </c>
      <c r="W146" s="26" t="n"/>
      <c r="X146" s="26" t="n"/>
      <c r="Y146" s="26" t="n"/>
      <c r="Z146" s="26" t="n"/>
      <c r="AA146" s="26" t="n"/>
      <c r="AB146" s="26" t="n"/>
      <c r="AC146" s="26" t="n"/>
      <c r="AD146" s="26" t="n"/>
      <c r="AE146" s="26" t="n"/>
      <c r="AF146" s="26" t="n"/>
      <c r="AG146" s="26" t="n"/>
      <c r="AH146" s="26" t="n"/>
      <c r="AI146" s="26" t="n"/>
      <c r="AJ146" s="26" t="n"/>
      <c r="AK146" s="26" t="n"/>
      <c r="AL146" s="26" t="n"/>
      <c r="AM146" s="26" t="n"/>
      <c r="AN146" s="26" t="n"/>
      <c r="AO146" s="26" t="n"/>
      <c r="AP146" s="26" t="n"/>
      <c r="AQ146" s="26" t="n"/>
      <c r="AR146" s="26" t="n"/>
      <c r="AS146" s="26" t="n"/>
      <c r="AT146" s="26" t="n"/>
      <c r="AU146" s="27" t="n"/>
    </row>
    <row r="147" s="3154" customFormat="1" ht="13.5" customHeight="1">
      <c r="A147" s="627" t="n"/>
      <c r="B147" s="26" t="n"/>
      <c r="C147" s="26" t="n"/>
      <c r="D147" s="26" t="n"/>
      <c r="E147" s="3322" t="n"/>
      <c r="F147" s="26" t="n"/>
      <c r="G147" s="26" t="n"/>
      <c r="H147" s="26" t="n"/>
      <c r="I147" s="26" t="n"/>
      <c r="J147" s="26" t="n"/>
      <c r="K147" s="26" t="n"/>
      <c r="L147" s="26" t="n"/>
      <c r="M147" s="26" t="n"/>
      <c r="N147" s="26" t="n"/>
      <c r="O147" s="26" t="n"/>
      <c r="P147" s="1100" t="e">
        <f t="array" ref="P147">P146+1</f>
      </c>
      <c r="Q147" s="1100" t="e">
        <f t="array" ref="Q147">YEAR(R147)</f>
      </c>
      <c r="R147" s="4015" t="e">
        <f t="array" ref="R147">EDATE($R$9,P147)</f>
      </c>
      <c r="S147" s="1100" t="e">
        <f t="array" ref="S147">P147</f>
      </c>
      <c r="T147" s="429" t="e">
        <f t="array" ref="T147">IF(P147&lt;$E$26,"Pre-Development",IF(AND(P147&gt;=$E$26,P147&lt;=$H$26),"Construction",IF(P147='Assumptions'!$T$110,"Terminal Sale","Operating")))</f>
      </c>
      <c r="U147" s="26" t="n"/>
      <c r="V147" s="26" t="n">
        <f t="array" ref="V147">V146</f>
        <v>12</v>
      </c>
      <c r="W147" s="26" t="n"/>
      <c r="X147" s="26" t="n"/>
      <c r="Y147" s="26" t="n"/>
      <c r="Z147" s="26" t="n"/>
      <c r="AA147" s="26" t="n"/>
      <c r="AB147" s="26" t="n"/>
      <c r="AC147" s="26" t="n"/>
      <c r="AD147" s="26" t="n"/>
      <c r="AE147" s="26" t="n"/>
      <c r="AF147" s="26" t="n"/>
      <c r="AG147" s="26" t="n"/>
      <c r="AH147" s="26" t="n"/>
      <c r="AI147" s="26" t="n"/>
      <c r="AJ147" s="26" t="n"/>
      <c r="AK147" s="26" t="n"/>
      <c r="AL147" s="26" t="n"/>
      <c r="AM147" s="26" t="n"/>
      <c r="AN147" s="26" t="n"/>
      <c r="AO147" s="26" t="n"/>
      <c r="AP147" s="26" t="n"/>
      <c r="AQ147" s="26" t="n"/>
      <c r="AR147" s="26" t="n"/>
      <c r="AS147" s="26" t="n"/>
      <c r="AT147" s="26" t="n"/>
      <c r="AU147" s="27" t="n"/>
    </row>
    <row r="148" s="3154" customFormat="1" ht="13.5" customHeight="1">
      <c r="A148" s="627" t="n"/>
      <c r="B148" s="26" t="n"/>
      <c r="C148" s="26" t="n"/>
      <c r="D148" s="26" t="n"/>
      <c r="E148" s="3322" t="n"/>
      <c r="F148" s="26" t="n"/>
      <c r="G148" s="26" t="n"/>
      <c r="H148" s="26" t="n"/>
      <c r="I148" s="26" t="n"/>
      <c r="J148" s="26" t="n"/>
      <c r="K148" s="26" t="n"/>
      <c r="L148" s="26" t="n"/>
      <c r="M148" s="26" t="n"/>
      <c r="N148" s="26" t="n"/>
      <c r="O148" s="26" t="n"/>
      <c r="P148" s="1100" t="e">
        <f t="array" ref="P148">P147+1</f>
      </c>
      <c r="Q148" s="1100" t="e">
        <f t="array" ref="Q148">YEAR(R148)</f>
      </c>
      <c r="R148" s="4015" t="e">
        <f t="array" ref="R148">EDATE($R$9,P148)</f>
      </c>
      <c r="S148" s="1100" t="e">
        <f t="array" ref="S148">P148</f>
      </c>
      <c r="T148" s="429" t="e">
        <f t="array" ref="T148">IF(P148&lt;$E$26,"Pre-Development",IF(AND(P148&gt;=$E$26,P148&lt;=$H$26),"Construction",IF(P148='Assumptions'!$T$110,"Terminal Sale","Operating")))</f>
      </c>
      <c r="U148" s="26" t="n"/>
      <c r="V148" s="26" t="n">
        <f t="array" ref="V148">V147</f>
        <v>12</v>
      </c>
      <c r="W148" s="26" t="n"/>
      <c r="X148" s="26" t="n"/>
      <c r="Y148" s="26" t="n"/>
      <c r="Z148" s="26" t="n"/>
      <c r="AA148" s="26" t="n"/>
      <c r="AB148" s="26" t="n"/>
      <c r="AC148" s="26" t="n"/>
      <c r="AD148" s="26" t="n"/>
      <c r="AE148" s="26" t="n"/>
      <c r="AF148" s="26" t="n"/>
      <c r="AG148" s="26" t="n"/>
      <c r="AH148" s="26" t="n"/>
      <c r="AI148" s="26" t="n"/>
      <c r="AJ148" s="26" t="n"/>
      <c r="AK148" s="26" t="n"/>
      <c r="AL148" s="26" t="n"/>
      <c r="AM148" s="26" t="n"/>
      <c r="AN148" s="26" t="n"/>
      <c r="AO148" s="26" t="n"/>
      <c r="AP148" s="26" t="n"/>
      <c r="AQ148" s="26" t="n"/>
      <c r="AR148" s="26" t="n"/>
      <c r="AS148" s="26" t="n"/>
      <c r="AT148" s="26" t="n"/>
      <c r="AU148" s="27" t="n"/>
    </row>
    <row r="149" s="3154" customFormat="1" ht="13.5" customHeight="1">
      <c r="A149" s="627" t="n"/>
      <c r="B149" s="26" t="n"/>
      <c r="C149" s="26" t="n"/>
      <c r="D149" s="26" t="n"/>
      <c r="E149" s="3322" t="n"/>
      <c r="F149" s="26" t="n"/>
      <c r="G149" s="26" t="n"/>
      <c r="H149" s="26" t="n"/>
      <c r="I149" s="26" t="n"/>
      <c r="J149" s="26" t="n"/>
      <c r="K149" s="26" t="n"/>
      <c r="L149" s="26" t="n"/>
      <c r="M149" s="26" t="n"/>
      <c r="N149" s="26" t="n"/>
      <c r="O149" s="26" t="n"/>
      <c r="P149" s="1100" t="e">
        <f t="array" ref="P149">P148+1</f>
      </c>
      <c r="Q149" s="1100" t="e">
        <f t="array" ref="Q149">YEAR(R149)</f>
      </c>
      <c r="R149" s="4015" t="e">
        <f t="array" ref="R149">EDATE($R$9,P149)</f>
      </c>
      <c r="S149" s="1100" t="e">
        <f t="array" ref="S149">P149</f>
      </c>
      <c r="T149" s="429" t="e">
        <f t="array" ref="T149">IF(P149&lt;$E$26,"Pre-Development",IF(AND(P149&gt;=$E$26,P149&lt;=$H$26),"Construction",IF(P149='Assumptions'!$T$110,"Terminal Sale","Operating")))</f>
      </c>
      <c r="U149" s="26" t="n"/>
      <c r="V149" s="26" t="n">
        <f t="array" ref="V149">V148</f>
        <v>12</v>
      </c>
      <c r="W149" s="26" t="n"/>
      <c r="X149" s="26" t="n"/>
      <c r="Y149" s="26" t="n"/>
      <c r="Z149" s="26" t="n"/>
      <c r="AA149" s="26" t="n"/>
      <c r="AB149" s="26" t="n"/>
      <c r="AC149" s="26" t="n"/>
      <c r="AD149" s="26" t="n"/>
      <c r="AE149" s="26" t="n"/>
      <c r="AF149" s="26" t="n"/>
      <c r="AG149" s="26" t="n"/>
      <c r="AH149" s="26" t="n"/>
      <c r="AI149" s="26" t="n"/>
      <c r="AJ149" s="26" t="n"/>
      <c r="AK149" s="26" t="n"/>
      <c r="AL149" s="26" t="n"/>
      <c r="AM149" s="26" t="n"/>
      <c r="AN149" s="26" t="n"/>
      <c r="AO149" s="26" t="n"/>
      <c r="AP149" s="26" t="n"/>
      <c r="AQ149" s="26" t="n"/>
      <c r="AR149" s="26" t="n"/>
      <c r="AS149" s="26" t="n"/>
      <c r="AT149" s="26" t="n"/>
      <c r="AU149" s="27" t="n"/>
    </row>
    <row r="150" s="3154" customFormat="1" ht="13.5" customHeight="1">
      <c r="A150" s="627" t="n"/>
      <c r="B150" s="26" t="n"/>
      <c r="C150" s="26" t="n"/>
      <c r="D150" s="26" t="n"/>
      <c r="E150" s="3322" t="n"/>
      <c r="F150" s="26" t="n"/>
      <c r="G150" s="26" t="n"/>
      <c r="H150" s="26" t="n"/>
      <c r="I150" s="26" t="n"/>
      <c r="J150" s="26" t="n"/>
      <c r="K150" s="26" t="n"/>
      <c r="L150" s="26" t="n"/>
      <c r="M150" s="26" t="n"/>
      <c r="N150" s="26" t="n"/>
      <c r="O150" s="26" t="n"/>
      <c r="P150" s="1100" t="e">
        <f t="array" ref="P150">P149+1</f>
      </c>
      <c r="Q150" s="1100" t="e">
        <f t="array" ref="Q150">YEAR(R150)</f>
      </c>
      <c r="R150" s="4015" t="e">
        <f t="array" ref="R150">EDATE($R$9,P150)</f>
      </c>
      <c r="S150" s="1100" t="e">
        <f t="array" ref="S150">P150</f>
      </c>
      <c r="T150" s="429" t="e">
        <f t="array" ref="T150">IF(P150&lt;$E$26,"Pre-Development",IF(AND(P150&gt;=$E$26,P150&lt;=$H$26),"Construction",IF(P150='Assumptions'!$T$110,"Terminal Sale","Operating")))</f>
      </c>
      <c r="U150" s="26" t="n"/>
      <c r="V150" s="26" t="n">
        <f t="array" ref="V150">V149</f>
        <v>12</v>
      </c>
      <c r="W150" s="26" t="n"/>
      <c r="X150" s="26" t="n"/>
      <c r="Y150" s="26" t="n"/>
      <c r="Z150" s="26" t="n"/>
      <c r="AA150" s="26" t="n"/>
      <c r="AB150" s="26" t="n"/>
      <c r="AC150" s="26" t="n"/>
      <c r="AD150" s="26" t="n"/>
      <c r="AE150" s="26" t="n"/>
      <c r="AF150" s="26" t="n"/>
      <c r="AG150" s="26" t="n"/>
      <c r="AH150" s="26" t="n"/>
      <c r="AI150" s="26" t="n"/>
      <c r="AJ150" s="26" t="n"/>
      <c r="AK150" s="26" t="n"/>
      <c r="AL150" s="26" t="n"/>
      <c r="AM150" s="26" t="n"/>
      <c r="AN150" s="26" t="n"/>
      <c r="AO150" s="26" t="n"/>
      <c r="AP150" s="26" t="n"/>
      <c r="AQ150" s="26" t="n"/>
      <c r="AR150" s="26" t="n"/>
      <c r="AS150" s="26" t="n"/>
      <c r="AT150" s="26" t="n"/>
      <c r="AU150" s="27" t="n"/>
    </row>
    <row r="151" s="3154" customFormat="1" ht="13.5" customHeight="1">
      <c r="A151" s="627" t="n"/>
      <c r="B151" s="26" t="n"/>
      <c r="C151" s="26" t="n"/>
      <c r="D151" s="26" t="n"/>
      <c r="E151" s="3322" t="n"/>
      <c r="F151" s="26" t="n"/>
      <c r="G151" s="26" t="n"/>
      <c r="H151" s="26" t="n"/>
      <c r="I151" s="26" t="n"/>
      <c r="J151" s="26" t="n"/>
      <c r="K151" s="26" t="n"/>
      <c r="L151" s="26" t="n"/>
      <c r="M151" s="26" t="n"/>
      <c r="N151" s="26" t="n"/>
      <c r="O151" s="26" t="n"/>
      <c r="P151" s="1100" t="e">
        <f t="array" ref="P151">P150+1</f>
      </c>
      <c r="Q151" s="1100" t="e">
        <f t="array" ref="Q151">YEAR(R151)</f>
      </c>
      <c r="R151" s="4015" t="e">
        <f t="array" ref="R151">EDATE($R$9,P151)</f>
      </c>
      <c r="S151" s="1100" t="e">
        <f t="array" ref="S151">P151</f>
      </c>
      <c r="T151" s="429" t="e">
        <f t="array" ref="T151">IF(P151&lt;$E$26,"Pre-Development",IF(AND(P151&gt;=$E$26,P151&lt;=$H$26),"Construction",IF(P151='Assumptions'!$T$110,"Terminal Sale","Operating")))</f>
      </c>
      <c r="U151" s="26" t="n"/>
      <c r="V151" s="26" t="n">
        <f t="array" ref="V151">V150</f>
        <v>12</v>
      </c>
      <c r="W151" s="26" t="n"/>
      <c r="X151" s="26" t="n"/>
      <c r="Y151" s="26" t="n"/>
      <c r="Z151" s="26" t="n"/>
      <c r="AA151" s="26" t="n"/>
      <c r="AB151" s="26" t="n"/>
      <c r="AC151" s="26" t="n"/>
      <c r="AD151" s="26" t="n"/>
      <c r="AE151" s="26" t="n"/>
      <c r="AF151" s="26" t="n"/>
      <c r="AG151" s="26" t="n"/>
      <c r="AH151" s="26" t="n"/>
      <c r="AI151" s="26" t="n"/>
      <c r="AJ151" s="26" t="n"/>
      <c r="AK151" s="26" t="n"/>
      <c r="AL151" s="26" t="n"/>
      <c r="AM151" s="26" t="n"/>
      <c r="AN151" s="26" t="n"/>
      <c r="AO151" s="26" t="n"/>
      <c r="AP151" s="26" t="n"/>
      <c r="AQ151" s="26" t="n"/>
      <c r="AR151" s="26" t="n"/>
      <c r="AS151" s="26" t="n"/>
      <c r="AT151" s="26" t="n"/>
      <c r="AU151" s="27" t="n"/>
    </row>
    <row r="152" s="3154" customFormat="1" ht="15" customHeight="1">
      <c r="A152" s="627" t="n"/>
      <c r="B152" s="26" t="n"/>
      <c r="C152" s="26" t="n"/>
      <c r="D152" s="26" t="n"/>
      <c r="E152" s="3322" t="n"/>
      <c r="F152" s="26" t="n"/>
      <c r="G152" s="26" t="n"/>
      <c r="H152" s="26" t="n"/>
      <c r="I152" s="26" t="n"/>
      <c r="J152" s="26" t="n"/>
      <c r="K152" s="26" t="n"/>
      <c r="L152" s="26" t="n"/>
      <c r="M152" s="26" t="n"/>
      <c r="N152" s="26" t="n"/>
      <c r="O152" s="26" t="n"/>
      <c r="P152" s="1100" t="e">
        <f t="array" ref="P152">P151+1</f>
      </c>
      <c r="Q152" s="1100" t="e">
        <f t="array" ref="Q152">YEAR(R152)</f>
      </c>
      <c r="R152" s="4015" t="e">
        <f t="array" ref="R152">EDATE($R$9,P152)</f>
      </c>
      <c r="S152" s="1100" t="e">
        <f t="array" ref="S152">P152</f>
      </c>
      <c r="T152" s="429" t="e">
        <f t="array" ref="T152">IF(P152&lt;$E$26,"Pre-Development",IF(AND(P152&gt;=$E$26,P152&lt;=$H$26),"Construction",IF(P152='Assumptions'!$T$110,"Terminal Sale","Operating")))</f>
      </c>
      <c r="U152" s="26" t="n"/>
      <c r="V152" s="26" t="n">
        <f t="array" ref="V152">V151</f>
        <v>12</v>
      </c>
      <c r="W152" s="26" t="n"/>
      <c r="X152" s="26" t="n"/>
      <c r="Y152" s="26" t="n"/>
      <c r="Z152" s="26" t="n"/>
      <c r="AA152" s="26" t="n"/>
      <c r="AB152" s="26" t="n"/>
      <c r="AC152" s="26" t="n"/>
      <c r="AD152" s="26" t="n"/>
      <c r="AE152" s="26" t="n"/>
      <c r="AF152" s="26" t="n"/>
      <c r="AG152" s="26" t="n"/>
      <c r="AH152" s="26" t="n"/>
      <c r="AI152" s="26" t="n"/>
      <c r="AJ152" s="26" t="n"/>
      <c r="AK152" s="26" t="n"/>
      <c r="AL152" s="26" t="n"/>
      <c r="AM152" s="26" t="n"/>
      <c r="AN152" s="26" t="n"/>
      <c r="AO152" s="26" t="n"/>
      <c r="AP152" s="26" t="n"/>
      <c r="AQ152" s="26" t="n"/>
      <c r="AR152" s="26" t="n"/>
      <c r="AS152" s="26" t="n"/>
      <c r="AT152" s="26" t="n"/>
      <c r="AU152" s="27" t="n"/>
    </row>
    <row r="153" s="3154" customFormat="1" ht="15" customHeight="1">
      <c r="A153" s="627" t="n"/>
      <c r="B153" s="26" t="n"/>
      <c r="C153" s="26" t="n"/>
      <c r="D153" s="26" t="n"/>
      <c r="E153" s="3322" t="n"/>
      <c r="F153" s="26" t="n"/>
      <c r="G153" s="26" t="n"/>
      <c r="H153" s="26" t="n"/>
      <c r="I153" s="26" t="n"/>
      <c r="J153" s="26" t="n"/>
      <c r="K153" s="26" t="n"/>
      <c r="L153" s="26" t="n"/>
      <c r="M153" s="26" t="n"/>
      <c r="N153" s="26" t="n"/>
      <c r="O153" s="26" t="n"/>
      <c r="P153" s="1100" t="e">
        <f t="array" ref="P153">P152+1</f>
      </c>
      <c r="Q153" s="1100" t="e">
        <f t="array" ref="Q153">YEAR(R153)</f>
      </c>
      <c r="R153" s="4015" t="e">
        <f t="array" ref="R153">EDATE($R$9,P153)</f>
      </c>
      <c r="S153" s="1100" t="e">
        <f t="array" ref="S153">P153</f>
      </c>
      <c r="T153" s="429" t="e">
        <f t="array" ref="T153">IF(P153&lt;$E$26,"Pre-Development",IF(AND(P153&gt;=$E$26,P153&lt;=$H$26),"Construction",IF(P153='Assumptions'!$T$110,"Terminal Sale","Operating")))</f>
      </c>
      <c r="U153" s="26" t="n"/>
      <c r="V153" s="26" t="n">
        <f t="array" ref="V153">V152+1</f>
        <v>13</v>
      </c>
      <c r="W153" s="26" t="n"/>
      <c r="X153" s="26" t="n"/>
      <c r="Y153" s="26" t="n"/>
      <c r="Z153" s="26" t="n"/>
      <c r="AA153" s="26" t="n"/>
      <c r="AB153" s="26" t="n"/>
      <c r="AC153" s="26" t="n"/>
      <c r="AD153" s="26" t="n"/>
      <c r="AE153" s="26" t="n"/>
      <c r="AF153" s="26" t="n"/>
      <c r="AG153" s="26" t="n"/>
      <c r="AH153" s="26" t="n"/>
      <c r="AI153" s="26" t="n"/>
      <c r="AJ153" s="26" t="n"/>
      <c r="AK153" s="26" t="n"/>
      <c r="AL153" s="26" t="n"/>
      <c r="AM153" s="26" t="n"/>
      <c r="AN153" s="26" t="n"/>
      <c r="AO153" s="26" t="n"/>
      <c r="AP153" s="26" t="n"/>
      <c r="AQ153" s="26" t="n"/>
      <c r="AR153" s="26" t="n"/>
      <c r="AS153" s="26" t="n"/>
      <c r="AT153" s="26" t="n"/>
      <c r="AU153" s="27" t="n"/>
    </row>
    <row r="154" s="3154" customFormat="1" ht="15" customHeight="1">
      <c r="A154" s="627" t="n"/>
      <c r="B154" s="26" t="n"/>
      <c r="C154" s="26" t="n"/>
      <c r="D154" s="26" t="n"/>
      <c r="E154" s="3322" t="n"/>
      <c r="F154" s="26" t="n"/>
      <c r="G154" s="26" t="n"/>
      <c r="H154" s="26" t="n"/>
      <c r="I154" s="26" t="n"/>
      <c r="J154" s="26" t="n"/>
      <c r="K154" s="26" t="n"/>
      <c r="L154" s="26" t="n"/>
      <c r="M154" s="26" t="n"/>
      <c r="N154" s="26" t="n"/>
      <c r="O154" s="26" t="n"/>
      <c r="P154" s="1100" t="e">
        <f t="array" ref="P154">P153+1</f>
      </c>
      <c r="Q154" s="1100" t="e">
        <f t="array" ref="Q154">YEAR(R154)</f>
      </c>
      <c r="R154" s="4015" t="e">
        <f t="array" ref="R154">EDATE($R$9,P154)</f>
      </c>
      <c r="S154" s="1100" t="e">
        <f t="array" ref="S154">P154</f>
      </c>
      <c r="T154" s="429" t="e">
        <f t="array" ref="T154">IF(P154&lt;$E$26,"Pre-Development",IF(AND(P154&gt;=$E$26,P154&lt;=$H$26),"Construction",IF(P154='Assumptions'!$T$110,"Terminal Sale","Operating")))</f>
      </c>
      <c r="U154" s="26" t="n"/>
      <c r="V154" s="26" t="n">
        <f t="array" ref="V154">V153</f>
        <v>13</v>
      </c>
      <c r="W154" s="26" t="n"/>
      <c r="X154" s="26" t="n"/>
      <c r="Y154" s="26" t="n"/>
      <c r="Z154" s="26" t="n"/>
      <c r="AA154" s="26" t="n"/>
      <c r="AB154" s="26" t="n"/>
      <c r="AC154" s="26" t="n"/>
      <c r="AD154" s="26" t="n"/>
      <c r="AE154" s="26" t="n"/>
      <c r="AF154" s="26" t="n"/>
      <c r="AG154" s="26" t="n"/>
      <c r="AH154" s="26" t="n"/>
      <c r="AI154" s="26" t="n"/>
      <c r="AJ154" s="26" t="n"/>
      <c r="AK154" s="26" t="n"/>
      <c r="AL154" s="26" t="n"/>
      <c r="AM154" s="26" t="n"/>
      <c r="AN154" s="26" t="n"/>
      <c r="AO154" s="26" t="n"/>
      <c r="AP154" s="26" t="n"/>
      <c r="AQ154" s="26" t="n"/>
      <c r="AR154" s="26" t="n"/>
      <c r="AS154" s="26" t="n"/>
      <c r="AT154" s="26" t="n"/>
      <c r="AU154" s="27" t="n"/>
    </row>
    <row r="155" s="3154" customFormat="1" ht="15" customHeight="1">
      <c r="A155" s="627" t="n"/>
      <c r="B155" s="26" t="n"/>
      <c r="C155" s="26" t="n"/>
      <c r="D155" s="26" t="n"/>
      <c r="E155" s="26" t="n"/>
      <c r="F155" s="26" t="n"/>
      <c r="G155" s="26" t="n"/>
      <c r="H155" s="26" t="n"/>
      <c r="I155" s="26" t="n"/>
      <c r="J155" s="26" t="n"/>
      <c r="K155" s="26" t="n"/>
      <c r="L155" s="26" t="n"/>
      <c r="M155" s="26" t="n"/>
      <c r="N155" s="26" t="n"/>
      <c r="O155" s="26" t="n"/>
      <c r="P155" s="1100" t="e">
        <f t="array" ref="P155">P154+1</f>
      </c>
      <c r="Q155" s="1100" t="e">
        <f t="array" ref="Q155">YEAR(R155)</f>
      </c>
      <c r="R155" s="4015" t="e">
        <f t="array" ref="R155">EDATE($R$9,P155)</f>
      </c>
      <c r="S155" s="1100" t="e">
        <f t="array" ref="S155">P155</f>
      </c>
      <c r="T155" s="2307" t="e">
        <f t="array" ref="T155">IF(P155&lt;$E$26,"Pre-Development",IF(AND(P155&gt;=$E$26,P155&lt;=$H$26),"Construction",IF(P155='Assumptions'!$T$110,"Terminal Sale","Operating")))</f>
      </c>
      <c r="U155" s="26" t="n"/>
      <c r="V155" s="1099" t="n">
        <f t="array" ref="V155">V154</f>
        <v>13</v>
      </c>
      <c r="W155" s="26" t="n"/>
      <c r="X155" s="26" t="n"/>
      <c r="Y155" s="26" t="n"/>
      <c r="Z155" s="26" t="n"/>
      <c r="AA155" s="26" t="n"/>
      <c r="AB155" s="26" t="n"/>
      <c r="AC155" s="26" t="n"/>
      <c r="AD155" s="26" t="n"/>
      <c r="AE155" s="26" t="n"/>
      <c r="AF155" s="26" t="n"/>
      <c r="AG155" s="26" t="n"/>
      <c r="AH155" s="26" t="n"/>
      <c r="AI155" s="26" t="n"/>
      <c r="AJ155" s="26" t="n"/>
      <c r="AK155" s="26" t="n"/>
      <c r="AL155" s="26" t="n"/>
      <c r="AM155" s="26" t="n"/>
      <c r="AN155" s="26" t="n"/>
      <c r="AO155" s="26" t="n"/>
      <c r="AP155" s="26" t="n"/>
      <c r="AQ155" s="26" t="n"/>
      <c r="AR155" s="26" t="n"/>
      <c r="AS155" s="26" t="n"/>
      <c r="AT155" s="26" t="n"/>
      <c r="AU155" s="27" t="n"/>
    </row>
    <row r="156" s="3154" customFormat="1" ht="15" customHeight="1">
      <c r="A156" s="627" t="n"/>
      <c r="B156" s="26" t="n"/>
      <c r="C156" s="26" t="n"/>
      <c r="D156" s="26" t="n"/>
      <c r="E156" s="26" t="n"/>
      <c r="F156" s="26" t="n"/>
      <c r="G156" s="26" t="n"/>
      <c r="H156" s="26" t="n"/>
      <c r="I156" s="26" t="n"/>
      <c r="J156" s="26" t="n"/>
      <c r="K156" s="26" t="n"/>
      <c r="L156" s="26" t="n"/>
      <c r="M156" s="26" t="n"/>
      <c r="N156" s="26" t="n"/>
      <c r="O156" s="26" t="n"/>
      <c r="P156" s="1100" t="e">
        <f t="array" ref="P156">P155+1</f>
      </c>
      <c r="Q156" s="1100" t="e">
        <f t="array" ref="Q156">YEAR(R156)</f>
      </c>
      <c r="R156" s="4015" t="e">
        <f t="array" ref="R156">EDATE($R$9,P156)</f>
      </c>
      <c r="S156" s="1100" t="e">
        <f t="array" ref="S156">P156</f>
      </c>
      <c r="T156" s="2307" t="e">
        <f t="array" ref="T156">IF(P156&lt;$E$26,"Pre-Development",IF(AND(P156&gt;=$E$26,P156&lt;=$H$26),"Construction",IF(P156='Assumptions'!$T$110,"Terminal Sale","Operating")))</f>
      </c>
      <c r="U156" s="26" t="n"/>
      <c r="V156" s="1099" t="n">
        <f t="array" ref="V156">V155</f>
        <v>13</v>
      </c>
      <c r="W156" s="26" t="n"/>
      <c r="X156" s="26" t="n"/>
      <c r="Y156" s="26" t="n"/>
      <c r="Z156" s="26" t="n"/>
      <c r="AA156" s="26" t="n"/>
      <c r="AB156" s="26" t="n"/>
      <c r="AC156" s="26" t="n"/>
      <c r="AD156" s="26" t="n"/>
      <c r="AE156" s="26" t="n"/>
      <c r="AF156" s="26" t="n"/>
      <c r="AG156" s="26" t="n"/>
      <c r="AH156" s="26" t="n"/>
      <c r="AI156" s="26" t="n"/>
      <c r="AJ156" s="26" t="n"/>
      <c r="AK156" s="26" t="n"/>
      <c r="AL156" s="26" t="n"/>
      <c r="AM156" s="26" t="n"/>
      <c r="AN156" s="26" t="n"/>
      <c r="AO156" s="26" t="n"/>
      <c r="AP156" s="26" t="n"/>
      <c r="AQ156" s="26" t="n"/>
      <c r="AR156" s="26" t="n"/>
      <c r="AS156" s="26" t="n"/>
      <c r="AT156" s="26" t="n"/>
      <c r="AU156" s="27" t="n"/>
    </row>
    <row r="157" s="3154" customFormat="1" ht="15" customHeight="1">
      <c r="A157" s="627" t="n"/>
      <c r="B157" s="26" t="n"/>
      <c r="C157" s="26" t="n"/>
      <c r="D157" s="26" t="n"/>
      <c r="E157" s="26" t="n"/>
      <c r="F157" s="26" t="n"/>
      <c r="G157" s="26" t="n"/>
      <c r="H157" s="26" t="n"/>
      <c r="I157" s="26" t="n"/>
      <c r="J157" s="26" t="n"/>
      <c r="K157" s="26" t="n"/>
      <c r="L157" s="26" t="n"/>
      <c r="M157" s="26" t="n"/>
      <c r="N157" s="26" t="n"/>
      <c r="O157" s="26" t="n"/>
      <c r="P157" s="1100" t="e">
        <f t="array" ref="P157">P156+1</f>
      </c>
      <c r="Q157" s="1100" t="e">
        <f t="array" ref="Q157">YEAR(R157)</f>
      </c>
      <c r="R157" s="4015" t="e">
        <f t="array" ref="R157">EDATE($R$9,P157)</f>
      </c>
      <c r="S157" s="1100" t="e">
        <f t="array" ref="S157">P157</f>
      </c>
      <c r="T157" s="2307" t="e">
        <f t="array" ref="T157">IF(P157&lt;$E$26,"Pre-Development",IF(AND(P157&gt;=$E$26,P157&lt;=$H$26),"Construction",IF(P157='Assumptions'!$T$110,"Terminal Sale","Operating")))</f>
      </c>
      <c r="U157" s="26" t="n"/>
      <c r="V157" s="1099" t="n">
        <f t="array" ref="V157">V156</f>
        <v>13</v>
      </c>
      <c r="W157" s="26" t="n"/>
      <c r="X157" s="26" t="n"/>
      <c r="Y157" s="26" t="n"/>
      <c r="Z157" s="26" t="n"/>
      <c r="AA157" s="26" t="n"/>
      <c r="AB157" s="26" t="n"/>
      <c r="AC157" s="26" t="n"/>
      <c r="AD157" s="26" t="n"/>
      <c r="AE157" s="26" t="n"/>
      <c r="AF157" s="26" t="n"/>
      <c r="AG157" s="26" t="n"/>
      <c r="AH157" s="26" t="n"/>
      <c r="AI157" s="26" t="n"/>
      <c r="AJ157" s="26" t="n"/>
      <c r="AK157" s="26" t="n"/>
      <c r="AL157" s="26" t="n"/>
      <c r="AM157" s="26" t="n"/>
      <c r="AN157" s="26" t="n"/>
      <c r="AO157" s="26" t="n"/>
      <c r="AP157" s="26" t="n"/>
      <c r="AQ157" s="26" t="n"/>
      <c r="AR157" s="26" t="n"/>
      <c r="AS157" s="26" t="n"/>
      <c r="AT157" s="26" t="n"/>
      <c r="AU157" s="27" t="n"/>
    </row>
    <row r="158" s="3154" customFormat="1" ht="15" customHeight="1">
      <c r="A158" s="627" t="n"/>
      <c r="B158" s="26" t="n"/>
      <c r="C158" s="26" t="n"/>
      <c r="D158" s="26" t="n"/>
      <c r="E158" s="26" t="n"/>
      <c r="F158" s="26" t="n"/>
      <c r="G158" s="26" t="n"/>
      <c r="H158" s="26" t="n"/>
      <c r="I158" s="26" t="n"/>
      <c r="J158" s="26" t="n"/>
      <c r="K158" s="26" t="n"/>
      <c r="L158" s="26" t="n"/>
      <c r="M158" s="26" t="n"/>
      <c r="N158" s="26" t="n"/>
      <c r="O158" s="26" t="n"/>
      <c r="P158" s="1100" t="e">
        <f t="array" ref="P158">P157+1</f>
      </c>
      <c r="Q158" s="1100" t="e">
        <f t="array" ref="Q158">YEAR(R158)</f>
      </c>
      <c r="R158" s="4015" t="e">
        <f t="array" ref="R158">EDATE($R$9,P158)</f>
      </c>
      <c r="S158" s="1100" t="e">
        <f t="array" ref="S158">P158</f>
      </c>
      <c r="T158" s="2307" t="e">
        <f t="array" ref="T158">IF(P158&lt;$E$26,"Pre-Development",IF(AND(P158&gt;=$E$26,P158&lt;=$H$26),"Construction",IF(P158='Assumptions'!$T$110,"Terminal Sale","Operating")))</f>
      </c>
      <c r="U158" s="26" t="n"/>
      <c r="V158" s="1099" t="n">
        <f t="array" ref="V158">V157</f>
        <v>13</v>
      </c>
      <c r="W158" s="26" t="n"/>
      <c r="X158" s="26" t="n"/>
      <c r="Y158" s="26" t="n"/>
      <c r="Z158" s="26" t="n"/>
      <c r="AA158" s="26" t="n"/>
      <c r="AB158" s="26" t="n"/>
      <c r="AC158" s="26" t="n"/>
      <c r="AD158" s="26" t="n"/>
      <c r="AE158" s="26" t="n"/>
      <c r="AF158" s="26" t="n"/>
      <c r="AG158" s="26" t="n"/>
      <c r="AH158" s="26" t="n"/>
      <c r="AI158" s="26" t="n"/>
      <c r="AJ158" s="26" t="n"/>
      <c r="AK158" s="26" t="n"/>
      <c r="AL158" s="26" t="n"/>
      <c r="AM158" s="26" t="n"/>
      <c r="AN158" s="26" t="n"/>
      <c r="AO158" s="26" t="n"/>
      <c r="AP158" s="26" t="n"/>
      <c r="AQ158" s="26" t="n"/>
      <c r="AR158" s="26" t="n"/>
      <c r="AS158" s="26" t="n"/>
      <c r="AT158" s="26" t="n"/>
      <c r="AU158" s="27" t="n"/>
    </row>
    <row r="159" s="3154" customFormat="1" ht="15" customHeight="1">
      <c r="A159" s="627" t="n"/>
      <c r="B159" s="26" t="n"/>
      <c r="C159" s="26" t="n"/>
      <c r="D159" s="26" t="n"/>
      <c r="E159" s="26" t="n"/>
      <c r="F159" s="26" t="n"/>
      <c r="G159" s="26" t="n"/>
      <c r="H159" s="26" t="n"/>
      <c r="I159" s="26" t="n"/>
      <c r="J159" s="26" t="n"/>
      <c r="K159" s="26" t="n"/>
      <c r="L159" s="26" t="n"/>
      <c r="M159" s="26" t="n"/>
      <c r="N159" s="26" t="n"/>
      <c r="O159" s="26" t="n"/>
      <c r="P159" s="1100" t="e">
        <f t="array" ref="P159">P158+1</f>
      </c>
      <c r="Q159" s="1100" t="e">
        <f t="array" ref="Q159">YEAR(R159)</f>
      </c>
      <c r="R159" s="4015" t="e">
        <f t="array" ref="R159">EDATE($R$9,P159)</f>
      </c>
      <c r="S159" s="1100" t="e">
        <f t="array" ref="S159">P159</f>
      </c>
      <c r="T159" s="2307" t="e">
        <f t="array" ref="T159">IF(P159&lt;$E$26,"Pre-Development",IF(AND(P159&gt;=$E$26,P159&lt;=$H$26),"Construction",IF(P159='Assumptions'!$T$110,"Terminal Sale","Operating")))</f>
      </c>
      <c r="U159" s="26" t="n"/>
      <c r="V159" s="1099" t="n">
        <f t="array" ref="V159">V158</f>
        <v>13</v>
      </c>
      <c r="W159" s="26" t="n"/>
      <c r="X159" s="26" t="n"/>
      <c r="Y159" s="26" t="n"/>
      <c r="Z159" s="26" t="n"/>
      <c r="AA159" s="26" t="n"/>
      <c r="AB159" s="26" t="n"/>
      <c r="AC159" s="26" t="n"/>
      <c r="AD159" s="26" t="n"/>
      <c r="AE159" s="26" t="n"/>
      <c r="AF159" s="26" t="n"/>
      <c r="AG159" s="26" t="n"/>
      <c r="AH159" s="26" t="n"/>
      <c r="AI159" s="26" t="n"/>
      <c r="AJ159" s="26" t="n"/>
      <c r="AK159" s="26" t="n"/>
      <c r="AL159" s="26" t="n"/>
      <c r="AM159" s="26" t="n"/>
      <c r="AN159" s="26" t="n"/>
      <c r="AO159" s="26" t="n"/>
      <c r="AP159" s="26" t="n"/>
      <c r="AQ159" s="26" t="n"/>
      <c r="AR159" s="26" t="n"/>
      <c r="AS159" s="26" t="n"/>
      <c r="AT159" s="26" t="n"/>
      <c r="AU159" s="27" t="n"/>
    </row>
    <row r="160" s="3154" customFormat="1" ht="15" customHeight="1">
      <c r="A160" s="627" t="n"/>
      <c r="B160" s="26" t="n"/>
      <c r="C160" s="26" t="n"/>
      <c r="D160" s="26" t="n"/>
      <c r="E160" s="26" t="n"/>
      <c r="F160" s="26" t="n"/>
      <c r="G160" s="26" t="n"/>
      <c r="H160" s="26" t="n"/>
      <c r="I160" s="26" t="n"/>
      <c r="J160" s="26" t="n"/>
      <c r="K160" s="26" t="n"/>
      <c r="L160" s="26" t="n"/>
      <c r="M160" s="26" t="n"/>
      <c r="N160" s="26" t="n"/>
      <c r="O160" s="26" t="n"/>
      <c r="P160" s="1100" t="e">
        <f t="array" ref="P160">P159+1</f>
      </c>
      <c r="Q160" s="1100" t="e">
        <f t="array" ref="Q160">YEAR(R160)</f>
      </c>
      <c r="R160" s="4015" t="e">
        <f t="array" ref="R160">EDATE($R$9,P160)</f>
      </c>
      <c r="S160" s="1100" t="e">
        <f t="array" ref="S160">P160</f>
      </c>
      <c r="T160" s="2307" t="e">
        <f t="array" ref="T160">IF(P160&lt;$E$26,"Pre-Development",IF(AND(P160&gt;=$E$26,P160&lt;=$H$26),"Construction",IF(P160='Assumptions'!$T$110,"Terminal Sale","Operating")))</f>
      </c>
      <c r="U160" s="26" t="n"/>
      <c r="V160" s="1099" t="n">
        <f t="array" ref="V160">V159</f>
        <v>13</v>
      </c>
      <c r="W160" s="26" t="n"/>
      <c r="X160" s="26" t="n"/>
      <c r="Y160" s="26" t="n"/>
      <c r="Z160" s="26" t="n"/>
      <c r="AA160" s="26" t="n"/>
      <c r="AB160" s="26" t="n"/>
      <c r="AC160" s="26" t="n"/>
      <c r="AD160" s="26" t="n"/>
      <c r="AE160" s="26" t="n"/>
      <c r="AF160" s="26" t="n"/>
      <c r="AG160" s="26" t="n"/>
      <c r="AH160" s="26" t="n"/>
      <c r="AI160" s="26" t="n"/>
      <c r="AJ160" s="26" t="n"/>
      <c r="AK160" s="26" t="n"/>
      <c r="AL160" s="26" t="n"/>
      <c r="AM160" s="26" t="n"/>
      <c r="AN160" s="26" t="n"/>
      <c r="AO160" s="26" t="n"/>
      <c r="AP160" s="26" t="n"/>
      <c r="AQ160" s="26" t="n"/>
      <c r="AR160" s="26" t="n"/>
      <c r="AS160" s="26" t="n"/>
      <c r="AT160" s="26" t="n"/>
      <c r="AU160" s="27" t="n"/>
    </row>
    <row r="161" s="3154" customFormat="1" ht="15" customHeight="1">
      <c r="A161" s="627" t="n"/>
      <c r="B161" s="26" t="n"/>
      <c r="C161" s="26" t="n"/>
      <c r="D161" s="26" t="n"/>
      <c r="E161" s="26" t="n"/>
      <c r="F161" s="26" t="n"/>
      <c r="G161" s="26" t="n"/>
      <c r="H161" s="26" t="n"/>
      <c r="I161" s="26" t="n"/>
      <c r="J161" s="26" t="n"/>
      <c r="K161" s="26" t="n"/>
      <c r="L161" s="26" t="n"/>
      <c r="M161" s="26" t="n"/>
      <c r="N161" s="26" t="n"/>
      <c r="O161" s="26" t="n"/>
      <c r="P161" s="1100" t="e">
        <f t="array" ref="P161">P160+1</f>
      </c>
      <c r="Q161" s="1100" t="e">
        <f t="array" ref="Q161">YEAR(R161)</f>
      </c>
      <c r="R161" s="4015" t="e">
        <f t="array" ref="R161">EDATE($R$9,P161)</f>
      </c>
      <c r="S161" s="1100" t="e">
        <f t="array" ref="S161">P161</f>
      </c>
      <c r="T161" s="2307" t="e">
        <f t="array" ref="T161">IF(P161&lt;$E$26,"Pre-Development",IF(AND(P161&gt;=$E$26,P161&lt;=$H$26),"Construction",IF(P161='Assumptions'!$T$110,"Terminal Sale","Operating")))</f>
      </c>
      <c r="U161" s="26" t="n"/>
      <c r="V161" s="1099" t="n">
        <f t="array" ref="V161">V160</f>
        <v>13</v>
      </c>
      <c r="W161" s="26" t="n"/>
      <c r="X161" s="26" t="n"/>
      <c r="Y161" s="26" t="n"/>
      <c r="Z161" s="26" t="n"/>
      <c r="AA161" s="26" t="n"/>
      <c r="AB161" s="26" t="n"/>
      <c r="AC161" s="26" t="n"/>
      <c r="AD161" s="26" t="n"/>
      <c r="AE161" s="26" t="n"/>
      <c r="AF161" s="26" t="n"/>
      <c r="AG161" s="26" t="n"/>
      <c r="AH161" s="26" t="n"/>
      <c r="AI161" s="26" t="n"/>
      <c r="AJ161" s="26" t="n"/>
      <c r="AK161" s="26" t="n"/>
      <c r="AL161" s="26" t="n"/>
      <c r="AM161" s="26" t="n"/>
      <c r="AN161" s="26" t="n"/>
      <c r="AO161" s="26" t="n"/>
      <c r="AP161" s="26" t="n"/>
      <c r="AQ161" s="26" t="n"/>
      <c r="AR161" s="26" t="n"/>
      <c r="AS161" s="26" t="n"/>
      <c r="AT161" s="26" t="n"/>
      <c r="AU161" s="27" t="n"/>
    </row>
    <row r="162" s="3154" customFormat="1" ht="15" customHeight="1">
      <c r="A162" s="627" t="n"/>
      <c r="B162" s="26" t="n"/>
      <c r="C162" s="26" t="n"/>
      <c r="D162" s="26" t="n"/>
      <c r="E162" s="26" t="n"/>
      <c r="F162" s="26" t="n"/>
      <c r="G162" s="26" t="n"/>
      <c r="H162" s="26" t="n"/>
      <c r="I162" s="26" t="n"/>
      <c r="J162" s="26" t="n"/>
      <c r="K162" s="26" t="n"/>
      <c r="L162" s="26" t="n"/>
      <c r="M162" s="26" t="n"/>
      <c r="N162" s="26" t="n"/>
      <c r="O162" s="26" t="n"/>
      <c r="P162" s="1100" t="e">
        <f t="array" ref="P162">P161+1</f>
      </c>
      <c r="Q162" s="1100" t="e">
        <f t="array" ref="Q162">YEAR(R162)</f>
      </c>
      <c r="R162" s="4015" t="e">
        <f t="array" ref="R162">EDATE($R$9,P162)</f>
      </c>
      <c r="S162" s="1100" t="e">
        <f t="array" ref="S162">P162</f>
      </c>
      <c r="T162" s="2307" t="e">
        <f t="array" ref="T162">IF(P162&lt;$E$26,"Pre-Development",IF(AND(P162&gt;=$E$26,P162&lt;=$H$26),"Construction",IF(P162='Assumptions'!$T$110,"Terminal Sale","Operating")))</f>
      </c>
      <c r="U162" s="26" t="n"/>
      <c r="V162" s="1099" t="n">
        <f t="array" ref="V162">V161</f>
        <v>13</v>
      </c>
      <c r="W162" s="26" t="n"/>
      <c r="X162" s="26" t="n"/>
      <c r="Y162" s="26" t="n"/>
      <c r="Z162" s="26" t="n"/>
      <c r="AA162" s="26" t="n"/>
      <c r="AB162" s="26" t="n"/>
      <c r="AC162" s="26" t="n"/>
      <c r="AD162" s="26" t="n"/>
      <c r="AE162" s="26" t="n"/>
      <c r="AF162" s="26" t="n"/>
      <c r="AG162" s="26" t="n"/>
      <c r="AH162" s="26" t="n"/>
      <c r="AI162" s="26" t="n"/>
      <c r="AJ162" s="26" t="n"/>
      <c r="AK162" s="26" t="n"/>
      <c r="AL162" s="26" t="n"/>
      <c r="AM162" s="26" t="n"/>
      <c r="AN162" s="26" t="n"/>
      <c r="AO162" s="26" t="n"/>
      <c r="AP162" s="26" t="n"/>
      <c r="AQ162" s="26" t="n"/>
      <c r="AR162" s="26" t="n"/>
      <c r="AS162" s="26" t="n"/>
      <c r="AT162" s="26" t="n"/>
      <c r="AU162" s="27" t="n"/>
    </row>
    <row r="163" s="3154" customFormat="1" ht="15" customHeight="1">
      <c r="A163" s="627" t="n"/>
      <c r="B163" s="26" t="n"/>
      <c r="C163" s="26" t="n"/>
      <c r="D163" s="26" t="n"/>
      <c r="E163" s="26" t="n"/>
      <c r="F163" s="26" t="n"/>
      <c r="G163" s="26" t="n"/>
      <c r="H163" s="26" t="n"/>
      <c r="I163" s="26" t="n"/>
      <c r="J163" s="26" t="n"/>
      <c r="K163" s="26" t="n"/>
      <c r="L163" s="26" t="n"/>
      <c r="M163" s="26" t="n"/>
      <c r="N163" s="26" t="n"/>
      <c r="O163" s="26" t="n"/>
      <c r="P163" s="1100" t="e">
        <f t="array" ref="P163">P162+1</f>
      </c>
      <c r="Q163" s="1100" t="e">
        <f t="array" ref="Q163">YEAR(R163)</f>
      </c>
      <c r="R163" s="4015" t="e">
        <f t="array" ref="R163">EDATE($R$9,P163)</f>
      </c>
      <c r="S163" s="1100" t="e">
        <f t="array" ref="S163">P163</f>
      </c>
      <c r="T163" s="2307" t="e">
        <f t="array" ref="T163">IF(P163&lt;$E$26,"Pre-Development",IF(AND(P163&gt;=$E$26,P163&lt;=$H$26),"Construction",IF(P163='Assumptions'!$T$110,"Terminal Sale","Operating")))</f>
      </c>
      <c r="U163" s="26" t="n"/>
      <c r="V163" s="1099" t="n">
        <f t="array" ref="V163">V162</f>
        <v>13</v>
      </c>
      <c r="W163" s="26" t="n"/>
      <c r="X163" s="26" t="n"/>
      <c r="Y163" s="26" t="n"/>
      <c r="Z163" s="26" t="n"/>
      <c r="AA163" s="26" t="n"/>
      <c r="AB163" s="26" t="n"/>
      <c r="AC163" s="26" t="n"/>
      <c r="AD163" s="26" t="n"/>
      <c r="AE163" s="26" t="n"/>
      <c r="AF163" s="26" t="n"/>
      <c r="AG163" s="26" t="n"/>
      <c r="AH163" s="26" t="n"/>
      <c r="AI163" s="26" t="n"/>
      <c r="AJ163" s="26" t="n"/>
      <c r="AK163" s="26" t="n"/>
      <c r="AL163" s="26" t="n"/>
      <c r="AM163" s="26" t="n"/>
      <c r="AN163" s="26" t="n"/>
      <c r="AO163" s="26" t="n"/>
      <c r="AP163" s="26" t="n"/>
      <c r="AQ163" s="26" t="n"/>
      <c r="AR163" s="26" t="n"/>
      <c r="AS163" s="26" t="n"/>
      <c r="AT163" s="26" t="n"/>
      <c r="AU163" s="27" t="n"/>
    </row>
    <row r="164" s="3154" customFormat="1" ht="15" customHeight="1">
      <c r="A164" s="627" t="n"/>
      <c r="B164" s="26" t="n"/>
      <c r="C164" s="26" t="n"/>
      <c r="D164" s="26" t="n"/>
      <c r="E164" s="26" t="n"/>
      <c r="F164" s="26" t="n"/>
      <c r="G164" s="26" t="n"/>
      <c r="H164" s="26" t="n"/>
      <c r="I164" s="26" t="n"/>
      <c r="J164" s="26" t="n"/>
      <c r="K164" s="26" t="n"/>
      <c r="L164" s="26" t="n"/>
      <c r="M164" s="26" t="n"/>
      <c r="N164" s="26" t="n"/>
      <c r="O164" s="26" t="n"/>
      <c r="P164" s="1100" t="e">
        <f t="array" ref="P164">P163+1</f>
      </c>
      <c r="Q164" s="1100" t="e">
        <f t="array" ref="Q164">YEAR(R164)</f>
      </c>
      <c r="R164" s="4015" t="e">
        <f t="array" ref="R164">EDATE($R$9,P164)</f>
      </c>
      <c r="S164" s="1100" t="e">
        <f t="array" ref="S164">P164</f>
      </c>
      <c r="T164" s="2307" t="e">
        <f t="array" ref="T164">IF(P164&lt;$E$26,"Pre-Development",IF(AND(P164&gt;=$E$26,P164&lt;=$H$26),"Construction",IF(P164='Assumptions'!$T$110,"Terminal Sale","Operating")))</f>
      </c>
      <c r="U164" s="26" t="n"/>
      <c r="V164" s="1099" t="n">
        <f t="array" ref="V164">V163</f>
        <v>13</v>
      </c>
      <c r="W164" s="26" t="n"/>
      <c r="X164" s="26" t="n"/>
      <c r="Y164" s="26" t="n"/>
      <c r="Z164" s="26" t="n"/>
      <c r="AA164" s="26" t="n"/>
      <c r="AB164" s="26" t="n"/>
      <c r="AC164" s="26" t="n"/>
      <c r="AD164" s="26" t="n"/>
      <c r="AE164" s="26" t="n"/>
      <c r="AF164" s="26" t="n"/>
      <c r="AG164" s="26" t="n"/>
      <c r="AH164" s="26" t="n"/>
      <c r="AI164" s="26" t="n"/>
      <c r="AJ164" s="26" t="n"/>
      <c r="AK164" s="26" t="n"/>
      <c r="AL164" s="26" t="n"/>
      <c r="AM164" s="26" t="n"/>
      <c r="AN164" s="26" t="n"/>
      <c r="AO164" s="26" t="n"/>
      <c r="AP164" s="26" t="n"/>
      <c r="AQ164" s="26" t="n"/>
      <c r="AR164" s="26" t="n"/>
      <c r="AS164" s="26" t="n"/>
      <c r="AT164" s="26" t="n"/>
      <c r="AU164" s="27" t="n"/>
    </row>
    <row r="165" s="3154" customFormat="1" ht="15" customHeight="1">
      <c r="A165" s="627" t="n"/>
      <c r="B165" s="26" t="n"/>
      <c r="C165" s="26" t="n"/>
      <c r="D165" s="26" t="n"/>
      <c r="E165" s="26" t="n"/>
      <c r="F165" s="26" t="n"/>
      <c r="G165" s="26" t="n"/>
      <c r="H165" s="26" t="n"/>
      <c r="I165" s="26" t="n"/>
      <c r="J165" s="26" t="n"/>
      <c r="K165" s="26" t="n"/>
      <c r="L165" s="26" t="n"/>
      <c r="M165" s="26" t="n"/>
      <c r="N165" s="26" t="n"/>
      <c r="O165" s="26" t="n"/>
      <c r="P165" s="1100" t="n"/>
      <c r="Q165" s="1100" t="n"/>
      <c r="R165" s="4015" t="n"/>
      <c r="S165" s="4015" t="n"/>
      <c r="T165" s="1099" t="n"/>
      <c r="U165" s="26" t="n"/>
      <c r="V165" s="26" t="n"/>
      <c r="W165" s="26" t="n"/>
      <c r="X165" s="26" t="n"/>
      <c r="Y165" s="26" t="n"/>
      <c r="Z165" s="26" t="n"/>
      <c r="AA165" s="26" t="n"/>
      <c r="AB165" s="26" t="n"/>
      <c r="AC165" s="26" t="n"/>
      <c r="AD165" s="26" t="n"/>
      <c r="AE165" s="26" t="n"/>
      <c r="AF165" s="26" t="n"/>
      <c r="AG165" s="26" t="n"/>
      <c r="AH165" s="26" t="n"/>
      <c r="AI165" s="26" t="n"/>
      <c r="AJ165" s="26" t="n"/>
      <c r="AK165" s="26" t="n"/>
      <c r="AL165" s="26" t="n"/>
      <c r="AM165" s="26" t="n"/>
      <c r="AN165" s="26" t="n"/>
      <c r="AO165" s="26" t="n"/>
      <c r="AP165" s="26" t="n"/>
      <c r="AQ165" s="26" t="n"/>
      <c r="AR165" s="26" t="n"/>
      <c r="AS165" s="26" t="n"/>
      <c r="AT165" s="26" t="n"/>
      <c r="AU165" s="27" t="n"/>
    </row>
    <row r="166" s="3154" customFormat="1" ht="15" customHeight="1">
      <c r="A166" s="633" t="n"/>
      <c r="B166" s="634" t="n"/>
      <c r="C166" s="634" t="n"/>
      <c r="D166" s="634" t="n"/>
      <c r="E166" s="634" t="n"/>
      <c r="F166" s="634" t="n"/>
      <c r="G166" s="634" t="n"/>
      <c r="H166" s="634" t="n"/>
      <c r="I166" s="634" t="n"/>
      <c r="J166" s="634" t="n"/>
      <c r="K166" s="634" t="n"/>
      <c r="L166" s="634" t="n"/>
      <c r="M166" s="634" t="n"/>
      <c r="N166" s="634" t="n"/>
      <c r="O166" s="634" t="n"/>
      <c r="P166" s="2308" t="n"/>
      <c r="Q166" s="2308" t="n"/>
      <c r="R166" s="4071" t="n"/>
      <c r="S166" s="4071" t="n"/>
      <c r="T166" s="2310" t="n"/>
      <c r="U166" s="634" t="n"/>
      <c r="V166" s="634" t="n"/>
      <c r="W166" s="634" t="n"/>
      <c r="X166" s="634" t="n"/>
      <c r="Y166" s="634" t="n"/>
      <c r="Z166" s="634" t="n"/>
      <c r="AA166" s="634" t="n"/>
      <c r="AB166" s="634" t="n"/>
      <c r="AC166" s="634" t="n"/>
      <c r="AD166" s="634" t="n"/>
      <c r="AE166" s="634" t="n"/>
      <c r="AF166" s="634" t="n"/>
      <c r="AG166" s="634" t="n"/>
      <c r="AH166" s="634" t="n"/>
      <c r="AI166" s="634" t="n"/>
      <c r="AJ166" s="634" t="n"/>
      <c r="AK166" s="634" t="n"/>
      <c r="AL166" s="634" t="n"/>
      <c r="AM166" s="634" t="n"/>
      <c r="AN166" s="634" t="n"/>
      <c r="AO166" s="634" t="n"/>
      <c r="AP166" s="634" t="n"/>
      <c r="AQ166" s="634" t="n"/>
      <c r="AR166" s="634" t="n"/>
      <c r="AS166" s="634" t="n"/>
      <c r="AT166" s="634" t="n"/>
      <c r="AU166" s="635" t="n"/>
    </row>
  </sheetData>
  <pageMargins left="0.7" right="0.7" top="0.75" bottom="0.75" header="0.3" footer="0.3"/>
  <drawing r:id="R079d26a540b845e6"/>
</worksheet>
</file>

<file path=xl/worksheets/sheet21.xml><?xml version="1.0" encoding="utf-8"?>
<worksheet xmlns="http://schemas.openxmlformats.org/spreadsheetml/2006/main" xmlns:r="http://schemas.openxmlformats.org/officeDocument/2006/relationships">
  <sheetViews>
    <sheetView showGridLines="0" workbookViewId="0"/>
  </sheetViews>
  <sheetFormatPr baseColWidth="8" defaultColWidth="9" defaultRowHeight="15"/>
  <cols>
    <col min="1" max="1" width="2" style="3136" customWidth="1"/>
    <col min="2" max="2" width="51.351600646972656" style="3136" customWidth="1"/>
    <col min="3" max="3" width="12.671899795532227" style="3136" customWidth="1"/>
    <col min="4" max="4" width="8.671879768371582" style="3136" customWidth="1"/>
    <col min="5" max="5" width="12.671899795532227" style="3136" customWidth="1"/>
    <col min="6" max="6" width="8.671879768371582" style="3136" customWidth="1"/>
    <col min="7" max="7" width="6.671879768371582" style="3136" customWidth="1"/>
    <col min="8" max="8" width="6.351560115814209" style="3136" customWidth="1"/>
    <col min="9" max="9" width="7.671879768371582" style="3136" customWidth="1"/>
    <col min="10" max="10" width="6.671879768371582" style="3136" customWidth="1"/>
    <col min="11" max="11" width="31.851600646972656" style="3136" customWidth="1"/>
    <col min="12" max="20" width="9" style="3136" customWidth="1"/>
    <col min="21" max="21" width="13.35159969329834" style="3136" customWidth="1"/>
    <col min="22" max="22" width="10.671899795532227" style="3136" customWidth="1"/>
    <col min="23" max="23" width="10.85159969329834" style="3136" customWidth="1"/>
    <col min="24" max="24" width="9" style="3136" customWidth="1"/>
    <col min="25" max="25" width="9.171879768371582" style="3136" customWidth="1"/>
    <col min="26" max="16384" width="9" style="3136" customWidth="1"/>
  </cols>
  <sheetData>
    <row r="1" s="3154" customFormat="1" ht="15" customHeight="1">
      <c r="A1" s="49" t="n"/>
      <c r="B1" s="49" t="n"/>
      <c r="C1" s="49" t="n"/>
      <c r="D1" s="49" t="n"/>
      <c r="E1" s="49" t="n"/>
      <c r="F1" s="49" t="n"/>
      <c r="G1" s="49" t="n"/>
      <c r="H1" s="49" t="n"/>
      <c r="I1" s="49" t="n"/>
      <c r="J1" s="49" t="n"/>
      <c r="K1" s="49" t="n"/>
      <c r="L1" s="50" t="n"/>
      <c r="M1" s="50" t="n"/>
      <c r="N1" s="50" t="n"/>
      <c r="O1" s="50" t="n"/>
      <c r="P1" s="50" t="n"/>
      <c r="Q1" s="50" t="n"/>
      <c r="R1" s="50" t="n"/>
      <c r="S1" s="50" t="n"/>
      <c r="T1" s="50" t="n"/>
      <c r="U1" s="50" t="n"/>
      <c r="V1" s="50" t="n"/>
      <c r="W1" s="50" t="n"/>
      <c r="X1" s="50" t="n"/>
      <c r="Y1" s="50" t="n"/>
    </row>
    <row r="2" s="3154" customFormat="1" ht="15" customHeight="1">
      <c r="A2" s="2312" t="n"/>
      <c r="B2" s="2313" t="n"/>
      <c r="C2" s="2314" t="inlineStr">
        <is>
          <t xml:space="preserve">Taxes Paid</t>
        </is>
      </c>
      <c r="D2" s="2314" t="inlineStr">
        <is>
          <t xml:space="preserve">Taxes</t>
        </is>
      </c>
      <c r="E2" s="2314" t="inlineStr">
        <is>
          <t xml:space="preserve">Taxable </t>
        </is>
      </c>
      <c r="F2" s="2314" t="inlineStr">
        <is>
          <t xml:space="preserve">Millage </t>
        </is>
      </c>
      <c r="G2" s="2313" t="n"/>
      <c r="H2" s="2313" t="n"/>
      <c r="I2" s="2314" t="inlineStr">
        <is>
          <t xml:space="preserve">Gross</t>
        </is>
      </c>
      <c r="J2" s="2313" t="n"/>
      <c r="K2" s="2313" t="n"/>
      <c r="L2" s="81" t="n"/>
      <c r="M2" s="50" t="n"/>
      <c r="N2" s="50" t="n"/>
      <c r="O2" s="50" t="n"/>
      <c r="P2" s="50" t="n"/>
      <c r="Q2" s="50" t="n"/>
      <c r="R2" s="50" t="n"/>
      <c r="S2" s="50" t="n"/>
      <c r="T2" s="50" t="n"/>
      <c r="U2" s="50" t="n"/>
      <c r="V2" s="50" t="n"/>
      <c r="W2" s="50" t="n"/>
      <c r="X2" s="50" t="n"/>
      <c r="Y2" s="50" t="n"/>
    </row>
    <row r="3" s="3154" customFormat="1" ht="15" customHeight="1">
      <c r="A3" s="2312" t="n"/>
      <c r="B3" s="2314" t="inlineStr">
        <is>
          <t xml:space="preserve">Hotel</t>
        </is>
      </c>
      <c r="C3" s="2314" t="inlineStr">
        <is>
          <t xml:space="preserve">by Nov 30</t>
        </is>
      </c>
      <c r="D3" s="2314" t="inlineStr">
        <is>
          <t xml:space="preserve">Per Unit</t>
        </is>
      </c>
      <c r="E3" s="2314" t="inlineStr">
        <is>
          <t xml:space="preserve"> Value</t>
        </is>
      </c>
      <c r="F3" s="2314" t="inlineStr">
        <is>
          <t xml:space="preserve">Rate</t>
        </is>
      </c>
      <c r="G3" s="2314" t="inlineStr">
        <is>
          <t xml:space="preserve">Acres</t>
        </is>
      </c>
      <c r="H3" s="2314" t="inlineStr">
        <is>
          <t xml:space="preserve">Units</t>
        </is>
      </c>
      <c r="I3" s="2314" t="inlineStr">
        <is>
          <t xml:space="preserve">Sq. Ft.</t>
        </is>
      </c>
      <c r="J3" s="2314" t="inlineStr">
        <is>
          <t xml:space="preserve">Built</t>
        </is>
      </c>
      <c r="K3" s="2314" t="inlineStr">
        <is>
          <t xml:space="preserve">Notes</t>
        </is>
      </c>
      <c r="L3" s="81" t="n"/>
      <c r="M3" s="50" t="n"/>
      <c r="N3" s="50" t="n"/>
      <c r="O3" s="50" t="n"/>
      <c r="P3" s="50" t="n"/>
      <c r="Q3" s="50" t="n"/>
      <c r="R3" s="50" t="n"/>
      <c r="S3" s="50" t="n"/>
      <c r="T3" s="50" t="n"/>
      <c r="U3" s="50" t="n"/>
      <c r="V3" s="50" t="n"/>
      <c r="W3" s="50" t="n"/>
      <c r="X3" s="50" t="n"/>
      <c r="Y3" s="50" t="n"/>
    </row>
    <row r="4" s="3154" customFormat="1" ht="15" customHeight="1">
      <c r="A4" s="82" t="n">
        <v>1</v>
      </c>
      <c r="B4" s="2315" t="inlineStr">
        <is>
          <t xml:space="preserve">La Quinta Inn &amp; Suites Austin North (TCAD)</t>
        </is>
      </c>
      <c r="C4" s="4072" t="n">
        <v>152000</v>
      </c>
      <c r="D4" s="4072" t="n">
        <f t="array" ref="D4">IFERROR(C4/H4,0)</f>
        <v>1245.9016393442623</v>
      </c>
      <c r="E4" s="4072" t="n">
        <v>7250000</v>
      </c>
      <c r="F4" s="82" t="n">
        <v>0.021</v>
      </c>
      <c r="G4" s="108" t="n">
        <v>0.9399999999999999</v>
      </c>
      <c r="H4" s="82" t="n">
        <v>122</v>
      </c>
      <c r="I4" s="2317" t="n">
        <v>64000</v>
      </c>
      <c r="J4" s="82" t="n">
        <v>2008</v>
      </c>
      <c r="K4" s="2315" t="inlineStr">
        <is>
          <t xml:space="preserve">Limited-service comp; Travis County, 4-story interior corridor</t>
        </is>
      </c>
      <c r="L4" s="50" t="n"/>
      <c r="M4" s="50" t="n"/>
      <c r="N4" s="50" t="n"/>
      <c r="O4" s="50" t="n"/>
      <c r="P4" s="50" t="n"/>
      <c r="Q4" s="50" t="n"/>
      <c r="R4" s="50" t="n"/>
      <c r="S4" s="50" t="n"/>
      <c r="T4" s="50" t="n"/>
      <c r="U4" s="50" t="n"/>
      <c r="V4" s="50" t="n"/>
      <c r="W4" s="50" t="n"/>
      <c r="X4" s="50" t="n"/>
      <c r="Y4" s="50" t="n"/>
    </row>
    <row r="5" s="3154" customFormat="1" ht="15" customHeight="1">
      <c r="A5" s="50" t="n"/>
      <c r="B5" s="2318" t="n"/>
      <c r="C5" s="50" t="n"/>
      <c r="D5" s="4073" t="n"/>
      <c r="E5" s="50" t="n"/>
      <c r="F5" s="50" t="n"/>
      <c r="G5" s="2320" t="n"/>
      <c r="H5" s="50" t="n"/>
      <c r="I5" s="50" t="n"/>
      <c r="J5" s="50" t="n"/>
      <c r="K5" s="50" t="n"/>
      <c r="L5" s="50" t="n"/>
      <c r="M5" s="50" t="n"/>
      <c r="N5" s="50" t="n"/>
      <c r="O5" s="50" t="n"/>
      <c r="P5" s="50" t="n"/>
      <c r="Q5" s="50" t="n"/>
      <c r="R5" s="50" t="n"/>
      <c r="S5" s="50" t="n"/>
      <c r="T5" s="50" t="n"/>
      <c r="U5" s="50" t="n"/>
      <c r="V5" s="50" t="n"/>
      <c r="W5" s="50" t="n"/>
      <c r="X5" s="50" t="n"/>
      <c r="Y5" s="50" t="n"/>
    </row>
    <row r="6" s="3154" customFormat="1" ht="15" customHeight="1">
      <c r="A6" s="50" t="n"/>
      <c r="B6" s="50" t="n"/>
      <c r="C6" s="50" t="n"/>
      <c r="D6" s="4073" t="n"/>
      <c r="E6" s="50" t="n"/>
      <c r="F6" s="50" t="n"/>
      <c r="G6" s="2320" t="n"/>
      <c r="H6" s="50" t="n"/>
      <c r="I6" s="50" t="n"/>
      <c r="J6" s="50" t="n"/>
      <c r="K6" s="50" t="n"/>
      <c r="L6" s="50" t="n"/>
      <c r="M6" s="50" t="n"/>
      <c r="N6" s="50" t="n"/>
      <c r="O6" s="50" t="n"/>
      <c r="P6" s="50" t="n"/>
      <c r="Q6" s="50" t="n"/>
      <c r="R6" s="50" t="n"/>
      <c r="S6" s="50" t="n"/>
      <c r="T6" s="50" t="n"/>
      <c r="U6" s="50" t="n"/>
      <c r="V6" s="50" t="n"/>
      <c r="W6" s="50" t="n"/>
      <c r="X6" s="50" t="n"/>
      <c r="Y6" s="50" t="n"/>
    </row>
    <row r="7" s="3154" customFormat="1" ht="15" customHeight="1">
      <c r="A7" s="50" t="n">
        <v>2</v>
      </c>
      <c r="B7" s="113" t="inlineStr">
        <is>
          <t xml:space="preserve">Comfort Suites Austin Airport (TCAD)</t>
        </is>
      </c>
      <c r="C7" s="2321" t="n">
        <v>138000</v>
      </c>
      <c r="D7" s="4073" t="n">
        <f t="array" ref="D7">IFERROR(C7/H7,0)</f>
        <v>1326.923076923077</v>
      </c>
      <c r="E7" s="2321" t="n">
        <v>6580000</v>
      </c>
      <c r="F7" s="50" t="n">
        <v>0.021</v>
      </c>
      <c r="G7" s="2320" t="n">
        <v>1.12</v>
      </c>
      <c r="H7" s="50" t="n">
        <v>104</v>
      </c>
      <c r="I7" s="2321" t="n">
        <v>58000</v>
      </c>
      <c r="J7" s="50" t="n">
        <v>2013</v>
      </c>
      <c r="K7" s="113" t="inlineStr">
        <is>
          <t xml:space="preserve">Budget-select comp near ABIA; Travis County</t>
        </is>
      </c>
      <c r="L7" s="50" t="n"/>
      <c r="M7" s="50" t="n"/>
      <c r="N7" s="50" t="n"/>
      <c r="O7" s="50" t="n"/>
      <c r="P7" s="50" t="n"/>
      <c r="Q7" s="50" t="n"/>
      <c r="R7" s="50" t="n"/>
      <c r="S7" s="50" t="n"/>
      <c r="T7" s="50" t="n"/>
      <c r="U7" s="50" t="n"/>
      <c r="V7" s="50" t="n"/>
      <c r="W7" s="50" t="n"/>
      <c r="X7" s="50" t="n"/>
      <c r="Y7" s="50" t="n"/>
    </row>
    <row r="8" s="3154" customFormat="1" ht="15" customHeight="1">
      <c r="A8" s="50" t="n"/>
      <c r="B8" s="50" t="n"/>
      <c r="C8" s="2321" t="n"/>
      <c r="D8" s="4073" t="n"/>
      <c r="E8" s="50" t="n"/>
      <c r="F8" s="50" t="n"/>
      <c r="G8" s="2320" t="n"/>
      <c r="H8" s="50" t="n"/>
      <c r="I8" s="50" t="n"/>
      <c r="J8" s="50" t="n"/>
      <c r="K8" s="50" t="n"/>
      <c r="L8" s="50" t="n"/>
      <c r="M8" s="50" t="n"/>
      <c r="N8" s="50" t="n"/>
      <c r="O8" s="50" t="n"/>
      <c r="P8" s="50" t="n"/>
      <c r="Q8" s="50" t="n"/>
      <c r="R8" s="50" t="n"/>
      <c r="S8" s="50" t="n"/>
      <c r="T8" s="50" t="n"/>
      <c r="U8" s="50" t="n"/>
      <c r="V8" s="50" t="n"/>
      <c r="W8" s="50" t="n"/>
      <c r="X8" s="50" t="n"/>
      <c r="Y8" s="50" t="n"/>
    </row>
    <row r="9" s="3154" customFormat="1" ht="15" customHeight="1">
      <c r="A9" s="50" t="n"/>
      <c r="B9" s="50" t="n"/>
      <c r="C9" s="2321" t="n"/>
      <c r="D9" s="4073" t="n"/>
      <c r="E9" s="50" t="n"/>
      <c r="F9" s="50" t="n"/>
      <c r="G9" s="2320" t="n"/>
      <c r="H9" s="50" t="n"/>
      <c r="I9" s="50" t="n"/>
      <c r="J9" s="50" t="n"/>
      <c r="K9" s="50" t="n"/>
      <c r="L9" s="50" t="n"/>
      <c r="M9" s="50" t="n"/>
      <c r="N9" s="50" t="n"/>
      <c r="O9" s="50" t="n"/>
      <c r="P9" s="50" t="n"/>
      <c r="Q9" s="50" t="n"/>
      <c r="R9" s="50" t="n"/>
      <c r="S9" s="50" t="n"/>
      <c r="T9" s="50" t="n"/>
      <c r="U9" s="50" t="n"/>
      <c r="V9" s="50" t="n"/>
      <c r="W9" s="50" t="n"/>
      <c r="X9" s="50" t="n"/>
      <c r="Y9" s="50" t="n"/>
    </row>
    <row r="10" s="3154" customFormat="1" ht="15" customHeight="1">
      <c r="A10" s="50" t="n">
        <v>3</v>
      </c>
      <c r="B10" s="113" t="inlineStr">
        <is>
          <t xml:space="preserve">Holiday Inn Express Austin N Central (TCAD)</t>
        </is>
      </c>
      <c r="C10" s="2321" t="n">
        <v>174000</v>
      </c>
      <c r="D10" s="4073" t="n">
        <f t="array" ref="D10">IFERROR(C10/H10,0)</f>
        <v>1474.5762711864406</v>
      </c>
      <c r="E10" s="2321" t="n">
        <v>8290000</v>
      </c>
      <c r="F10" s="50" t="n">
        <v>0.021</v>
      </c>
      <c r="G10" s="2320" t="n">
        <v>1.35</v>
      </c>
      <c r="H10" s="50" t="n">
        <v>118</v>
      </c>
      <c r="I10" s="2321" t="n">
        <v>67000</v>
      </c>
      <c r="J10" s="50" t="n">
        <v>2015</v>
      </c>
      <c r="K10" s="113" t="inlineStr">
        <is>
          <t xml:space="preserve">Select-service comp; Travis County, similar prototype</t>
        </is>
      </c>
      <c r="L10" s="50" t="n"/>
      <c r="M10" s="50" t="n"/>
      <c r="N10" s="50" t="n"/>
      <c r="O10" s="50" t="n"/>
      <c r="P10" s="50" t="n"/>
      <c r="Q10" s="50" t="n"/>
      <c r="R10" s="50" t="n"/>
      <c r="S10" s="50" t="n"/>
      <c r="T10" s="50" t="n"/>
      <c r="U10" s="50" t="n"/>
      <c r="V10" s="50" t="n"/>
      <c r="W10" s="50" t="n"/>
      <c r="X10" s="50" t="n"/>
      <c r="Y10" s="50" t="n"/>
    </row>
    <row r="11" s="3154" customFormat="1" ht="15" customHeight="1">
      <c r="A11" s="50" t="n"/>
      <c r="B11" s="50" t="n"/>
      <c r="C11" s="2321" t="n"/>
      <c r="D11" s="4073" t="n"/>
      <c r="E11" s="50" t="n"/>
      <c r="F11" s="50" t="n"/>
      <c r="G11" s="2320" t="n"/>
      <c r="H11" s="50" t="n"/>
      <c r="I11" s="50" t="n"/>
      <c r="J11" s="50" t="n"/>
      <c r="K11" s="50" t="n"/>
      <c r="L11" s="50" t="n"/>
      <c r="M11" s="50" t="n"/>
      <c r="N11" s="50" t="n"/>
      <c r="O11" s="50" t="n"/>
      <c r="P11" s="50" t="n"/>
      <c r="Q11" s="50" t="n"/>
      <c r="R11" s="50" t="n"/>
      <c r="S11" s="50" t="n"/>
      <c r="T11" s="50" t="n"/>
      <c r="U11" s="50" t="n"/>
      <c r="V11" s="50" t="n"/>
      <c r="W11" s="50" t="n"/>
      <c r="X11" s="50" t="n"/>
      <c r="Y11" s="50" t="n"/>
    </row>
    <row r="12" s="3154" customFormat="1" ht="15" customHeight="1">
      <c r="A12" s="50" t="n"/>
      <c r="B12" s="50" t="n"/>
      <c r="C12" s="2321" t="n"/>
      <c r="D12" s="4073" t="n"/>
      <c r="E12" s="50" t="n"/>
      <c r="F12" s="50" t="n"/>
      <c r="G12" s="2320" t="n"/>
      <c r="H12" s="50" t="n"/>
      <c r="I12" s="50" t="n"/>
      <c r="J12" s="50" t="n"/>
      <c r="K12" s="50" t="n"/>
      <c r="L12" s="50" t="n"/>
      <c r="M12" s="50" t="n"/>
      <c r="N12" s="50" t="n"/>
      <c r="O12" s="50" t="n"/>
      <c r="P12" s="50" t="n"/>
      <c r="Q12" s="50" t="n"/>
      <c r="R12" s="50" t="n"/>
      <c r="S12" s="50" t="n"/>
      <c r="T12" s="50" t="n"/>
      <c r="U12" s="50" t="n"/>
      <c r="V12" s="50" t="n"/>
      <c r="W12" s="50" t="n"/>
      <c r="X12" s="50" t="n"/>
      <c r="Y12" s="50" t="n"/>
    </row>
    <row r="13" s="3154" customFormat="1" ht="15" customHeight="1">
      <c r="A13" s="50" t="n">
        <v>4</v>
      </c>
      <c r="B13" s="113" t="inlineStr">
        <is>
          <t xml:space="preserve">Hampton Inn &amp; Suites Austin South - Buda (Hays Co)</t>
        </is>
      </c>
      <c r="C13" s="2321" t="n">
        <v>165000</v>
      </c>
      <c r="D13" s="4073" t="n">
        <f t="array" ref="D13">IFERROR(C13/H13,0)</f>
        <v>1460.1769911504425</v>
      </c>
      <c r="E13" s="4074" t="n">
        <v>7920000</v>
      </c>
      <c r="F13" s="50" t="n">
        <v>0.0208</v>
      </c>
      <c r="G13" s="2320" t="n">
        <v>1.05</v>
      </c>
      <c r="H13" s="50" t="n">
        <v>113</v>
      </c>
      <c r="I13" s="2321" t="n">
        <v>62000</v>
      </c>
      <c r="J13" s="50" t="n">
        <v>2016</v>
      </c>
      <c r="K13" s="113" t="inlineStr">
        <is>
          <t xml:space="preserve">Hays County comp; Austin metro budget-select segment</t>
        </is>
      </c>
      <c r="L13" s="50" t="n"/>
      <c r="M13" s="50" t="n"/>
      <c r="N13" s="50" t="n"/>
      <c r="O13" s="50" t="n"/>
      <c r="P13" s="50" t="n"/>
      <c r="Q13" s="50" t="n"/>
      <c r="R13" s="50" t="n"/>
      <c r="S13" s="50" t="n"/>
      <c r="T13" s="50" t="n"/>
      <c r="U13" s="50" t="n"/>
      <c r="V13" s="50" t="n"/>
      <c r="W13" s="50" t="n"/>
      <c r="X13" s="50" t="n"/>
      <c r="Y13" s="50" t="n"/>
    </row>
    <row r="14" s="3154" customFormat="1" ht="15" customHeight="1">
      <c r="A14" s="50" t="n"/>
      <c r="B14" s="50" t="n"/>
      <c r="C14" s="2321" t="n"/>
      <c r="D14" s="4073" t="n"/>
      <c r="E14" s="50" t="n"/>
      <c r="F14" s="50" t="n"/>
      <c r="G14" s="50" t="n"/>
      <c r="H14" s="50" t="n"/>
      <c r="I14" s="50" t="n"/>
      <c r="J14" s="50" t="n"/>
      <c r="K14" s="50" t="n"/>
      <c r="L14" s="50" t="n"/>
      <c r="M14" s="50" t="n"/>
      <c r="N14" s="50" t="n"/>
      <c r="O14" s="50" t="n"/>
      <c r="P14" s="50" t="n"/>
      <c r="Q14" s="50" t="n"/>
      <c r="R14" s="50" t="n"/>
      <c r="S14" s="50" t="n"/>
      <c r="T14" s="50" t="n"/>
      <c r="U14" s="50" t="n"/>
      <c r="V14" s="50" t="n"/>
      <c r="W14" s="50" t="n"/>
      <c r="X14" s="50" t="n"/>
      <c r="Y14" s="50" t="n"/>
    </row>
    <row r="15" s="3154" customFormat="1" ht="15" customHeight="1">
      <c r="A15" s="49" t="n"/>
      <c r="B15" s="49" t="n"/>
      <c r="C15" s="2323" t="n"/>
      <c r="D15" s="4075" t="n"/>
      <c r="E15" s="49" t="n"/>
      <c r="F15" s="49" t="n"/>
      <c r="G15" s="2325" t="n"/>
      <c r="H15" s="49" t="n"/>
      <c r="I15" s="49" t="n"/>
      <c r="J15" s="49" t="n"/>
      <c r="K15" s="49" t="n"/>
      <c r="L15" s="50" t="n"/>
      <c r="M15" s="50" t="n"/>
      <c r="N15" s="50" t="n"/>
      <c r="O15" s="50" t="n"/>
      <c r="P15" s="50" t="n"/>
      <c r="Q15" s="50" t="n"/>
      <c r="R15" s="50" t="n"/>
      <c r="S15" s="50" t="n"/>
      <c r="T15" s="50" t="n"/>
      <c r="U15" s="50" t="n"/>
      <c r="V15" s="50" t="n"/>
      <c r="W15" s="50" t="n"/>
      <c r="X15" s="50" t="n"/>
      <c r="Y15" s="50" t="n"/>
    </row>
    <row r="16" s="3154" customFormat="1" ht="15" customHeight="1">
      <c r="A16" s="2326" t="n"/>
      <c r="B16" s="295" t="inlineStr">
        <is>
          <t xml:space="preserve">Sleep Space - Austin, TX (projected, prefab 100-key)</t>
        </is>
      </c>
      <c r="C16" s="2327" t="n">
        <f t="array" ref="C16">'Assumptions'!I85</f>
        <v>95000</v>
      </c>
      <c r="D16" s="4076" t="n">
        <f t="array" ref="D16">C16/H16</f>
        <v>950</v>
      </c>
      <c r="E16" s="203" t="n"/>
      <c r="F16" s="203" t="n"/>
      <c r="G16" s="2329" t="n">
        <f t="array" ref="G16">'Assumptions'!J6</f>
        <v>1</v>
      </c>
      <c r="H16" s="203" t="n">
        <f t="array" ref="H16">'Assumptions'!J7</f>
        <v>100</v>
      </c>
      <c r="I16" s="4077" t="n">
        <f t="array" ref="I16">'Assumptions'!J8</f>
        <v>18150.7397260274</v>
      </c>
      <c r="J16" s="203" t="n"/>
      <c r="K16" s="295" t="inlineStr">
        <is>
          <t xml:space="preserve">Subject property; prefab micro-hotel; assumes ~$80-100/key assessed</t>
        </is>
      </c>
      <c r="L16" s="81" t="n"/>
      <c r="M16" s="50" t="n"/>
      <c r="N16" s="50" t="n"/>
      <c r="O16" s="50" t="n"/>
      <c r="P16" s="50" t="n"/>
      <c r="Q16" s="50" t="n"/>
      <c r="R16" s="50" t="n"/>
      <c r="S16" s="50" t="n"/>
      <c r="T16" s="50" t="n"/>
      <c r="U16" s="50" t="n"/>
      <c r="V16" s="50" t="n"/>
      <c r="W16" s="50" t="n"/>
      <c r="X16" s="50" t="n"/>
      <c r="Y16" s="50" t="n"/>
    </row>
    <row r="17" s="3154" customFormat="1" ht="15" customHeight="1">
      <c r="A17" s="82" t="n"/>
      <c r="B17" s="82" t="n"/>
      <c r="C17" s="82" t="n"/>
      <c r="D17" s="82" t="n"/>
      <c r="E17" s="82" t="n"/>
      <c r="F17" s="82" t="n"/>
      <c r="G17" s="82" t="n"/>
      <c r="H17" s="82" t="n"/>
      <c r="I17" s="82" t="n"/>
      <c r="J17" s="82" t="n"/>
      <c r="K17" s="82" t="n"/>
      <c r="L17" s="50" t="n"/>
      <c r="M17" s="50" t="n"/>
      <c r="N17" s="50" t="n"/>
      <c r="O17" s="50" t="n"/>
      <c r="P17" s="50" t="n"/>
      <c r="Q17" s="50" t="n"/>
      <c r="R17" s="50" t="n"/>
      <c r="S17" s="50" t="n"/>
      <c r="T17" s="50" t="n"/>
      <c r="U17" s="50" t="n"/>
      <c r="V17" s="50" t="n"/>
      <c r="W17" s="50" t="n"/>
      <c r="X17" s="50" t="n"/>
      <c r="Y17" s="50" t="n"/>
    </row>
    <row r="18" s="3154" customFormat="1" ht="15" customHeight="1">
      <c r="A18" s="50" t="n"/>
      <c r="B18" s="50" t="n"/>
      <c r="C18" s="50" t="n"/>
      <c r="D18" s="4073" t="n"/>
      <c r="E18" s="50" t="n"/>
      <c r="F18" s="50" t="n"/>
      <c r="G18" s="50" t="n"/>
      <c r="H18" s="50" t="n"/>
      <c r="I18" s="50" t="n"/>
      <c r="J18" s="50" t="n"/>
      <c r="K18" s="50" t="n"/>
      <c r="L18" s="50" t="n"/>
      <c r="M18" s="50" t="n"/>
      <c r="N18" s="50" t="n"/>
      <c r="O18" s="50" t="n"/>
      <c r="P18" s="50" t="n"/>
      <c r="Q18" s="50" t="n"/>
      <c r="R18" s="50" t="n"/>
      <c r="S18" s="2331" t="inlineStr">
        <is>
          <t xml:space="preserve">Analysis of Staybridge Suites Downtown SLEEP SPACE</t>
        </is>
      </c>
      <c r="T18" s="2332" t="n"/>
      <c r="U18" s="2332" t="n"/>
      <c r="V18" s="2332" t="n"/>
      <c r="W18" s="2332" t="n"/>
      <c r="X18" s="2332" t="n"/>
      <c r="Y18" s="2332" t="n"/>
    </row>
    <row r="19" s="3154" customFormat="1" ht="15" customHeight="1">
      <c r="A19" s="50" t="n"/>
      <c r="B19" s="113" t="inlineStr">
        <is>
          <t xml:space="preserve">AUSTIN/TRAVIS COUNTY TAX &amp; INCENTIVE NOTES</t>
        </is>
      </c>
      <c r="C19" s="50" t="n"/>
      <c r="D19" s="50" t="n"/>
      <c r="E19" s="50" t="n"/>
      <c r="F19" s="50" t="n"/>
      <c r="G19" s="50" t="n"/>
      <c r="H19" s="50" t="n"/>
      <c r="I19" s="50" t="n"/>
      <c r="J19" s="50" t="n"/>
      <c r="K19" s="50" t="n"/>
      <c r="L19" s="50" t="n"/>
      <c r="M19" s="50" t="n"/>
      <c r="N19" s="50" t="n"/>
      <c r="O19" s="50" t="n"/>
      <c r="P19" s="50" t="n"/>
      <c r="Q19" s="50" t="n"/>
      <c r="R19" s="50" t="n"/>
      <c r="S19" s="2333" t="n"/>
      <c r="T19" s="2333" t="n"/>
      <c r="U19" s="2334" t="inlineStr">
        <is>
          <t xml:space="preserve">Assd. Value</t>
        </is>
      </c>
      <c r="V19" s="2334" t="inlineStr">
        <is>
          <t xml:space="preserve">Tax</t>
        </is>
      </c>
      <c r="W19" s="2334" t="inlineStr">
        <is>
          <t xml:space="preserve">Rate</t>
        </is>
      </c>
      <c r="X19" s="2334" t="inlineStr">
        <is>
          <t xml:space="preserve">Include?</t>
        </is>
      </c>
      <c r="Y19" s="2334" t="inlineStr">
        <is>
          <t xml:space="preserve">Mod Rate</t>
        </is>
      </c>
    </row>
    <row r="20" s="3154" customFormat="1" ht="15" customHeight="1">
      <c r="A20" s="50" t="n"/>
      <c r="B20" s="149" t="inlineStr">
        <is>
          <t xml:space="preserve">Travis County 2024 effective millage rate: ~2.10% (combined: county, city, AISD, ACC, healthcare district, special)</t>
        </is>
      </c>
      <c r="C20" s="50" t="n"/>
      <c r="D20" s="50" t="n"/>
      <c r="E20" s="50" t="n"/>
      <c r="F20" s="50" t="n"/>
      <c r="G20" s="50" t="n"/>
      <c r="H20" s="50" t="n"/>
      <c r="I20" s="50" t="n"/>
      <c r="J20" s="50" t="n"/>
      <c r="K20" s="50" t="n"/>
      <c r="L20" s="50" t="n"/>
      <c r="M20" s="50" t="n"/>
      <c r="N20" s="50" t="n"/>
      <c r="O20" s="50" t="n"/>
      <c r="P20" s="50" t="n"/>
      <c r="Q20" s="50" t="n"/>
      <c r="R20" s="50" t="n"/>
      <c r="S20" s="113" t="inlineStr">
        <is>
          <t xml:space="preserve">State</t>
        </is>
      </c>
      <c r="T20" s="50" t="n"/>
      <c r="U20" s="3901" t="n">
        <v>3008000</v>
      </c>
      <c r="V20" s="3901" t="n">
        <v>19552</v>
      </c>
      <c r="W20" s="4078" t="n">
        <f t="array" ref="W20">V20/U20</f>
        <v>0.0065</v>
      </c>
      <c r="X20" s="113" t="inlineStr">
        <is>
          <t xml:space="preserve">No</t>
        </is>
      </c>
      <c r="Y20" s="4078" t="n">
        <f t="array" ref="Y20">IF(X20="No",W20,0)</f>
        <v>0.0065</v>
      </c>
    </row>
    <row r="21" s="3154" customFormat="1" ht="15" customHeight="1">
      <c r="A21" s="50" t="n"/>
      <c r="B21" s="149" t="inlineStr">
        <is>
          <t xml:space="preserve">City of Austin Hotel Occupancy Tax (HOT): 11% (state 6% + city 11% = 17% total room tax)</t>
        </is>
      </c>
      <c r="C21" s="50" t="n"/>
      <c r="D21" s="50" t="n"/>
      <c r="E21" s="50" t="n"/>
      <c r="F21" s="50" t="n"/>
      <c r="G21" s="50" t="n"/>
      <c r="H21" s="50" t="n"/>
      <c r="I21" s="50" t="n"/>
      <c r="J21" s="50" t="n"/>
      <c r="K21" s="50" t="n"/>
      <c r="L21" s="50" t="n"/>
      <c r="M21" s="50" t="n"/>
      <c r="N21" s="50" t="n"/>
      <c r="O21" s="50" t="n"/>
      <c r="P21" s="50" t="n"/>
      <c r="Q21" s="50" t="n"/>
      <c r="R21" s="50" t="n"/>
      <c r="S21" s="113" t="inlineStr">
        <is>
          <t xml:space="preserve">County</t>
        </is>
      </c>
      <c r="T21" s="50" t="n"/>
      <c r="U21" s="3901" t="n">
        <f t="array" ref="U21">U20</f>
        <v>3008000</v>
      </c>
      <c r="V21" s="3901" t="n">
        <v>22560</v>
      </c>
      <c r="W21" s="4079" t="n">
        <f t="array" ref="W21">V21/U21</f>
        <v>0.0075</v>
      </c>
      <c r="X21" s="113" t="inlineStr">
        <is>
          <t xml:space="preserve">Yes</t>
        </is>
      </c>
      <c r="Y21" s="4078" t="n">
        <f t="array" ref="Y21">IF(X21="No",W21,0)</f>
        <v>0</v>
      </c>
    </row>
    <row r="22" s="3154" customFormat="1" ht="15" customHeight="1">
      <c r="A22" s="50" t="n"/>
      <c r="B22" s="149" t="inlineStr">
        <is>
          <t xml:space="preserve">Austin Chapter 380 incentives available for hotels generating new tax revenue — typically 50-80% HOT rebate for 5-10 years</t>
        </is>
      </c>
      <c r="C22" s="50" t="n"/>
      <c r="D22" s="50" t="n"/>
      <c r="E22" s="50" t="n"/>
      <c r="F22" s="50" t="n"/>
      <c r="G22" s="50" t="n"/>
      <c r="H22" s="50" t="n"/>
      <c r="I22" s="50" t="n"/>
      <c r="J22" s="50" t="n"/>
      <c r="K22" s="50" t="n"/>
      <c r="L22" s="50" t="n"/>
      <c r="M22" s="50" t="n"/>
      <c r="N22" s="50" t="n"/>
      <c r="O22" s="50" t="n"/>
      <c r="P22" s="50" t="n"/>
      <c r="Q22" s="50" t="n"/>
      <c r="R22" s="50" t="n"/>
      <c r="S22" s="113" t="inlineStr">
        <is>
          <t xml:space="preserve">School</t>
        </is>
      </c>
      <c r="T22" s="50" t="n"/>
      <c r="U22" s="3901" t="n">
        <f t="array" ref="U22">U21</f>
        <v>3008000</v>
      </c>
      <c r="V22" s="3901" t="n">
        <v>10528</v>
      </c>
      <c r="W22" s="4078" t="n">
        <f t="array" ref="W22">V22/U22</f>
        <v>0.0035</v>
      </c>
      <c r="X22" s="113" t="inlineStr">
        <is>
          <t xml:space="preserve">No</t>
        </is>
      </c>
      <c r="Y22" s="4078" t="n">
        <f t="array" ref="Y22">IF(X22="No",W22,0)</f>
        <v>0.0035</v>
      </c>
    </row>
    <row r="23" s="3154" customFormat="1" ht="15" customHeight="1">
      <c r="A23" s="50" t="n"/>
      <c r="B23" s="149" t="inlineStr">
        <is>
          <t xml:space="preserve">Travis County Chapter 381 incentives can rebate 50-100% of property tax increment over 7-15 years</t>
        </is>
      </c>
      <c r="C23" s="50" t="n"/>
      <c r="D23" s="50" t="n"/>
      <c r="E23" s="50" t="n"/>
      <c r="F23" s="50" t="n"/>
      <c r="G23" s="50" t="n"/>
      <c r="H23" s="50" t="n"/>
      <c r="I23" s="50" t="n"/>
      <c r="J23" s="50" t="n"/>
      <c r="K23" s="50" t="n"/>
      <c r="L23" s="50" t="n"/>
      <c r="M23" s="50" t="n"/>
      <c r="N23" s="50" t="n"/>
      <c r="O23" s="50" t="n"/>
      <c r="P23" s="50" t="n"/>
      <c r="Q23" s="50" t="n"/>
      <c r="R23" s="50" t="n"/>
      <c r="S23" s="113" t="inlineStr">
        <is>
          <t xml:space="preserve">Dist School</t>
        </is>
      </c>
      <c r="T23" s="50" t="n"/>
      <c r="U23" s="3901" t="n">
        <f t="array" ref="U23">U22</f>
        <v>3008000</v>
      </c>
      <c r="V23" s="3901" t="n">
        <v>10528</v>
      </c>
      <c r="W23" s="4078" t="n">
        <f t="array" ref="W23">V23/U23</f>
        <v>0.0035</v>
      </c>
      <c r="X23" s="113" t="inlineStr">
        <is>
          <t xml:space="preserve">No</t>
        </is>
      </c>
      <c r="Y23" s="4078" t="n">
        <f t="array" ref="Y23">IF(X23="No",W23,0)</f>
        <v>0.0035</v>
      </c>
    </row>
    <row r="24" s="3154" customFormat="1" ht="15" customHeight="1">
      <c r="A24" s="50" t="n"/>
      <c r="B24" s="149" t="inlineStr">
        <is>
          <t xml:space="preserve">Tax Increment Reinvestment Zones (TIRZ) — e.g., TIRZ #18 Waller Creek, can rebate up to 100% TIF for 30 years</t>
        </is>
      </c>
      <c r="C24" s="50" t="n"/>
      <c r="D24" s="50" t="n"/>
      <c r="E24" s="50" t="n"/>
      <c r="F24" s="50" t="n"/>
      <c r="G24" s="50" t="n"/>
      <c r="H24" s="50" t="n"/>
      <c r="I24" s="50" t="n"/>
      <c r="J24" s="50" t="n"/>
      <c r="K24" s="50" t="n"/>
      <c r="L24" s="50" t="n"/>
      <c r="M24" s="50" t="n"/>
      <c r="N24" s="50" t="n"/>
      <c r="O24" s="50" t="n"/>
      <c r="P24" s="50" t="n"/>
      <c r="Q24" s="50" t="n"/>
      <c r="R24" s="50" t="n"/>
      <c r="S24" s="113" t="inlineStr">
        <is>
          <t xml:space="preserve">City</t>
        </is>
      </c>
      <c r="T24" s="50" t="n"/>
      <c r="U24" s="3901" t="n">
        <f t="array" ref="U24">U23</f>
        <v>3008000</v>
      </c>
      <c r="V24" s="3901" t="n">
        <v>37600</v>
      </c>
      <c r="W24" s="4078" t="n">
        <f t="array" ref="W24">V24/U24</f>
        <v>0.0125</v>
      </c>
      <c r="X24" s="113" t="inlineStr">
        <is>
          <t xml:space="preserve">Yes</t>
        </is>
      </c>
      <c r="Y24" s="4078" t="n">
        <f t="array" ref="Y24">IF(X24="No",W24,0)</f>
        <v>0</v>
      </c>
    </row>
    <row r="25" s="3154" customFormat="1" ht="15" customHeight="1">
      <c r="A25" s="50" t="n"/>
      <c r="B25" s="149" t="inlineStr">
        <is>
          <t xml:space="preserve">Texas State Hotel Project Rebate (Tx Tax Code §351.102): state HOT + sales tax + mixed beverage rebate, up to 10 years, capped at construction cost — for downtown convention hotels</t>
        </is>
      </c>
      <c r="C25" s="50" t="n"/>
      <c r="D25" s="50" t="n"/>
      <c r="E25" s="50" t="n"/>
      <c r="F25" s="50" t="n"/>
      <c r="G25" s="50" t="n"/>
      <c r="H25" s="50" t="n"/>
      <c r="I25" s="50" t="n"/>
      <c r="J25" s="50" t="n"/>
      <c r="K25" s="50" t="n"/>
      <c r="L25" s="50" t="n"/>
      <c r="M25" s="50" t="n"/>
      <c r="N25" s="50" t="n"/>
      <c r="O25" s="50" t="n"/>
      <c r="P25" s="50" t="n"/>
      <c r="Q25" s="50" t="n"/>
      <c r="R25" s="50" t="n"/>
      <c r="S25" s="113" t="inlineStr">
        <is>
          <t xml:space="preserve">Forest</t>
        </is>
      </c>
      <c r="T25" s="50" t="n"/>
      <c r="U25" s="3901" t="n">
        <f t="array" ref="U25">U24</f>
        <v>3008000</v>
      </c>
      <c r="V25" s="3901" t="n">
        <v>0</v>
      </c>
      <c r="W25" s="4078" t="n">
        <f t="array" ref="W25">V25/U25</f>
        <v>0</v>
      </c>
      <c r="X25" s="113" t="inlineStr">
        <is>
          <t xml:space="preserve">No</t>
        </is>
      </c>
      <c r="Y25" s="4078" t="n">
        <f t="array" ref="Y25">IF(X25="No",W25,0)</f>
        <v>0</v>
      </c>
    </row>
    <row r="26" s="3154" customFormat="1" ht="15" customHeight="1">
      <c r="A26" s="50" t="n"/>
      <c r="B26" s="149" t="inlineStr">
        <is>
          <t xml:space="preserve">Combined Austin incentives scenario: HOT/TIF/F&amp;B rebates may offset a portion of project cost; re-run after parcel-specific incentive diligence.</t>
        </is>
      </c>
      <c r="C26" s="50" t="n"/>
      <c r="D26" s="50" t="n"/>
      <c r="E26" s="50" t="n"/>
      <c r="F26" s="50" t="n"/>
      <c r="G26" s="50" t="n"/>
      <c r="H26" s="50" t="n"/>
      <c r="I26" s="50" t="n"/>
      <c r="J26" s="50" t="n"/>
      <c r="K26" s="50" t="n"/>
      <c r="L26" s="50" t="n"/>
      <c r="M26" s="50" t="n"/>
      <c r="N26" s="50" t="n"/>
      <c r="O26" s="50" t="n"/>
      <c r="P26" s="50" t="n"/>
      <c r="Q26" s="50" t="n"/>
      <c r="R26" s="50" t="n"/>
      <c r="S26" s="113" t="inlineStr">
        <is>
          <t xml:space="preserve">AMD778</t>
        </is>
      </c>
      <c r="T26" s="50" t="n"/>
      <c r="U26" s="3901" t="n">
        <f t="array" ref="U26">U25</f>
        <v>3008000</v>
      </c>
      <c r="V26" s="3901" t="n">
        <v>9024</v>
      </c>
      <c r="W26" s="4078" t="n">
        <f t="array" ref="W26">V26/U26</f>
        <v>0.003</v>
      </c>
      <c r="X26" s="113" t="inlineStr">
        <is>
          <t xml:space="preserve">No</t>
        </is>
      </c>
      <c r="Y26" s="4078" t="n">
        <f t="array" ref="Y26">IF(X26="No",W26,0)</f>
        <v>0.003</v>
      </c>
    </row>
    <row r="27" s="3154" customFormat="1" ht="15" customHeight="1">
      <c r="A27" s="50" t="n"/>
      <c r="B27" s="149" t="inlineStr">
        <is>
          <t xml:space="preserve">Sources: TCAD public records, City of Austin EDD, Texas Comptroller 351.102; figures are model assumptions, verify with TCAD parcel lookups</t>
        </is>
      </c>
      <c r="C27" s="50" t="n"/>
      <c r="D27" s="50" t="n"/>
      <c r="E27" s="50" t="n"/>
      <c r="F27" s="50" t="n"/>
      <c r="G27" s="50" t="n"/>
      <c r="H27" s="50" t="n"/>
      <c r="I27" s="50" t="n"/>
      <c r="J27" s="50" t="n"/>
      <c r="K27" s="50" t="n"/>
      <c r="L27" s="50" t="n"/>
      <c r="M27" s="50" t="n"/>
      <c r="N27" s="50" t="n"/>
      <c r="O27" s="50" t="n"/>
      <c r="P27" s="50" t="n"/>
      <c r="Q27" s="50" t="n"/>
      <c r="R27" s="50" t="n"/>
      <c r="S27" s="113" t="inlineStr">
        <is>
          <t xml:space="preserve">Fire Tax</t>
        </is>
      </c>
      <c r="T27" s="50" t="n"/>
      <c r="U27" s="3901" t="n">
        <f t="array" ref="U27">U26</f>
        <v>3008000</v>
      </c>
      <c r="V27" s="3901" t="n">
        <v>0</v>
      </c>
      <c r="W27" s="4078" t="n">
        <f t="array" ref="W27">V27/U27</f>
        <v>0</v>
      </c>
      <c r="X27" s="113" t="inlineStr">
        <is>
          <t xml:space="preserve">No</t>
        </is>
      </c>
      <c r="Y27" s="4078" t="n">
        <f t="array" ref="Y27">IF(X27="No",W27,0)</f>
        <v>0</v>
      </c>
    </row>
    <row r="28" s="3154" customFormat="1" ht="15" customHeight="1">
      <c r="A28" s="50" t="n"/>
      <c r="B28" s="50" t="n"/>
      <c r="C28" s="50" t="n"/>
      <c r="D28" s="50" t="n"/>
      <c r="E28" s="50" t="n"/>
      <c r="F28" s="50" t="n"/>
      <c r="G28" s="50" t="n"/>
      <c r="H28" s="50" t="n"/>
      <c r="I28" s="50" t="n"/>
      <c r="J28" s="50" t="n"/>
      <c r="K28" s="50" t="n"/>
      <c r="L28" s="50" t="n"/>
      <c r="M28" s="50" t="n"/>
      <c r="N28" s="50" t="n"/>
      <c r="O28" s="50" t="n"/>
      <c r="P28" s="50" t="n"/>
      <c r="Q28" s="50" t="n"/>
      <c r="R28" s="50" t="n"/>
      <c r="S28" s="2331" t="inlineStr">
        <is>
          <t xml:space="preserve">Pike School</t>
        </is>
      </c>
      <c r="T28" s="2332" t="n"/>
      <c r="U28" s="4080" t="n">
        <f t="array" ref="U28">U27</f>
        <v>3008000</v>
      </c>
      <c r="V28" s="4080" t="n">
        <v>0</v>
      </c>
      <c r="W28" s="4081" t="n">
        <f t="array" ref="W28">V28/U28</f>
        <v>0</v>
      </c>
      <c r="X28" s="2331" t="inlineStr">
        <is>
          <t xml:space="preserve">No</t>
        </is>
      </c>
      <c r="Y28" s="4081" t="n">
        <f t="array" ref="Y28">IF(X28="No",W28,0)</f>
        <v>0</v>
      </c>
    </row>
    <row r="29" s="3154" customFormat="1" ht="15" customHeight="1">
      <c r="A29" s="50" t="n"/>
      <c r="B29" s="50" t="n"/>
      <c r="C29" s="50" t="n"/>
      <c r="D29" s="50" t="n"/>
      <c r="E29" s="50" t="n"/>
      <c r="F29" s="50" t="n"/>
      <c r="G29" s="50" t="n"/>
      <c r="H29" s="50" t="n"/>
      <c r="I29" s="50" t="n"/>
      <c r="J29" s="50" t="n"/>
      <c r="K29" s="50" t="n"/>
      <c r="L29" s="50" t="n"/>
      <c r="M29" s="50" t="n"/>
      <c r="N29" s="50" t="n"/>
      <c r="O29" s="50" t="n"/>
      <c r="P29" s="50" t="n"/>
      <c r="Q29" s="50" t="n"/>
      <c r="R29" s="50" t="n"/>
      <c r="S29" s="2333" t="n"/>
      <c r="T29" s="2333" t="n"/>
      <c r="U29" s="4082" t="n">
        <f t="array" ref="U29">U28</f>
        <v>3008000</v>
      </c>
      <c r="V29" s="4082" t="n">
        <f t="array" ref="V29">SUM(V20:V28)</f>
        <v>109792</v>
      </c>
      <c r="W29" s="4083" t="n">
        <f t="array" ref="W29">SUM(W20:W28)</f>
        <v>0.036500000000000005</v>
      </c>
      <c r="X29" s="4083" t="n"/>
      <c r="Y29" s="4083" t="n">
        <f t="array" ref="Y29">SUM(Y20:Y28)</f>
        <v>0.0165</v>
      </c>
    </row>
  </sheetData>
  <conditionalFormatting sqref="E13:E13">
    <cfRule type="cellIs" dxfId="0" priority="1" stopIfTrue="1" operator="lessThan">
      <formula>0</formula>
    </cfRule>
  </conditionalFormatting>
  <pageMargins left="0.7" right="0.7" top="0.75" bottom="0.75" header="0.3" footer="0.3"/>
  <drawing r:id="Ra392da6c28d543c9"/>
</worksheet>
</file>

<file path=xl/worksheets/sheet22.xml><?xml version="1.0" encoding="utf-8"?>
<worksheet xmlns="http://schemas.openxmlformats.org/spreadsheetml/2006/main" xmlns:r="http://schemas.openxmlformats.org/officeDocument/2006/relationships">
  <sheetViews>
    <sheetView showGridLines="0" workbookViewId="0"/>
  </sheetViews>
  <sheetFormatPr baseColWidth="8" defaultColWidth="9" defaultRowHeight="15"/>
  <cols>
    <col min="1" max="1" width="2.5" style="3136" customWidth="1"/>
    <col min="2" max="2" width="26.351600646972656" style="3136" customWidth="1"/>
    <col min="3" max="3" width="9" style="3136" customWidth="1"/>
    <col min="4" max="4" width="16.5" style="3136" customWidth="1"/>
    <col min="5" max="5" width="13.671899795532227" style="3136" customWidth="1"/>
    <col min="6" max="6" width="13.5" style="3136" customWidth="1"/>
    <col min="7" max="7" width="13.35159969329834" style="3136" customWidth="1"/>
    <col min="8" max="16" width="12.5" style="3136" customWidth="1"/>
    <col min="17" max="17" width="2.5" style="3136" customWidth="1"/>
    <col min="18" max="18" width="12.5" style="3136" customWidth="1"/>
    <col min="19" max="19" width="2.5" style="3136" customWidth="1"/>
    <col min="20" max="21" width="9" style="3136" hidden="1" customWidth="1"/>
    <col min="22" max="16384" width="9" style="3136" customWidth="1"/>
  </cols>
  <sheetData>
    <row r="1" s="3154" customFormat="1" ht="15" customHeight="1">
      <c r="A1" s="50" t="n"/>
      <c r="B1" s="49" t="n"/>
      <c r="C1" s="49" t="n"/>
      <c r="D1" s="49" t="n"/>
      <c r="E1" s="49" t="n"/>
      <c r="F1" s="49" t="n"/>
      <c r="G1" s="49" t="n"/>
      <c r="H1" s="49" t="n"/>
      <c r="I1" s="49" t="n"/>
      <c r="J1" s="49" t="n"/>
      <c r="K1" s="49" t="n"/>
      <c r="L1" s="49" t="n"/>
      <c r="M1" s="49" t="n"/>
      <c r="N1" s="49" t="n"/>
      <c r="O1" s="49" t="n"/>
      <c r="P1" s="49" t="n"/>
      <c r="Q1" s="49" t="n"/>
      <c r="R1" s="49" t="n"/>
      <c r="S1" s="50" t="n"/>
      <c r="T1" s="50" t="n"/>
      <c r="U1" s="50" t="n"/>
    </row>
    <row r="2" s="3154" customFormat="1" ht="18.75" customHeight="1">
      <c r="A2" s="85" t="n"/>
      <c r="B2" s="2342" t="str">
        <f t="array" ref="B2">UPPER('Assumptions'!$D$6)</f>
        <v>INDEPENDENT (NO FLAG)</v>
      </c>
      <c r="C2" s="2343" t="n"/>
      <c r="D2" s="2343" t="n"/>
      <c r="E2" s="2343" t="n"/>
      <c r="F2" s="2343" t="n"/>
      <c r="G2" s="2343" t="n"/>
      <c r="H2" s="2343" t="n"/>
      <c r="I2" s="2343" t="n"/>
      <c r="J2" s="2343" t="n"/>
      <c r="K2" s="2343" t="n"/>
      <c r="L2" s="2343" t="n"/>
      <c r="M2" s="2343" t="n"/>
      <c r="N2" s="2343" t="n"/>
      <c r="O2" s="2343" t="n"/>
      <c r="P2" s="2343" t="n"/>
      <c r="Q2" s="2343" t="n"/>
      <c r="R2" s="2343" t="n"/>
      <c r="S2" s="2344" t="n"/>
      <c r="T2" s="2345" t="n"/>
      <c r="U2" s="2345" t="n"/>
    </row>
    <row r="3" s="3154" customFormat="1" ht="19.5" customHeight="1">
      <c r="A3" s="85" t="n"/>
      <c r="B3" s="2346" t="inlineStr">
        <is>
          <t xml:space="preserve">NET INCOME SCHEDULE</t>
        </is>
      </c>
      <c r="C3" s="2347" t="n"/>
      <c r="D3" s="2347" t="n"/>
      <c r="E3" s="2347" t="n"/>
      <c r="F3" s="2347" t="n"/>
      <c r="G3" s="2347" t="n"/>
      <c r="H3" s="2347" t="n"/>
      <c r="I3" s="2347" t="n"/>
      <c r="J3" s="2347" t="n"/>
      <c r="K3" s="2347" t="n"/>
      <c r="L3" s="2347" t="n"/>
      <c r="M3" s="2347" t="n"/>
      <c r="N3" s="2347" t="n"/>
      <c r="O3" s="2347" t="n"/>
      <c r="P3" s="2347" t="n"/>
      <c r="Q3" s="2347" t="n"/>
      <c r="R3" s="2347" t="n"/>
      <c r="S3" s="2344" t="n"/>
      <c r="T3" s="2345" t="n"/>
      <c r="U3" s="2345" t="n"/>
    </row>
    <row r="4" s="3154" customFormat="1" ht="19.5" customHeight="1">
      <c r="A4" s="50" t="n"/>
      <c r="B4" s="2348" t="n"/>
      <c r="C4" s="2349" t="n"/>
      <c r="D4" s="2348" t="n"/>
      <c r="E4" s="2350" t="n"/>
      <c r="F4" s="2350" t="n"/>
      <c r="G4" s="2350" t="n"/>
      <c r="H4" s="2350" t="n"/>
      <c r="I4" s="2350" t="n"/>
      <c r="J4" s="2350" t="n"/>
      <c r="K4" s="2350" t="n"/>
      <c r="L4" s="2350" t="n"/>
      <c r="M4" s="2350" t="n"/>
      <c r="N4" s="2350" t="n"/>
      <c r="O4" s="2350" t="n"/>
      <c r="P4" s="2350" t="n"/>
      <c r="Q4" s="2349" t="n"/>
      <c r="R4" s="2349" t="n"/>
      <c r="S4" s="2345" t="n"/>
      <c r="T4" s="2345" t="n"/>
      <c r="U4" s="2345" t="n"/>
    </row>
    <row r="5" s="3154" customFormat="1" ht="18.75" customHeight="1">
      <c r="A5" s="50" t="n"/>
      <c r="B5" s="2351" t="n"/>
      <c r="C5" s="2345" t="n"/>
      <c r="D5" s="2352" t="n"/>
      <c r="E5" s="4084" t="n">
        <v>0</v>
      </c>
      <c r="F5" s="4084" t="n">
        <f t="array" ref="F5">E5+1</f>
        <v>1</v>
      </c>
      <c r="G5" s="4084" t="n">
        <f t="array" ref="G5">F5+1</f>
        <v>2</v>
      </c>
      <c r="H5" s="4084" t="n">
        <f t="array" ref="H5">G5+1</f>
        <v>3</v>
      </c>
      <c r="I5" s="4084" t="n">
        <f t="array" ref="I5">H5+1</f>
        <v>4</v>
      </c>
      <c r="J5" s="4084" t="n">
        <f t="array" ref="J5">I5+1</f>
        <v>5</v>
      </c>
      <c r="K5" s="4084" t="n">
        <f t="array" ref="K5">J5+1</f>
        <v>6</v>
      </c>
      <c r="L5" s="4084" t="n">
        <f t="array" ref="L5">K5+1</f>
        <v>7</v>
      </c>
      <c r="M5" s="4084" t="n">
        <f t="array" ref="M5">L5+1</f>
        <v>8</v>
      </c>
      <c r="N5" s="4084" t="n">
        <f t="array" ref="N5">M5+1</f>
        <v>9</v>
      </c>
      <c r="O5" s="4084" t="n">
        <f t="array" ref="O5">N5+1</f>
        <v>10</v>
      </c>
      <c r="P5" s="4084" t="n">
        <f t="array" ref="P5">O5+1</f>
        <v>11</v>
      </c>
      <c r="Q5" s="2344" t="n"/>
      <c r="R5" s="2345" t="n"/>
      <c r="S5" s="2345" t="n"/>
      <c r="T5" s="2345" t="n"/>
      <c r="U5" s="2345" t="n"/>
    </row>
    <row r="6" s="3154" customFormat="1" ht="15" customHeight="1">
      <c r="A6" s="50" t="n"/>
      <c r="B6" s="50" t="n"/>
      <c r="C6" s="50" t="n"/>
      <c r="D6" s="2354" t="inlineStr">
        <is>
          <t xml:space="preserve">Year</t>
        </is>
      </c>
      <c r="E6" s="2355" t="n">
        <f t="array" ref="E6">'Annual CF'!B6</f>
        <v>2026</v>
      </c>
      <c r="F6" s="2356" t="n">
        <f t="array" ref="F6">E6+1</f>
        <v>2027</v>
      </c>
      <c r="G6" s="82" t="n">
        <f t="array" ref="G6">F6+1</f>
        <v>2028</v>
      </c>
      <c r="H6" s="82" t="n">
        <f t="array" ref="H6">G6+1</f>
        <v>2029</v>
      </c>
      <c r="I6" s="82" t="n">
        <f t="array" ref="I6">H6+1</f>
        <v>2030</v>
      </c>
      <c r="J6" s="82" t="n">
        <f t="array" ref="J6">I6+1</f>
        <v>2031</v>
      </c>
      <c r="K6" s="82" t="n">
        <f t="array" ref="K6">J6+1</f>
        <v>2032</v>
      </c>
      <c r="L6" s="82" t="n">
        <f t="array" ref="L6">K6+1</f>
        <v>2033</v>
      </c>
      <c r="M6" s="82" t="n">
        <f t="array" ref="M6">L6+1</f>
        <v>2034</v>
      </c>
      <c r="N6" s="82" t="n">
        <f t="array" ref="N6">M6+1</f>
        <v>2035</v>
      </c>
      <c r="O6" s="82" t="n">
        <f t="array" ref="O6">N6+1</f>
        <v>2036</v>
      </c>
      <c r="P6" s="82" t="n">
        <f t="array" ref="P6">O6+1</f>
        <v>2037</v>
      </c>
      <c r="Q6" s="50" t="n"/>
      <c r="R6" s="2354" t="inlineStr">
        <is>
          <t xml:space="preserve">TOTAL</t>
        </is>
      </c>
      <c r="S6" s="50" t="n"/>
      <c r="T6" s="50" t="n"/>
      <c r="U6" s="50" t="n"/>
    </row>
    <row r="7" s="3154" customFormat="1" ht="8" customHeight="1">
      <c r="A7" s="50" t="n"/>
      <c r="B7" s="49" t="n"/>
      <c r="C7" s="49" t="n"/>
      <c r="D7" s="49" t="n"/>
      <c r="E7" s="49" t="n"/>
      <c r="F7" s="49" t="n"/>
      <c r="G7" s="49" t="n"/>
      <c r="H7" s="49" t="n"/>
      <c r="I7" s="49" t="n"/>
      <c r="J7" s="49" t="n"/>
      <c r="K7" s="49" t="n"/>
      <c r="L7" s="49" t="n"/>
      <c r="M7" s="49" t="n"/>
      <c r="N7" s="49" t="n"/>
      <c r="O7" s="49" t="n"/>
      <c r="P7" s="49" t="n"/>
      <c r="Q7" s="49" t="n"/>
      <c r="R7" s="2357" t="n"/>
      <c r="S7" s="50" t="n"/>
      <c r="T7" s="50" t="n"/>
      <c r="U7" s="50" t="n"/>
    </row>
    <row r="8" s="3154" customFormat="1" ht="15" customHeight="1">
      <c r="A8" s="85" t="n"/>
      <c r="B8" s="2358" t="inlineStr">
        <is>
          <t xml:space="preserve">PRE-TAX IRR</t>
        </is>
      </c>
      <c r="C8" s="2359" t="n"/>
      <c r="D8" s="2359" t="n"/>
      <c r="E8" s="2359" t="n"/>
      <c r="F8" s="2359" t="n"/>
      <c r="G8" s="2359" t="n"/>
      <c r="H8" s="2359" t="n"/>
      <c r="I8" s="2359" t="n"/>
      <c r="J8" s="2359" t="n"/>
      <c r="K8" s="2359" t="n"/>
      <c r="L8" s="2359" t="n"/>
      <c r="M8" s="2359" t="n"/>
      <c r="N8" s="2359" t="n"/>
      <c r="O8" s="2359" t="n"/>
      <c r="P8" s="2359" t="n"/>
      <c r="Q8" s="2359" t="n"/>
      <c r="R8" s="2359" t="n"/>
      <c r="S8" s="81" t="n"/>
      <c r="T8" s="50" t="n"/>
      <c r="U8" s="50" t="n"/>
    </row>
    <row r="9" s="3154" customFormat="1" ht="15" customHeight="1">
      <c r="A9" s="50" t="n"/>
      <c r="B9" s="2360" t="inlineStr">
        <is>
          <t xml:space="preserve">SR Contribution</t>
        </is>
      </c>
      <c r="C9" s="2361" t="e">
        <f t="array" ref="C9">D9/SUM($D$9:$D$10)</f>
      </c>
      <c r="D9" s="4085" t="n">
        <f t="array" ref="D9">SUM('Annual CF'!B39:E39)+ABS(D10)</f>
        <v>0</v>
      </c>
      <c r="E9" s="4086" t="e">
        <f t="array" ref="E9">'Annual CF'!B$39/-SUM(ABS($D$10),ABS($D$9))*-ABS($D9)</f>
      </c>
      <c r="F9" s="4086" t="e">
        <f t="array" ref="F9">'Annual CF'!C$39/-SUM(ABS($D$10),ABS($D$9))*-ABS($D9)</f>
      </c>
      <c r="G9" s="4086" t="e">
        <f t="array" ref="G9">'Annual CF'!D$39/-SUM(ABS($D$10),ABS($D$9))*-ABS($D9)</f>
      </c>
      <c r="H9" s="4086" t="e">
        <f t="array" ref="H9">'Annual CF'!E$39/-SUM(ABS($D$10),ABS($D$9))*-ABS($D9)</f>
      </c>
      <c r="I9" s="4086" t="e">
        <f t="array" ref="I9">'Annual CF'!F$39/-SUM(ABS($D$10),ABS($D$9))*-ABS($D9)</f>
      </c>
      <c r="J9" s="4086" t="e">
        <f t="array" ref="J9">'Annual CF'!G$39/-SUM(ABS($D$10),ABS($D$9))*-ABS($D9)</f>
      </c>
      <c r="K9" s="4086" t="e">
        <f t="array" ref="K9">'Annual CF'!H$39/-SUM(ABS($D$10),ABS($D$9))*-ABS($D9)</f>
      </c>
      <c r="L9" s="4086" t="e">
        <f t="array" ref="L9">'Annual CF'!I$39/-SUM(ABS($D$10),ABS($D$9))*-ABS($D9)</f>
      </c>
      <c r="M9" s="4086" t="e">
        <f t="array" ref="M9">'Annual CF'!J$39/-SUM(ABS($D$10),ABS($D$9))*-ABS($D9)</f>
      </c>
      <c r="N9" s="4086" t="e">
        <f t="array" ref="N9">'Annual CF'!K$39/-SUM(ABS($D$10),ABS($D$9))*-ABS($D9)</f>
      </c>
      <c r="O9" s="4086" t="e">
        <f t="array" ref="O9">'Annual CF'!L$39/-SUM(ABS($D$10),ABS($D$9))*-ABS($D9)</f>
      </c>
      <c r="P9" s="4086" t="e">
        <f t="array" ref="P9">'Annual CF'!M$39/-SUM(ABS($D$10),ABS($D$9))*-ABS($D9)</f>
      </c>
      <c r="Q9" s="2333" t="n"/>
      <c r="R9" s="4087" t="e">
        <f t="array" ref="R9">SUM(E9:P9)</f>
      </c>
      <c r="S9" s="50" t="n"/>
      <c r="T9" s="50" t="n"/>
      <c r="U9" s="50" t="n"/>
    </row>
    <row r="10" s="3154" customFormat="1" ht="15" customHeight="1">
      <c r="A10" s="50" t="n"/>
      <c r="B10" s="2365" t="inlineStr">
        <is>
          <t xml:space="preserve">Other Partner Contribution</t>
        </is>
      </c>
      <c r="C10" s="2366" t="e">
        <f t="array" ref="C10">D10/SUM($D$9:$D$10)</f>
      </c>
      <c r="D10" s="4088" t="n">
        <v>0</v>
      </c>
      <c r="E10" s="4089" t="e">
        <f t="array" ref="E10">'Annual CF'!B$12/-SUM(ABS($D$10),ABS($D$9))*-ABS($D10)</f>
      </c>
      <c r="F10" s="4089" t="e">
        <f t="array" ref="F10">'Annual CF'!C$12/-SUM(ABS($D$10),ABS($D$9))*-ABS($D10)</f>
      </c>
      <c r="G10" s="4089" t="e">
        <f t="array" ref="G10">'Annual CF'!D$12/-SUM(ABS($D$10),ABS($D$9))*-ABS($D10)</f>
      </c>
      <c r="H10" s="4089" t="e">
        <f t="array" ref="H10">'Annual CF'!E$12/-SUM(ABS($D$10),ABS($D$9))*-ABS($D10)</f>
      </c>
      <c r="I10" s="4089" t="e">
        <f t="array" ref="I10">'Annual CF'!F$12/-SUM(ABS($D$10),ABS($D$9))*-ABS($D10)</f>
      </c>
      <c r="J10" s="4089" t="e">
        <f t="array" ref="J10">'Annual CF'!G$12/-SUM(ABS($D$10),ABS($D$9))*-ABS($D10)</f>
      </c>
      <c r="K10" s="4089" t="e">
        <f t="array" ref="K10">'Annual CF'!H$12/-SUM(ABS($D$10),ABS($D$9))*-ABS($D10)</f>
      </c>
      <c r="L10" s="4089" t="e">
        <f t="array" ref="L10">'Annual CF'!I$12/-SUM(ABS($D$10),ABS($D$9))*-ABS($D10)</f>
      </c>
      <c r="M10" s="4089" t="e">
        <f t="array" ref="M10">'Annual CF'!J$12/-SUM(ABS($D$10),ABS($D$9))*-ABS($D10)</f>
      </c>
      <c r="N10" s="4089" t="e">
        <f t="array" ref="N10">'Annual CF'!K$12/-SUM(ABS($D$10),ABS($D$9))*-ABS($D10)</f>
      </c>
      <c r="O10" s="4089" t="e">
        <f t="array" ref="O10">'Annual CF'!L$12/-SUM(ABS($D$10),ABS($D$9))*-ABS($D10)</f>
      </c>
      <c r="P10" s="4089" t="e">
        <f t="array" ref="P10">'Annual CF'!M$12/-SUM(ABS($D$10),ABS($D$9))*-ABS($D10)</f>
      </c>
      <c r="Q10" s="50" t="n"/>
      <c r="R10" s="4090" t="e">
        <f t="array" ref="R10">SUM(E10:P10)</f>
      </c>
      <c r="S10" s="50" t="n"/>
      <c r="T10" s="50" t="n"/>
      <c r="U10" s="50" t="n"/>
    </row>
    <row r="11" s="3154" customFormat="1" ht="15" customHeight="1">
      <c r="A11" s="50" t="n"/>
      <c r="B11" s="2365" t="inlineStr">
        <is>
          <t xml:space="preserve">Investment Distributions</t>
        </is>
      </c>
      <c r="C11" s="50" t="n"/>
      <c r="D11" s="50" t="n"/>
      <c r="E11" s="4091" t="n">
        <f t="array" ref="E11">'Annual CF'!B40</f>
        <v>0</v>
      </c>
      <c r="F11" s="4091" t="n">
        <f t="array" ref="F11">'Annual CF'!C40</f>
        <v>0</v>
      </c>
      <c r="G11" s="4091" t="e">
        <f t="array" ref="G11">'Annual CF'!D40</f>
      </c>
      <c r="H11" s="4091" t="e">
        <f t="array" ref="H11">'Annual CF'!E40</f>
      </c>
      <c r="I11" s="4091" t="e">
        <f t="array" ref="I11">'Annual CF'!F40</f>
      </c>
      <c r="J11" s="4091" t="e">
        <f t="array" ref="J11">'Annual CF'!G40</f>
      </c>
      <c r="K11" s="4091" t="e">
        <f t="array" ref="K11">'Annual CF'!H40</f>
      </c>
      <c r="L11" s="4091" t="e">
        <f t="array" ref="L11">'Annual CF'!I40</f>
      </c>
      <c r="M11" s="4091" t="e">
        <f t="array" ref="M11">'Annual CF'!J40</f>
      </c>
      <c r="N11" s="4091" t="e">
        <f t="array" ref="N11">'Annual CF'!K40</f>
      </c>
      <c r="O11" s="4091" t="e">
        <f t="array" ref="O11">'Annual CF'!L40</f>
      </c>
      <c r="P11" s="4091" t="n">
        <f t="array" ref="P11">'Annual CF'!M40</f>
        <v>0</v>
      </c>
      <c r="Q11" s="2332" t="n"/>
      <c r="R11" s="4092" t="e">
        <f t="array" ref="R11">SUM(E11:P11)</f>
      </c>
      <c r="S11" s="50" t="n"/>
      <c r="T11" s="50" t="n"/>
      <c r="U11" s="50" t="n"/>
    </row>
    <row r="12" s="3154" customFormat="1" ht="15" customHeight="1">
      <c r="A12" s="50" t="n"/>
      <c r="B12" s="113" t="inlineStr">
        <is>
          <t xml:space="preserve">Net Cash Flow</t>
        </is>
      </c>
      <c r="C12" s="50" t="n"/>
      <c r="D12" s="50" t="n"/>
      <c r="E12" s="4087" t="e">
        <f t="array" ref="E12">SUM(E9:E11)</f>
      </c>
      <c r="F12" s="4087" t="e">
        <f t="array" ref="F12">SUM(F9:F11)</f>
      </c>
      <c r="G12" s="4087" t="e">
        <f t="array" ref="G12">SUM(G9:G11)</f>
      </c>
      <c r="H12" s="4087" t="e">
        <f t="array" ref="H12">SUM(H9:H11)</f>
      </c>
      <c r="I12" s="4087" t="e">
        <f t="array" ref="I12">SUM(I9:I11)</f>
      </c>
      <c r="J12" s="4087" t="e">
        <f t="array" ref="J12">SUM(J9:J11)</f>
      </c>
      <c r="K12" s="4087" t="e">
        <f t="array" ref="K12">SUM(K9:K11)</f>
      </c>
      <c r="L12" s="4087" t="e">
        <f t="array" ref="L12">SUM(L9:L11)</f>
      </c>
      <c r="M12" s="4087" t="e">
        <f t="array" ref="M12">SUM(M9:M11)</f>
      </c>
      <c r="N12" s="4087" t="e">
        <f t="array" ref="N12">SUM(N9:N11)</f>
      </c>
      <c r="O12" s="4087" t="e">
        <f t="array" ref="O12">SUM(O9:O11)</f>
      </c>
      <c r="P12" s="4087" t="e">
        <f t="array" ref="P12">SUM(P9:P11)</f>
      </c>
      <c r="Q12" s="2333" t="n"/>
      <c r="R12" s="4087" t="e">
        <f t="array" ref="R12">SUM(E12:P12)</f>
      </c>
      <c r="S12" s="50" t="n"/>
      <c r="T12" s="50" t="n"/>
      <c r="U12" s="50" t="n"/>
    </row>
    <row r="13" s="3154" customFormat="1" ht="15" customHeight="1">
      <c r="A13" s="50" t="n"/>
      <c r="B13" s="2372" t="inlineStr">
        <is>
          <t xml:space="preserve">Pre-Tax IRR*</t>
        </is>
      </c>
      <c r="C13" s="2373" t="n"/>
      <c r="D13" s="4093" t="e">
        <f t="array" ref="D13">IRR(E12:P12)</f>
      </c>
      <c r="E13" s="4090" t="n"/>
      <c r="F13" s="2366" t="n"/>
      <c r="G13" s="2366" t="n"/>
      <c r="H13" s="2366" t="n"/>
      <c r="I13" s="2366" t="n"/>
      <c r="J13" s="2366" t="n"/>
      <c r="K13" s="2366" t="n"/>
      <c r="L13" s="2366" t="n"/>
      <c r="M13" s="2366" t="n"/>
      <c r="N13" s="2366" t="n"/>
      <c r="O13" s="2366" t="n"/>
      <c r="P13" s="2366" t="n"/>
      <c r="Q13" s="50" t="n"/>
      <c r="R13" s="50" t="n"/>
      <c r="S13" s="50" t="n"/>
      <c r="T13" s="50" t="n"/>
      <c r="U13" s="50" t="n"/>
    </row>
    <row r="14" s="3154" customFormat="1" ht="15" customHeight="1">
      <c r="A14" s="50" t="n"/>
      <c r="B14" s="49" t="n"/>
      <c r="C14" s="49" t="n"/>
      <c r="D14" s="2375" t="n"/>
      <c r="E14" s="49" t="n"/>
      <c r="F14" s="49" t="n"/>
      <c r="G14" s="49" t="n"/>
      <c r="H14" s="49" t="n"/>
      <c r="I14" s="49" t="n"/>
      <c r="J14" s="49" t="n"/>
      <c r="K14" s="49" t="n"/>
      <c r="L14" s="49" t="n"/>
      <c r="M14" s="49" t="n"/>
      <c r="N14" s="49" t="n"/>
      <c r="O14" s="49" t="n"/>
      <c r="P14" s="49" t="n"/>
      <c r="Q14" s="49" t="n"/>
      <c r="R14" s="49" t="n"/>
      <c r="S14" s="50" t="n"/>
      <c r="T14" s="50" t="n"/>
      <c r="U14" s="50" t="n"/>
    </row>
    <row r="15" s="3154" customFormat="1" ht="15" customHeight="1">
      <c r="A15" s="85" t="n"/>
      <c r="B15" s="2358" t="inlineStr">
        <is>
          <t xml:space="preserve">POST-TAX IRR</t>
        </is>
      </c>
      <c r="C15" s="2359" t="n"/>
      <c r="D15" s="2359" t="n"/>
      <c r="E15" s="2359" t="n"/>
      <c r="F15" s="2359" t="n"/>
      <c r="G15" s="2359" t="n"/>
      <c r="H15" s="2359" t="n"/>
      <c r="I15" s="2359" t="n"/>
      <c r="J15" s="2359" t="n"/>
      <c r="K15" s="2359" t="n"/>
      <c r="L15" s="2359" t="n"/>
      <c r="M15" s="2359" t="n"/>
      <c r="N15" s="2359" t="n"/>
      <c r="O15" s="2359" t="n"/>
      <c r="P15" s="2359" t="n"/>
      <c r="Q15" s="2359" t="n"/>
      <c r="R15" s="2359" t="n"/>
      <c r="S15" s="81" t="n"/>
      <c r="T15" s="50" t="n"/>
      <c r="U15" s="50" t="n"/>
    </row>
    <row r="16" s="3154" customFormat="1" ht="15" customHeight="1">
      <c r="A16" s="50" t="n"/>
      <c r="B16" s="2376" t="inlineStr">
        <is>
          <t xml:space="preserve">Operating Taxable Income</t>
        </is>
      </c>
      <c r="C16" s="2333" t="n"/>
      <c r="D16" s="2333" t="n"/>
      <c r="E16" s="2333" t="n"/>
      <c r="F16" s="2333" t="n"/>
      <c r="G16" s="4087" t="n"/>
      <c r="H16" s="2333" t="n"/>
      <c r="I16" s="2333" t="n"/>
      <c r="J16" s="2333" t="n"/>
      <c r="K16" s="2333" t="n"/>
      <c r="L16" s="2333" t="n"/>
      <c r="M16" s="2333" t="n"/>
      <c r="N16" s="2333" t="n"/>
      <c r="O16" s="2333" t="n"/>
      <c r="P16" s="2333" t="n"/>
      <c r="Q16" s="2333" t="n"/>
      <c r="R16" s="2333" t="n"/>
      <c r="S16" s="50" t="n"/>
      <c r="T16" s="50" t="n"/>
      <c r="U16" s="50" t="n"/>
    </row>
    <row r="17" s="3154" customFormat="1" ht="15" customHeight="1">
      <c r="A17" s="50" t="n"/>
      <c r="B17" s="2365" t="inlineStr">
        <is>
          <t xml:space="preserve">Net Operating Income</t>
        </is>
      </c>
      <c r="C17" s="50" t="n"/>
      <c r="D17" s="50" t="n"/>
      <c r="E17" s="4089" t="e">
        <f t="array" ref="E17">SUMIFS('Project Summary'!$C$34:$M$34,'Project Summary'!$C$24:$M$24,E$6)</f>
      </c>
      <c r="F17" s="4089" t="e">
        <f t="array" ref="F17">SUMIFS('Project Summary'!$C$34:$M$34,'Project Summary'!$C$24:$M$24,F$6)</f>
      </c>
      <c r="G17" s="4089" t="e">
        <f t="array" ref="G17">SUMIFS('Project Summary'!$C$34:$M$34,'Project Summary'!$C$24:$M$24,G$6)</f>
      </c>
      <c r="H17" s="4089" t="e">
        <f t="array" ref="H17">SUMIFS('Project Summary'!$C$34:$M$34,'Project Summary'!$C$24:$M$24,H$6)</f>
      </c>
      <c r="I17" s="4089" t="e">
        <f t="array" ref="I17">SUMIFS('Project Summary'!$C$34:$M$34,'Project Summary'!$C$24:$M$24,I$6)</f>
      </c>
      <c r="J17" s="4089" t="e">
        <f t="array" ref="J17">SUMIFS('Project Summary'!$C$34:$M$34,'Project Summary'!$C$24:$M$24,J$6)</f>
      </c>
      <c r="K17" s="4089" t="e">
        <f t="array" ref="K17">SUMIFS('Project Summary'!$C$34:$M$34,'Project Summary'!$C$24:$M$24,K$6)</f>
      </c>
      <c r="L17" s="4089" t="e">
        <f t="array" ref="L17">SUMIFS('Project Summary'!$C$34:$M$34,'Project Summary'!$C$24:$M$24,L$6)</f>
      </c>
      <c r="M17" s="4089" t="e">
        <f t="array" ref="M17">SUMIFS('Project Summary'!$C$34:$M$34,'Project Summary'!$C$24:$M$24,M$6)</f>
      </c>
      <c r="N17" s="4089" t="e">
        <f t="array" ref="N17">SUMIFS('Project Summary'!$C$34:$M$34,'Project Summary'!$C$24:$M$24,N$6)</f>
      </c>
      <c r="O17" s="4089" t="e">
        <f t="array" ref="O17">SUMIFS('Project Summary'!$C$34:$M$34,'Project Summary'!$C$24:$M$24,O$6)</f>
      </c>
      <c r="P17" s="4089" t="n"/>
      <c r="Q17" s="4090" t="n"/>
      <c r="R17" s="4090" t="e">
        <f t="array" ref="R17">SUM(E17:P17)</f>
      </c>
      <c r="S17" s="50" t="n"/>
      <c r="T17" s="50" t="n"/>
      <c r="U17" s="50" t="n"/>
    </row>
    <row r="18" s="3154" customFormat="1" ht="15" customHeight="1">
      <c r="A18" s="50" t="n"/>
      <c r="B18" s="2365" t="inlineStr">
        <is>
          <t xml:space="preserve">Depreciation</t>
        </is>
      </c>
      <c r="C18" s="50" t="n"/>
      <c r="D18" s="50" t="n"/>
      <c r="E18" s="4089" t="e">
        <f t="array" ref="E18">-SUMIFS('Depreciation'!A$24:AC$24,'Depreciation'!A$12:AC$12,E$6)</f>
      </c>
      <c r="F18" s="4089" t="e">
        <f t="array" ref="F18">-SUMIFS('Depreciation'!A$24:AC$24,'Depreciation'!A$12:AC$12,F$6)</f>
      </c>
      <c r="G18" s="4089" t="e">
        <f t="array" ref="G18">-SUMIFS('Depreciation'!A$24:AC$24,'Depreciation'!A$12:AC$12,G$6)</f>
      </c>
      <c r="H18" s="4089" t="e">
        <f t="array" ref="H18">-SUMIFS('Depreciation'!A$24:AC$24,'Depreciation'!A$12:AC$12,H$6)</f>
      </c>
      <c r="I18" s="4089" t="e">
        <f t="array" ref="I18">-SUMIFS('Depreciation'!A$24:AC$24,'Depreciation'!A$12:AC$12,I$6)</f>
      </c>
      <c r="J18" s="4089" t="e">
        <f t="array" ref="J18">-SUMIFS('Depreciation'!A$24:AC$24,'Depreciation'!A$12:AC$12,J$6)</f>
      </c>
      <c r="K18" s="4089" t="e">
        <f t="array" ref="K18">-SUMIFS('Depreciation'!A$24:AC$24,'Depreciation'!A$12:AC$12,K$6)</f>
      </c>
      <c r="L18" s="4089" t="e">
        <f t="array" ref="L18">-SUMIFS('Depreciation'!A$24:AC$24,'Depreciation'!A$12:AC$12,L$6)</f>
      </c>
      <c r="M18" s="4089" t="e">
        <f t="array" ref="M18">-SUMIFS('Depreciation'!A$24:AC$24,'Depreciation'!A$12:AC$12,M$6)</f>
      </c>
      <c r="N18" s="4089" t="e">
        <f t="array" ref="N18">-SUMIFS('Depreciation'!A$24:AC$24,'Depreciation'!A$12:AC$12,N$6)</f>
      </c>
      <c r="O18" s="4089" t="e">
        <f t="array" ref="O18">-SUMIFS('Depreciation'!A$24:AC$24,'Depreciation'!A$12:AC$12,O$6)</f>
      </c>
      <c r="P18" s="4089" t="n"/>
      <c r="Q18" s="4090" t="n"/>
      <c r="R18" s="4090" t="e">
        <f t="array" ref="R18">SUM(E18:P18)</f>
      </c>
      <c r="S18" s="50" t="n"/>
      <c r="T18" s="50" t="n"/>
      <c r="U18" s="50" t="n"/>
    </row>
    <row r="19" s="3154" customFormat="1" ht="15" customHeight="1">
      <c r="A19" s="50" t="n"/>
      <c r="B19" s="2365" t="inlineStr">
        <is>
          <t xml:space="preserve">Construction Debt Interest</t>
        </is>
      </c>
      <c r="C19" s="50" t="n"/>
      <c r="D19" s="50" t="n"/>
      <c r="E19" s="4089" t="e">
        <f t="array" ref="E19">-SUMIFS('Construction Interest'!$J$10:$J$69,'Construction Interest'!$M$10:$M$69,E$6)</f>
      </c>
      <c r="F19" s="4089" t="e">
        <f t="array" ref="F19">-SUMIFS('Construction Interest'!$J$10:$J$69,'Construction Interest'!$M$10:$M$69,F$6)</f>
      </c>
      <c r="G19" s="4089" t="e">
        <f t="array" ref="G19">-SUMIFS('Construction Interest'!$J$10:$J$69,'Construction Interest'!$M$10:$M$69,G$6)</f>
      </c>
      <c r="H19" s="4089" t="e">
        <f t="array" ref="H19">-SUMIFS('Construction Interest'!$J$10:$J$69,'Construction Interest'!$M$10:$M$69,H$6)</f>
      </c>
      <c r="I19" s="4089" t="e">
        <f t="array" ref="I19">-SUMIFS('Construction Interest'!$J$10:$J$69,'Construction Interest'!$M$10:$M$69,I$6)</f>
      </c>
      <c r="J19" s="4089" t="e">
        <f t="array" ref="J19">-SUMIFS('Construction Interest'!$J$10:$J$69,'Construction Interest'!$M$10:$M$69,J$6)</f>
      </c>
      <c r="K19" s="4089" t="e">
        <f t="array" ref="K19">-SUMIFS('Construction Interest'!$J$10:$J$69,'Construction Interest'!$M$10:$M$69,K$6)</f>
      </c>
      <c r="L19" s="4089" t="e">
        <f t="array" ref="L19">-SUMIFS('Construction Interest'!$J$10:$J$69,'Construction Interest'!$M$10:$M$69,L$6)</f>
      </c>
      <c r="M19" s="4089" t="e">
        <f t="array" ref="M19">-SUMIFS('Construction Interest'!$J$10:$J$69,'Construction Interest'!$M$10:$M$69,M$6)</f>
      </c>
      <c r="N19" s="4089" t="e">
        <f t="array" ref="N19">-SUMIFS('Construction Interest'!$J$10:$J$69,'Construction Interest'!$M$10:$M$69,N$6)</f>
      </c>
      <c r="O19" s="4089" t="e">
        <f t="array" ref="O19">-SUMIFS('Construction Interest'!$J$10:$J$69,'Construction Interest'!$M$10:$M$69,O$6)</f>
      </c>
      <c r="P19" s="4094" t="n"/>
      <c r="Q19" s="4090" t="n"/>
      <c r="R19" s="4090" t="e">
        <f t="array" ref="R19">SUM(E19:P19)</f>
      </c>
      <c r="S19" s="50" t="n"/>
      <c r="T19" s="50" t="n"/>
      <c r="U19" s="50" t="n"/>
    </row>
    <row r="20" s="3154" customFormat="1" ht="15" customHeight="1">
      <c r="A20" s="50" t="n"/>
      <c r="B20" s="2365" t="inlineStr">
        <is>
          <t xml:space="preserve">Perm Debt Interest</t>
        </is>
      </c>
      <c r="C20" s="50" t="n"/>
      <c r="D20" s="50" t="n"/>
      <c r="E20" s="4091" t="e">
        <f t="array" ref="E20">-SUMIFS('Perm Loan &amp; Amort'!$F$11:$F$121,'Perm Loan &amp; Amort'!$K$11:$K$121,E$6)</f>
      </c>
      <c r="F20" s="4091" t="e">
        <f t="array" ref="F20">-SUMIFS('Perm Loan &amp; Amort'!$F$11:$F$121,'Perm Loan &amp; Amort'!$K$11:$K$121,F$6)</f>
      </c>
      <c r="G20" s="4091" t="e">
        <f t="array" ref="G20">-SUMIFS('Perm Loan &amp; Amort'!$F$11:$F$121,'Perm Loan &amp; Amort'!$K$11:$K$121,G$6)</f>
      </c>
      <c r="H20" s="4091" t="e">
        <f t="array" ref="H20">-SUMIFS('Perm Loan &amp; Amort'!$F$11:$F$121,'Perm Loan &amp; Amort'!$K$11:$K$121,H$6)</f>
      </c>
      <c r="I20" s="4091" t="e">
        <f t="array" ref="I20">-SUMIFS('Perm Loan &amp; Amort'!$F$11:$F$121,'Perm Loan &amp; Amort'!$K$11:$K$121,I$6)</f>
      </c>
      <c r="J20" s="4091" t="e">
        <f t="array" ref="J20">-SUMIFS('Perm Loan &amp; Amort'!$F$11:$F$121,'Perm Loan &amp; Amort'!$K$11:$K$121,J$6)</f>
      </c>
      <c r="K20" s="4091" t="e">
        <f t="array" ref="K20">-SUMIFS('Perm Loan &amp; Amort'!$F$11:$F$121,'Perm Loan &amp; Amort'!$K$11:$K$121,K$6)</f>
      </c>
      <c r="L20" s="4091" t="e">
        <f t="array" ref="L20">-SUMIFS('Perm Loan &amp; Amort'!$F$11:$F$121,'Perm Loan &amp; Amort'!$K$11:$K$121,L$6)</f>
      </c>
      <c r="M20" s="4091" t="e">
        <f t="array" ref="M20">-SUMIFS('Perm Loan &amp; Amort'!$F$11:$F$121,'Perm Loan &amp; Amort'!$K$11:$K$121,M$6)</f>
      </c>
      <c r="N20" s="4091" t="e">
        <f t="array" ref="N20">-SUMIFS('Perm Loan &amp; Amort'!$F$11:$F$121,'Perm Loan &amp; Amort'!$K$11:$K$121,N$6)</f>
      </c>
      <c r="O20" s="4091" t="e">
        <f t="array" ref="O20">-SUMIFS('Perm Loan &amp; Amort'!$F$11:$F$121,'Perm Loan &amp; Amort'!$K$11:$K$121,O$6)</f>
      </c>
      <c r="P20" s="4095" t="n"/>
      <c r="Q20" s="4092" t="n"/>
      <c r="R20" s="4092" t="e">
        <f t="array" ref="R20">SUM(E20:P20)</f>
      </c>
      <c r="S20" s="50" t="n"/>
      <c r="T20" s="50" t="n"/>
      <c r="U20" s="50" t="n"/>
    </row>
    <row r="21" s="3154" customFormat="1" ht="15" customHeight="1">
      <c r="A21" s="50" t="n"/>
      <c r="B21" s="113" t="inlineStr">
        <is>
          <t xml:space="preserve">Operating Taxable Income</t>
        </is>
      </c>
      <c r="C21" s="50" t="n"/>
      <c r="D21" s="50" t="n"/>
      <c r="E21" s="4087" t="e">
        <f t="array" ref="E21">SUM(E17:E20)</f>
      </c>
      <c r="F21" s="4087" t="e">
        <f t="array" ref="F21">SUM(F17:F20)</f>
      </c>
      <c r="G21" s="4087" t="e">
        <f t="array" ref="G21">SUM(G17:G20)</f>
      </c>
      <c r="H21" s="4087" t="e">
        <f t="array" ref="H21">SUM(H17:H20)</f>
      </c>
      <c r="I21" s="4087" t="e">
        <f t="array" ref="I21">SUM(I17:I20)</f>
      </c>
      <c r="J21" s="4087" t="e">
        <f t="array" ref="J21">SUM(J17:J20)</f>
      </c>
      <c r="K21" s="4087" t="e">
        <f t="array" ref="K21">SUM(K17:K20)</f>
      </c>
      <c r="L21" s="4087" t="e">
        <f t="array" ref="L21">SUM(L17:L20)</f>
      </c>
      <c r="M21" s="4087" t="e">
        <f t="array" ref="M21">SUM(M17:M20)</f>
      </c>
      <c r="N21" s="4087" t="e">
        <f t="array" ref="N21">SUM(N17:N20)</f>
      </c>
      <c r="O21" s="4087" t="e">
        <f t="array" ref="O21">SUM(O17:O20)</f>
      </c>
      <c r="P21" s="4087" t="n">
        <f t="array" ref="P21">SUM(P17:P20)</f>
        <v>0</v>
      </c>
      <c r="Q21" s="4087" t="n"/>
      <c r="R21" s="4087" t="e">
        <f t="array" ref="R21">SUM(E21:P21)</f>
      </c>
      <c r="S21" s="50" t="n"/>
      <c r="T21" s="50" t="n"/>
      <c r="U21" s="50" t="n"/>
    </row>
    <row r="22" s="3154" customFormat="1" ht="15" customHeight="1">
      <c r="A22" s="50" t="n"/>
      <c r="B22" s="2332" t="n"/>
      <c r="C22" s="2332" t="n"/>
      <c r="D22" s="2332" t="n"/>
      <c r="E22" s="4092" t="n"/>
      <c r="F22" s="4092" t="n"/>
      <c r="G22" s="4092" t="n"/>
      <c r="H22" s="4092" t="n"/>
      <c r="I22" s="4092" t="n"/>
      <c r="J22" s="4092" t="n"/>
      <c r="K22" s="4092" t="n"/>
      <c r="L22" s="4092" t="n"/>
      <c r="M22" s="4092" t="n"/>
      <c r="N22" s="4092" t="n"/>
      <c r="O22" s="4092" t="n"/>
      <c r="P22" s="4092" t="n"/>
      <c r="Q22" s="4092" t="n"/>
      <c r="R22" s="4092" t="n"/>
      <c r="S22" s="50" t="n"/>
      <c r="T22" s="50" t="n"/>
      <c r="U22" s="50" t="n"/>
    </row>
    <row r="23" s="3154" customFormat="1" ht="15" customHeight="1">
      <c r="A23" s="85" t="n"/>
      <c r="B23" s="2379" t="inlineStr">
        <is>
          <t xml:space="preserve">Partner Prorated Tax Income</t>
        </is>
      </c>
      <c r="C23" s="2380" t="inlineStr">
        <is>
          <t xml:space="preserve">% Share</t>
        </is>
      </c>
      <c r="D23" s="2381" t="n"/>
      <c r="E23" s="2382" t="n"/>
      <c r="F23" s="4096" t="n"/>
      <c r="G23" s="4096" t="n"/>
      <c r="H23" s="4096" t="n"/>
      <c r="I23" s="4096" t="n"/>
      <c r="J23" s="4096" t="n"/>
      <c r="K23" s="4096" t="n"/>
      <c r="L23" s="4096" t="n"/>
      <c r="M23" s="4096" t="n"/>
      <c r="N23" s="4096" t="n"/>
      <c r="O23" s="4096" t="n"/>
      <c r="P23" s="4096" t="n"/>
      <c r="Q23" s="4096" t="n"/>
      <c r="R23" s="4096" t="n"/>
      <c r="S23" s="81" t="n"/>
      <c r="T23" s="50" t="n"/>
      <c r="U23" s="50" t="n"/>
    </row>
    <row r="24" s="3154" customFormat="1" ht="15" customHeight="1">
      <c r="A24" s="50" t="n"/>
      <c r="B24" s="2376" t="inlineStr">
        <is>
          <t xml:space="preserve">SR Mills Operating Tax Income</t>
        </is>
      </c>
      <c r="C24" s="4097" t="e">
        <f t="array" ref="C24">C9</f>
      </c>
      <c r="D24" s="4082" t="n"/>
      <c r="E24" s="4082" t="e">
        <f t="array" ref="E24">E$21*$C24</f>
      </c>
      <c r="F24" s="4082" t="e">
        <f t="array" ref="F24">F$21*$C24</f>
      </c>
      <c r="G24" s="4082" t="e">
        <f t="array" ref="G24">G$21*$C24</f>
      </c>
      <c r="H24" s="4082" t="e">
        <f t="array" ref="H24">H$21*$C24</f>
      </c>
      <c r="I24" s="4082" t="e">
        <f t="array" ref="I24">I$21*$C24</f>
      </c>
      <c r="J24" s="4082" t="e">
        <f t="array" ref="J24">J$21*$C24</f>
      </c>
      <c r="K24" s="4082" t="e">
        <f t="array" ref="K24">K$21*$C24</f>
      </c>
      <c r="L24" s="4082" t="e">
        <f t="array" ref="L24">L$21*$C24</f>
      </c>
      <c r="M24" s="4082" t="e">
        <f t="array" ref="M24">M$21*$C24</f>
      </c>
      <c r="N24" s="4082" t="e">
        <f t="array" ref="N24">N$21*$C24</f>
      </c>
      <c r="O24" s="4082" t="e">
        <f t="array" ref="O24">O$21*$C24</f>
      </c>
      <c r="P24" s="4082" t="e">
        <f t="array" ref="P24">P$21*$C24</f>
      </c>
      <c r="Q24" s="4087" t="n"/>
      <c r="R24" s="4087" t="e">
        <f t="array" ref="R24">SUM(E24:P24)</f>
      </c>
      <c r="S24" s="50" t="n"/>
      <c r="T24" s="50" t="n"/>
      <c r="U24" s="50" t="n"/>
    </row>
    <row r="25" s="3154" customFormat="1" ht="15" customHeight="1">
      <c r="A25" s="50" t="n"/>
      <c r="B25" s="113" t="inlineStr">
        <is>
          <t xml:space="preserve">Other Partner Taxable Income</t>
        </is>
      </c>
      <c r="C25" s="3194" t="e">
        <f t="array" ref="C25">C10</f>
      </c>
      <c r="D25" s="3901" t="n"/>
      <c r="E25" s="3901" t="e">
        <f t="array" ref="E25">E$21*$C25</f>
      </c>
      <c r="F25" s="3901" t="e">
        <f t="array" ref="F25">F$21*$C25</f>
      </c>
      <c r="G25" s="3901" t="e">
        <f t="array" ref="G25">G$21*$C25</f>
      </c>
      <c r="H25" s="3901" t="e">
        <f t="array" ref="H25">H$21*$C25</f>
      </c>
      <c r="I25" s="3901" t="e">
        <f t="array" ref="I25">I$21*$C25</f>
      </c>
      <c r="J25" s="3901" t="e">
        <f t="array" ref="J25">J$21*$C25</f>
      </c>
      <c r="K25" s="3901" t="e">
        <f t="array" ref="K25">K$21*$C25</f>
      </c>
      <c r="L25" s="3901" t="e">
        <f t="array" ref="L25">L$21*$C25</f>
      </c>
      <c r="M25" s="3901" t="e">
        <f t="array" ref="M25">M$21*$C25</f>
      </c>
      <c r="N25" s="3901" t="e">
        <f t="array" ref="N25">N$21*$C25</f>
      </c>
      <c r="O25" s="3901" t="e">
        <f t="array" ref="O25">O$21*$C25</f>
      </c>
      <c r="P25" s="3901" t="e">
        <f t="array" ref="P25">P$21*$C25</f>
      </c>
      <c r="Q25" s="4090" t="n"/>
      <c r="R25" s="4090" t="e">
        <f t="array" ref="R25">SUM(E25:P25)</f>
      </c>
      <c r="S25" s="50" t="n"/>
      <c r="T25" s="50" t="n"/>
      <c r="U25" s="50" t="n"/>
    </row>
    <row r="26" s="3154" customFormat="1" ht="15" customHeight="1">
      <c r="A26" s="50" t="n"/>
      <c r="B26" s="2385" t="inlineStr">
        <is>
          <t xml:space="preserve">*See Individual Partner Breakdown Below</t>
        </is>
      </c>
      <c r="C26" s="3194" t="n"/>
      <c r="D26" s="4098" t="n"/>
      <c r="E26" s="3901" t="n"/>
      <c r="F26" s="3901" t="n"/>
      <c r="G26" s="3901" t="n"/>
      <c r="H26" s="3901" t="n"/>
      <c r="I26" s="3901" t="n"/>
      <c r="J26" s="3901" t="n"/>
      <c r="K26" s="3901" t="n"/>
      <c r="L26" s="3901" t="n"/>
      <c r="M26" s="3901" t="n"/>
      <c r="N26" s="3901" t="n"/>
      <c r="O26" s="3901" t="n"/>
      <c r="P26" s="3901" t="n"/>
      <c r="Q26" s="4090" t="n"/>
      <c r="R26" s="4090" t="n"/>
      <c r="S26" s="50" t="n"/>
      <c r="T26" s="50" t="n"/>
      <c r="U26" s="50" t="n"/>
    </row>
    <row r="27" s="3154" customFormat="1" ht="15" customHeight="1">
      <c r="A27" s="50" t="n"/>
      <c r="B27" s="2387" t="n"/>
      <c r="C27" s="4099" t="n"/>
      <c r="D27" s="4100" t="n"/>
      <c r="E27" s="4080" t="n"/>
      <c r="F27" s="4080" t="n"/>
      <c r="G27" s="4080" t="n"/>
      <c r="H27" s="4080" t="n"/>
      <c r="I27" s="4080" t="n"/>
      <c r="J27" s="4080" t="n"/>
      <c r="K27" s="4080" t="n"/>
      <c r="L27" s="4080" t="n"/>
      <c r="M27" s="4080" t="n"/>
      <c r="N27" s="4080" t="n"/>
      <c r="O27" s="4080" t="n"/>
      <c r="P27" s="4080" t="n"/>
      <c r="Q27" s="4092" t="n"/>
      <c r="R27" s="4092" t="n"/>
      <c r="S27" s="50" t="n"/>
      <c r="T27" s="50" t="n"/>
      <c r="U27" s="50" t="n"/>
    </row>
    <row r="28" s="3154" customFormat="1" ht="15" customHeight="1">
      <c r="A28" s="85" t="n"/>
      <c r="B28" s="2390" t="inlineStr">
        <is>
          <t xml:space="preserve">SR - Pre-Tax Cash Flow</t>
        </is>
      </c>
      <c r="C28" s="2390" t="inlineStr">
        <is>
          <t xml:space="preserve">% Share</t>
        </is>
      </c>
      <c r="D28" s="4101" t="n"/>
      <c r="E28" s="4101" t="n"/>
      <c r="F28" s="4101" t="n"/>
      <c r="G28" s="4101" t="n"/>
      <c r="H28" s="4101" t="n"/>
      <c r="I28" s="4101" t="n"/>
      <c r="J28" s="4101" t="n"/>
      <c r="K28" s="4101" t="n"/>
      <c r="L28" s="4101" t="n"/>
      <c r="M28" s="4101" t="n"/>
      <c r="N28" s="4101" t="n"/>
      <c r="O28" s="4101" t="n"/>
      <c r="P28" s="4101" t="n"/>
      <c r="Q28" s="4102" t="n"/>
      <c r="R28" s="4102" t="n"/>
      <c r="S28" s="81" t="n"/>
      <c r="T28" s="50" t="n"/>
      <c r="U28" s="50" t="n"/>
    </row>
    <row r="29" s="3154" customFormat="1" ht="15" customHeight="1">
      <c r="A29" s="85" t="n"/>
      <c r="B29" s="2393" t="inlineStr">
        <is>
          <t xml:space="preserve">SR Mills Pre-Tax Cash Flow</t>
        </is>
      </c>
      <c r="C29" s="4103" t="e">
        <f t="array" ref="C29">C9</f>
      </c>
      <c r="D29" s="4104" t="n"/>
      <c r="E29" s="4105" t="e">
        <f t="array" ref="E29">E9+($C29*E$11)</f>
      </c>
      <c r="F29" s="4105" t="e">
        <f t="array" ref="F29">F9+($C29*F$11)</f>
      </c>
      <c r="G29" s="4105" t="e">
        <f t="array" ref="G29">G9+($C29*G$11)</f>
      </c>
      <c r="H29" s="4105" t="e">
        <f t="array" ref="H29">H9+($C29*H$11)</f>
      </c>
      <c r="I29" s="4105" t="e">
        <f t="array" ref="I29">I9+($C29*I$11)</f>
      </c>
      <c r="J29" s="4105" t="e">
        <f t="array" ref="J29">J9+($C29*J$11)</f>
      </c>
      <c r="K29" s="4105" t="e">
        <f t="array" ref="K29">K9+($C29*K$11)</f>
      </c>
      <c r="L29" s="4105" t="e">
        <f t="array" ref="L29">L9+($C29*L$11)</f>
      </c>
      <c r="M29" s="4105" t="e">
        <f t="array" ref="M29">M9+($C29*M$11)</f>
      </c>
      <c r="N29" s="4105" t="e">
        <f t="array" ref="N29">N9+($C29*N$11)</f>
      </c>
      <c r="O29" s="4105" t="e">
        <f t="array" ref="O29">O9+($C29*O$11)</f>
      </c>
      <c r="P29" s="4105" t="e">
        <f t="array" ref="P29">P9+($C29*P$11)</f>
      </c>
      <c r="Q29" s="2131" t="n"/>
      <c r="R29" s="4106" t="e">
        <f t="array" ref="R29">R9+($C29*R$11)</f>
      </c>
      <c r="S29" s="81" t="n"/>
      <c r="T29" s="50" t="n"/>
      <c r="U29" s="50" t="n"/>
    </row>
    <row r="30" s="3154" customFormat="1" ht="15" customHeight="1">
      <c r="A30" s="85" t="n"/>
      <c r="B30" s="2398" t="inlineStr">
        <is>
          <t xml:space="preserve">Pre-Tax IRR*</t>
        </is>
      </c>
      <c r="C30" s="4107" t="n"/>
      <c r="D30" s="4108" t="e">
        <f t="array" ref="D30">IRR(E29:P29)</f>
      </c>
      <c r="E30" s="4109" t="n"/>
      <c r="F30" s="4109" t="n"/>
      <c r="G30" s="4109" t="n"/>
      <c r="H30" s="4109" t="n"/>
      <c r="I30" s="4109" t="n"/>
      <c r="J30" s="4109" t="n"/>
      <c r="K30" s="4109" t="n"/>
      <c r="L30" s="4109" t="n"/>
      <c r="M30" s="4109" t="n"/>
      <c r="N30" s="4109" t="n"/>
      <c r="O30" s="4109" t="n"/>
      <c r="P30" s="4109" t="n"/>
      <c r="Q30" s="2100" t="n"/>
      <c r="R30" s="4110" t="n"/>
      <c r="S30" s="81" t="n"/>
      <c r="T30" s="50" t="n"/>
      <c r="U30" s="50" t="n"/>
    </row>
    <row r="31" s="3154" customFormat="1" ht="15" customHeight="1">
      <c r="A31" s="85" t="n"/>
      <c r="B31" s="2126" t="n"/>
      <c r="C31" s="4111" t="n"/>
      <c r="D31" s="4112" t="n"/>
      <c r="E31" s="4113" t="n"/>
      <c r="F31" s="4113" t="n"/>
      <c r="G31" s="4113" t="n"/>
      <c r="H31" s="4113" t="n"/>
      <c r="I31" s="4113" t="n"/>
      <c r="J31" s="4113" t="n"/>
      <c r="K31" s="4113" t="n"/>
      <c r="L31" s="4113" t="n"/>
      <c r="M31" s="4113" t="n"/>
      <c r="N31" s="4113" t="n"/>
      <c r="O31" s="4113" t="n"/>
      <c r="P31" s="4113" t="n"/>
      <c r="Q31" s="2126" t="n"/>
      <c r="R31" s="4114" t="n"/>
      <c r="S31" s="81" t="n"/>
      <c r="T31" s="50" t="n"/>
      <c r="U31" s="50" t="n"/>
    </row>
    <row r="32" s="3154" customFormat="1" ht="15" customHeight="1">
      <c r="A32" s="85" t="n"/>
      <c r="B32" s="2407" t="inlineStr">
        <is>
          <t xml:space="preserve">SR Mills Taxable Income</t>
        </is>
      </c>
      <c r="C32" s="4115" t="e">
        <f t="array" ref="C32">C24</f>
      </c>
      <c r="D32" s="4116" t="n"/>
      <c r="E32" s="4117" t="e">
        <f t="array" ref="E32">E24</f>
      </c>
      <c r="F32" s="4117" t="e">
        <f t="array" ref="F32">F24</f>
      </c>
      <c r="G32" s="4117" t="e">
        <f t="array" ref="G32">G24</f>
      </c>
      <c r="H32" s="4117" t="e">
        <f t="array" ref="H32">H24</f>
      </c>
      <c r="I32" s="4117" t="e">
        <f t="array" ref="I32">I24</f>
      </c>
      <c r="J32" s="4117" t="e">
        <f t="array" ref="J32">J24</f>
      </c>
      <c r="K32" s="4117" t="e">
        <f t="array" ref="K32">K24</f>
      </c>
      <c r="L32" s="4117" t="e">
        <f t="array" ref="L32">L24</f>
      </c>
      <c r="M32" s="4117" t="e">
        <f t="array" ref="M32">M24</f>
      </c>
      <c r="N32" s="4117" t="e">
        <f t="array" ref="N32">N24</f>
      </c>
      <c r="O32" s="4117" t="e">
        <f t="array" ref="O32">O24</f>
      </c>
      <c r="P32" s="4117" t="e">
        <f t="array" ref="P32">P24</f>
      </c>
      <c r="Q32" s="4118" t="n"/>
      <c r="R32" s="4118" t="e">
        <f t="array" ref="R32">R24</f>
      </c>
      <c r="S32" s="81" t="n"/>
      <c r="T32" s="50" t="n"/>
      <c r="U32" s="50" t="n"/>
    </row>
    <row r="33" s="3154" customFormat="1" ht="15" customHeight="1">
      <c r="A33" s="85" t="n"/>
      <c r="B33" s="2412" t="inlineStr">
        <is>
          <t xml:space="preserve">Personal Tax Rate</t>
        </is>
      </c>
      <c r="C33" s="2131" t="n"/>
      <c r="D33" s="2413" t="n">
        <v>0.43</v>
      </c>
      <c r="E33" s="2414" t="n">
        <f t="array" ref="E33">$D$33</f>
        <v>0.43</v>
      </c>
      <c r="F33" s="2414" t="n">
        <f t="array" ref="F33">$D$33</f>
        <v>0.43</v>
      </c>
      <c r="G33" s="2414" t="n">
        <f t="array" ref="G33">$D$33</f>
        <v>0.43</v>
      </c>
      <c r="H33" s="2414" t="n">
        <f t="array" ref="H33">$D$33</f>
        <v>0.43</v>
      </c>
      <c r="I33" s="2414" t="n">
        <f t="array" ref="I33">$D$33</f>
        <v>0.43</v>
      </c>
      <c r="J33" s="2414" t="n">
        <f t="array" ref="J33">$D$33</f>
        <v>0.43</v>
      </c>
      <c r="K33" s="2414" t="n">
        <f t="array" ref="K33">$D$33</f>
        <v>0.43</v>
      </c>
      <c r="L33" s="2414" t="n">
        <f t="array" ref="L33">$D$33</f>
        <v>0.43</v>
      </c>
      <c r="M33" s="2414" t="n">
        <f t="array" ref="M33">$D$33</f>
        <v>0.43</v>
      </c>
      <c r="N33" s="2414" t="n">
        <f t="array" ref="N33">$D$33</f>
        <v>0.43</v>
      </c>
      <c r="O33" s="2414" t="n">
        <f t="array" ref="O33">$D$33</f>
        <v>0.43</v>
      </c>
      <c r="P33" s="2414" t="n">
        <f t="array" ref="P33">$D$33</f>
        <v>0.43</v>
      </c>
      <c r="Q33" s="4106" t="n"/>
      <c r="R33" s="2414" t="n">
        <f t="array" ref="R33">$D$33</f>
        <v>0.43</v>
      </c>
      <c r="S33" s="81" t="n"/>
      <c r="T33" s="50" t="n"/>
      <c r="U33" s="50" t="n"/>
    </row>
    <row r="34" s="3154" customFormat="1" ht="15" customHeight="1">
      <c r="A34" s="85" t="n"/>
      <c r="B34" s="2415" t="inlineStr">
        <is>
          <t xml:space="preserve">Operating Tax Benefit/(Loss)</t>
        </is>
      </c>
      <c r="C34" s="2100" t="n"/>
      <c r="D34" s="2100" t="n"/>
      <c r="E34" s="4110" t="e">
        <f t="array" ref="E34">-E33*E32</f>
      </c>
      <c r="F34" s="4110" t="e">
        <f t="array" ref="F34">-F33*F32</f>
      </c>
      <c r="G34" s="4110" t="e">
        <f t="array" ref="G34">-G33*G32</f>
      </c>
      <c r="H34" s="4110" t="e">
        <f t="array" ref="H34">-H33*H32</f>
      </c>
      <c r="I34" s="4110" t="e">
        <f t="array" ref="I34">-I33*I32</f>
      </c>
      <c r="J34" s="4110" t="e">
        <f t="array" ref="J34">-J33*J32</f>
      </c>
      <c r="K34" s="4110" t="e">
        <f t="array" ref="K34">-K33*K32</f>
      </c>
      <c r="L34" s="4110" t="e">
        <f t="array" ref="L34">-L33*L32</f>
      </c>
      <c r="M34" s="4110" t="e">
        <f t="array" ref="M34">-M33*M32</f>
      </c>
      <c r="N34" s="4110" t="e">
        <f t="array" ref="N34">-N33*N32</f>
      </c>
      <c r="O34" s="4110" t="e">
        <f t="array" ref="O34">-O33*O32</f>
      </c>
      <c r="P34" s="4110" t="e">
        <f t="array" ref="P34">-P33*P32</f>
      </c>
      <c r="Q34" s="4110" t="n"/>
      <c r="R34" s="4110" t="e">
        <f t="array" ref="R34">-R33*R32</f>
      </c>
      <c r="S34" s="81" t="n"/>
      <c r="T34" s="50" t="n"/>
      <c r="U34" s="50" t="n"/>
    </row>
    <row r="35" s="3154" customFormat="1" ht="15" customHeight="1">
      <c r="A35" s="85" t="n"/>
      <c r="B35" s="2100" t="n"/>
      <c r="C35" s="2100" t="n"/>
      <c r="D35" s="2100" t="n"/>
      <c r="E35" s="4110" t="n"/>
      <c r="F35" s="4110" t="n"/>
      <c r="G35" s="4110" t="n"/>
      <c r="H35" s="4110" t="n"/>
      <c r="I35" s="4110" t="n"/>
      <c r="J35" s="4110" t="n"/>
      <c r="K35" s="4110" t="n"/>
      <c r="L35" s="4110" t="n"/>
      <c r="M35" s="4110" t="n"/>
      <c r="N35" s="4110" t="n"/>
      <c r="O35" s="4110" t="n"/>
      <c r="P35" s="4110" t="n"/>
      <c r="Q35" s="4110" t="n"/>
      <c r="R35" s="4110" t="n"/>
      <c r="S35" s="81" t="n"/>
      <c r="T35" s="50" t="n"/>
      <c r="U35" s="50" t="n"/>
    </row>
    <row r="36" s="3154" customFormat="1" ht="15" customHeight="1">
      <c r="A36" s="85" t="n"/>
      <c r="B36" s="2416" t="inlineStr">
        <is>
          <t xml:space="preserve">Non-OpZone Scenario</t>
        </is>
      </c>
      <c r="C36" s="2100" t="n"/>
      <c r="D36" s="2100" t="n"/>
      <c r="E36" s="4110" t="n"/>
      <c r="F36" s="4110" t="n"/>
      <c r="G36" s="4110" t="n"/>
      <c r="H36" s="4110" t="n"/>
      <c r="I36" s="4110" t="n"/>
      <c r="J36" s="4110" t="n"/>
      <c r="K36" s="4110" t="n"/>
      <c r="L36" s="4110" t="n"/>
      <c r="M36" s="4110" t="n"/>
      <c r="N36" s="4110" t="n"/>
      <c r="O36" s="4110" t="n"/>
      <c r="P36" s="4110" t="n"/>
      <c r="Q36" s="4110" t="n"/>
      <c r="R36" s="4110" t="n"/>
      <c r="S36" s="81" t="n"/>
      <c r="T36" s="50" t="n"/>
      <c r="U36" s="50" t="n"/>
    </row>
    <row r="37" s="3154" customFormat="1" ht="15" customHeight="1">
      <c r="A37" s="85" t="n"/>
      <c r="B37" s="2417" t="inlineStr">
        <is>
          <t xml:space="preserve">Net Sale Proceeds</t>
        </is>
      </c>
      <c r="C37" s="2100" t="n"/>
      <c r="D37" s="2100" t="n"/>
      <c r="E37" s="4110" t="n"/>
      <c r="F37" s="4110" t="n"/>
      <c r="G37" s="4110" t="n"/>
      <c r="H37" s="4110" t="n"/>
      <c r="I37" s="4110" t="n"/>
      <c r="J37" s="4110" t="n"/>
      <c r="K37" s="4110" t="n"/>
      <c r="L37" s="4110" t="n"/>
      <c r="M37" s="4110" t="n"/>
      <c r="N37" s="4110" t="n"/>
      <c r="O37" s="4119" t="e">
        <f t="array" ref="O37">'Annual CF'!$L$24+'Annual CF'!$L$25</f>
      </c>
      <c r="P37" s="4110" t="n"/>
      <c r="Q37" s="4110" t="n"/>
      <c r="R37" s="4110" t="n"/>
      <c r="S37" s="81" t="n"/>
      <c r="T37" s="50" t="n"/>
      <c r="U37" s="50" t="n"/>
    </row>
    <row r="38" s="3154" customFormat="1" ht="15" customHeight="1">
      <c r="A38" s="85" t="n"/>
      <c r="B38" s="2417" t="inlineStr">
        <is>
          <t xml:space="preserve">Initial Basis Before Depreciation </t>
        </is>
      </c>
      <c r="C38" s="2100" t="n"/>
      <c r="D38" s="2100" t="n"/>
      <c r="E38" s="4110" t="n"/>
      <c r="F38" s="4110" t="n"/>
      <c r="G38" s="4110" t="n"/>
      <c r="H38" s="4110" t="n"/>
      <c r="I38" s="4110" t="n"/>
      <c r="J38" s="4110" t="n"/>
      <c r="K38" s="4110" t="n"/>
      <c r="L38" s="4110" t="n"/>
      <c r="M38" s="4110" t="n"/>
      <c r="N38" s="4110" t="n"/>
      <c r="O38" s="4120" t="e">
        <f t="array" ref="O38">'Depreciation'!$N$41-'Depreciation'!$N$40</f>
      </c>
      <c r="P38" s="4110" t="n"/>
      <c r="Q38" s="4110" t="n"/>
      <c r="R38" s="4110" t="n"/>
      <c r="S38" s="81" t="n"/>
      <c r="T38" s="50" t="n"/>
      <c r="U38" s="50" t="n"/>
    </row>
    <row r="39" s="3154" customFormat="1" ht="15" customHeight="1">
      <c r="A39" s="85" t="n"/>
      <c r="B39" s="2417" t="inlineStr">
        <is>
          <t xml:space="preserve">Capital Gain From Sale</t>
        </is>
      </c>
      <c r="C39" s="2100" t="n"/>
      <c r="D39" s="2100" t="n"/>
      <c r="E39" s="4110" t="n"/>
      <c r="F39" s="4110" t="n"/>
      <c r="G39" s="4110" t="n"/>
      <c r="H39" s="4110" t="n"/>
      <c r="I39" s="4110" t="n"/>
      <c r="J39" s="4110" t="n"/>
      <c r="K39" s="4110" t="n"/>
      <c r="L39" s="4110" t="n"/>
      <c r="M39" s="4110" t="n"/>
      <c r="N39" s="4110" t="n"/>
      <c r="O39" s="4106" t="e">
        <f t="array" ref="O39">O37-O38</f>
      </c>
      <c r="P39" s="4110" t="n"/>
      <c r="Q39" s="4110" t="n"/>
      <c r="R39" s="4110" t="n"/>
      <c r="S39" s="81" t="n"/>
      <c r="T39" s="50" t="n"/>
      <c r="U39" s="50" t="n"/>
    </row>
    <row r="40" s="3154" customFormat="1" ht="15" customHeight="1">
      <c r="A40" s="85" t="n"/>
      <c r="B40" s="2417" t="inlineStr">
        <is>
          <t xml:space="preserve">Capital Gains Tax Rate</t>
        </is>
      </c>
      <c r="C40" s="2100" t="n"/>
      <c r="D40" s="2420" t="n">
        <f t="array" ref="D40">20%+6%</f>
        <v>0.26</v>
      </c>
      <c r="E40" s="2421" t="n">
        <f t="array" ref="E40">$D$40</f>
        <v>0.26</v>
      </c>
      <c r="F40" s="2421" t="n">
        <f t="array" ref="F40">$D$40</f>
        <v>0.26</v>
      </c>
      <c r="G40" s="2421" t="n">
        <f t="array" ref="G40">$D$40</f>
        <v>0.26</v>
      </c>
      <c r="H40" s="2421" t="n">
        <f t="array" ref="H40">$D$40</f>
        <v>0.26</v>
      </c>
      <c r="I40" s="2421" t="n">
        <f t="array" ref="I40">$D$40</f>
        <v>0.26</v>
      </c>
      <c r="J40" s="2421" t="n">
        <f t="array" ref="J40">$D$40</f>
        <v>0.26</v>
      </c>
      <c r="K40" s="2421" t="n">
        <f t="array" ref="K40">$D$40</f>
        <v>0.26</v>
      </c>
      <c r="L40" s="2421" t="n">
        <f t="array" ref="L40">$D$40</f>
        <v>0.26</v>
      </c>
      <c r="M40" s="2421" t="n">
        <f t="array" ref="M40">$D$40</f>
        <v>0.26</v>
      </c>
      <c r="N40" s="2421" t="n">
        <f t="array" ref="N40">$D$40</f>
        <v>0.26</v>
      </c>
      <c r="O40" s="2421" t="n">
        <f t="array" ref="O40">$D$40</f>
        <v>0.26</v>
      </c>
      <c r="P40" s="2421" t="n">
        <f t="array" ref="P40">$D$40</f>
        <v>0.26</v>
      </c>
      <c r="Q40" s="2421" t="n"/>
      <c r="R40" s="2421" t="n">
        <f t="array" ref="R40">$D$40</f>
        <v>0.26</v>
      </c>
      <c r="S40" s="81" t="n"/>
      <c r="T40" s="50" t="n"/>
      <c r="U40" s="50" t="n"/>
    </row>
    <row r="41" s="3154" customFormat="1" ht="15" customHeight="1">
      <c r="A41" s="85" t="n"/>
      <c r="B41" s="2417" t="inlineStr">
        <is>
          <t xml:space="preserve">Capital Gains Tax (x % of Ownership)</t>
        </is>
      </c>
      <c r="C41" s="2100" t="n"/>
      <c r="D41" s="2100" t="n"/>
      <c r="E41" s="4110" t="n"/>
      <c r="F41" s="4110" t="n"/>
      <c r="G41" s="4110" t="n"/>
      <c r="H41" s="4110" t="n"/>
      <c r="I41" s="4110" t="n"/>
      <c r="J41" s="4110" t="n"/>
      <c r="K41" s="4110" t="n"/>
      <c r="L41" s="4110" t="n"/>
      <c r="M41" s="4110" t="n"/>
      <c r="N41" s="4110" t="n"/>
      <c r="O41" s="4110" t="e">
        <f t="array" ref="O41">(O39*-O40)*$C$29</f>
      </c>
      <c r="P41" s="4110" t="n"/>
      <c r="Q41" s="4110" t="n"/>
      <c r="R41" s="4110" t="n"/>
      <c r="S41" s="81" t="n"/>
      <c r="T41" s="50" t="n"/>
      <c r="U41" s="50" t="n"/>
    </row>
    <row r="42" s="3154" customFormat="1" ht="15" customHeight="1">
      <c r="A42" s="85" t="n"/>
      <c r="B42" s="2422" t="n"/>
      <c r="C42" s="2100" t="n"/>
      <c r="D42" s="2100" t="n"/>
      <c r="E42" s="4110" t="n"/>
      <c r="F42" s="4110" t="n"/>
      <c r="G42" s="4110" t="n"/>
      <c r="H42" s="4110" t="n"/>
      <c r="I42" s="4110" t="n"/>
      <c r="J42" s="4110" t="n"/>
      <c r="K42" s="4110" t="n"/>
      <c r="L42" s="4110" t="n"/>
      <c r="M42" s="4110" t="n"/>
      <c r="N42" s="4110" t="n"/>
      <c r="O42" s="4110" t="n"/>
      <c r="P42" s="4110" t="n"/>
      <c r="Q42" s="4110" t="n"/>
      <c r="R42" s="4110" t="n"/>
      <c r="S42" s="81" t="n"/>
      <c r="T42" s="50" t="n"/>
      <c r="U42" s="50" t="n"/>
    </row>
    <row r="43" s="3154" customFormat="1" ht="15" customHeight="1">
      <c r="A43" s="85" t="n"/>
      <c r="B43" s="2417" t="inlineStr">
        <is>
          <t xml:space="preserve">Depreciated Amount at Sale</t>
        </is>
      </c>
      <c r="C43" s="2100" t="n"/>
      <c r="D43" s="2100" t="n"/>
      <c r="E43" s="4110" t="n"/>
      <c r="F43" s="4110" t="n"/>
      <c r="G43" s="4110" t="n"/>
      <c r="H43" s="4110" t="n"/>
      <c r="I43" s="4110" t="n"/>
      <c r="J43" s="4110" t="n"/>
      <c r="K43" s="4110" t="n"/>
      <c r="L43" s="4110" t="n"/>
      <c r="M43" s="4110" t="n"/>
      <c r="N43" s="4110" t="n"/>
      <c r="O43" s="4119" t="e">
        <f t="array" ref="O43">-'Depreciation'!$N$40</f>
      </c>
      <c r="P43" s="4110" t="n"/>
      <c r="Q43" s="4110" t="n"/>
      <c r="R43" s="4110" t="n"/>
      <c r="S43" s="81" t="n"/>
      <c r="T43" s="50" t="n"/>
      <c r="U43" s="50" t="n"/>
    </row>
    <row r="44" s="3154" customFormat="1" ht="15" customHeight="1">
      <c r="A44" s="85" t="n"/>
      <c r="B44" s="2417" t="inlineStr">
        <is>
          <t xml:space="preserve">Recapture Tax At Sale</t>
        </is>
      </c>
      <c r="C44" s="2100" t="n"/>
      <c r="D44" s="2420" t="n">
        <v>0.35</v>
      </c>
      <c r="E44" s="2421" t="n">
        <f t="array" ref="E44">$D44</f>
        <v>0.35</v>
      </c>
      <c r="F44" s="2421" t="n">
        <f t="array" ref="F44">$D44</f>
        <v>0.35</v>
      </c>
      <c r="G44" s="2421" t="n">
        <f t="array" ref="G44">$D44</f>
        <v>0.35</v>
      </c>
      <c r="H44" s="2421" t="n">
        <f t="array" ref="H44">$D44</f>
        <v>0.35</v>
      </c>
      <c r="I44" s="2421" t="n">
        <f t="array" ref="I44">$D44</f>
        <v>0.35</v>
      </c>
      <c r="J44" s="2421" t="n">
        <f t="array" ref="J44">$D44</f>
        <v>0.35</v>
      </c>
      <c r="K44" s="2421" t="n">
        <f t="array" ref="K44">$D44</f>
        <v>0.35</v>
      </c>
      <c r="L44" s="2421" t="n">
        <f t="array" ref="L44">$D44</f>
        <v>0.35</v>
      </c>
      <c r="M44" s="2421" t="n">
        <f t="array" ref="M44">$D44</f>
        <v>0.35</v>
      </c>
      <c r="N44" s="2421" t="n">
        <f t="array" ref="N44">$D44</f>
        <v>0.35</v>
      </c>
      <c r="O44" s="2421" t="n">
        <f t="array" ref="O44">$D44</f>
        <v>0.35</v>
      </c>
      <c r="P44" s="2421" t="n">
        <f t="array" ref="P44">$D44</f>
        <v>0.35</v>
      </c>
      <c r="Q44" s="2421" t="n"/>
      <c r="R44" s="2421" t="n">
        <f t="array" ref="R44">$D44</f>
        <v>0.35</v>
      </c>
      <c r="S44" s="81" t="n"/>
      <c r="T44" s="50" t="n"/>
      <c r="U44" s="50" t="n"/>
    </row>
    <row r="45" s="3154" customFormat="1" ht="15" customHeight="1">
      <c r="A45" s="85" t="n"/>
      <c r="B45" s="2417" t="inlineStr">
        <is>
          <t xml:space="preserve">Recapture Tax (x % of Ownership)</t>
        </is>
      </c>
      <c r="C45" s="2100" t="n"/>
      <c r="D45" s="2420" t="n"/>
      <c r="E45" s="2421" t="n"/>
      <c r="F45" s="2421" t="n"/>
      <c r="G45" s="2421" t="n"/>
      <c r="H45" s="2421" t="n"/>
      <c r="I45" s="2421" t="n"/>
      <c r="J45" s="2421" t="n"/>
      <c r="K45" s="2421" t="n"/>
      <c r="L45" s="2421" t="n"/>
      <c r="M45" s="2421" t="n"/>
      <c r="N45" s="2421" t="n"/>
      <c r="O45" s="4110" t="e">
        <f t="array" ref="O45">(O43*-O44)*$C$29</f>
      </c>
      <c r="P45" s="2421" t="n"/>
      <c r="Q45" s="2421" t="n"/>
      <c r="R45" s="2421" t="n"/>
      <c r="S45" s="81" t="n"/>
      <c r="T45" s="50" t="n"/>
      <c r="U45" s="50" t="n"/>
    </row>
    <row r="46" s="3154" customFormat="1" ht="15" customHeight="1">
      <c r="A46" s="85" t="n"/>
      <c r="B46" s="2422" t="n"/>
      <c r="C46" s="2100" t="n"/>
      <c r="D46" s="2100" t="n"/>
      <c r="E46" s="4110" t="n"/>
      <c r="F46" s="4110" t="n"/>
      <c r="G46" s="4110" t="n"/>
      <c r="H46" s="4110" t="n"/>
      <c r="I46" s="4110" t="n"/>
      <c r="J46" s="4110" t="n"/>
      <c r="K46" s="4110" t="n"/>
      <c r="L46" s="4110" t="n"/>
      <c r="M46" s="4110" t="n"/>
      <c r="N46" s="4110" t="n"/>
      <c r="O46" s="4110" t="n"/>
      <c r="P46" s="4110" t="n"/>
      <c r="Q46" s="4110" t="n"/>
      <c r="R46" s="4110" t="n"/>
      <c r="S46" s="81" t="n"/>
      <c r="T46" s="50" t="n"/>
      <c r="U46" s="50" t="n"/>
    </row>
    <row r="47" s="3154" customFormat="1" ht="15" customHeight="1">
      <c r="A47" s="85" t="n"/>
      <c r="B47" s="2417" t="inlineStr">
        <is>
          <t xml:space="preserve">Non-Op Zone Cash Flow After Tax</t>
        </is>
      </c>
      <c r="C47" s="2100" t="n"/>
      <c r="D47" s="4121" t="e">
        <f t="array" ref="D47">SUM(E47:P47)</f>
      </c>
      <c r="E47" s="4110" t="e">
        <f t="array" ref="E47">E$29+E34+E41+E45</f>
      </c>
      <c r="F47" s="4110" t="e">
        <f t="array" ref="F47">F$29+F34+F41+F45</f>
      </c>
      <c r="G47" s="4110" t="e">
        <f t="array" ref="G47">G$29+G34+G41+G45</f>
      </c>
      <c r="H47" s="4110" t="e">
        <f t="array" ref="H47">H$29+H34+H41+H45</f>
      </c>
      <c r="I47" s="4110" t="e">
        <f t="array" ref="I47">I$29+I34+I41+I45</f>
      </c>
      <c r="J47" s="4110" t="e">
        <f t="array" ref="J47">J$29+J34+J41+J45</f>
      </c>
      <c r="K47" s="4110" t="e">
        <f t="array" ref="K47">K$29+K34+K41+K45</f>
      </c>
      <c r="L47" s="4110" t="e">
        <f t="array" ref="L47">L$29+L34+L41+L45</f>
      </c>
      <c r="M47" s="4110" t="e">
        <f t="array" ref="M47">M$29+M34+M41+M45</f>
      </c>
      <c r="N47" s="4110" t="e">
        <f t="array" ref="N47">N$29+N34+N41+N45</f>
      </c>
      <c r="O47" s="4110" t="e">
        <f t="array" ref="O47">O$29+O34+O41+O45</f>
      </c>
      <c r="P47" s="4110" t="e">
        <f t="array" ref="P47">P$29+P34+P41+P45</f>
      </c>
      <c r="Q47" s="4110" t="n"/>
      <c r="R47" s="4110" t="e">
        <f t="array" ref="R47">R$29+R34+R41+R45</f>
      </c>
      <c r="S47" s="81" t="n"/>
      <c r="T47" s="50" t="n"/>
      <c r="U47" s="50" t="n"/>
    </row>
    <row r="48" s="3154" customFormat="1" ht="15" customHeight="1">
      <c r="A48" s="85" t="n"/>
      <c r="B48" s="2398" t="inlineStr">
        <is>
          <t xml:space="preserve">Post-Tax IRR, No OpZone*</t>
        </is>
      </c>
      <c r="C48" s="2100" t="n"/>
      <c r="D48" s="4108" t="e">
        <f t="array" ref="D48">IRR(E47:P47)</f>
      </c>
      <c r="E48" s="4110" t="n"/>
      <c r="F48" s="4110" t="n"/>
      <c r="G48" s="4110" t="n"/>
      <c r="H48" s="4110" t="n"/>
      <c r="I48" s="4110" t="n"/>
      <c r="J48" s="4110" t="n"/>
      <c r="K48" s="4110" t="n"/>
      <c r="L48" s="4110" t="n"/>
      <c r="M48" s="4110" t="n"/>
      <c r="N48" s="4110" t="n"/>
      <c r="O48" s="4110" t="n"/>
      <c r="P48" s="4110" t="n"/>
      <c r="Q48" s="4110" t="n"/>
      <c r="R48" s="4110" t="n"/>
      <c r="S48" s="81" t="n"/>
      <c r="T48" s="50" t="n"/>
      <c r="U48" s="50" t="n"/>
    </row>
    <row r="49" s="3154" customFormat="1" ht="15" customHeight="1">
      <c r="A49" s="85" t="n"/>
      <c r="B49" s="2424" t="n"/>
      <c r="C49" s="2424" t="n"/>
      <c r="D49" s="4122" t="n"/>
      <c r="E49" s="4123" t="n"/>
      <c r="F49" s="4123" t="n"/>
      <c r="G49" s="4123" t="n"/>
      <c r="H49" s="4123" t="n"/>
      <c r="I49" s="4123" t="n"/>
      <c r="J49" s="4123" t="n"/>
      <c r="K49" s="4123" t="n"/>
      <c r="L49" s="4123" t="n"/>
      <c r="M49" s="4123" t="n"/>
      <c r="N49" s="4123" t="n"/>
      <c r="O49" s="4123" t="n"/>
      <c r="P49" s="4123" t="n"/>
      <c r="Q49" s="4123" t="n"/>
      <c r="R49" s="4123" t="n"/>
      <c r="S49" s="81" t="n"/>
      <c r="T49" s="50" t="n"/>
      <c r="U49" s="50" t="n"/>
    </row>
    <row r="50" s="3154" customFormat="1" ht="15" customHeight="1">
      <c r="A50" s="85" t="n"/>
      <c r="B50" s="2427" t="inlineStr">
        <is>
          <t xml:space="preserve">With Op-Zone Scenario</t>
        </is>
      </c>
      <c r="C50" s="2424" t="n"/>
      <c r="D50" s="2424" t="n"/>
      <c r="E50" s="4124" t="n"/>
      <c r="F50" s="4124" t="n"/>
      <c r="G50" s="4124" t="n"/>
      <c r="H50" s="4124" t="n"/>
      <c r="I50" s="4124" t="n"/>
      <c r="J50" s="4124" t="n"/>
      <c r="K50" s="4125" t="n"/>
      <c r="L50" s="4124" t="n"/>
      <c r="M50" s="4124" t="n"/>
      <c r="N50" s="4124" t="n"/>
      <c r="O50" s="4124" t="n"/>
      <c r="P50" s="4124" t="n"/>
      <c r="Q50" s="4124" t="n"/>
      <c r="R50" s="4124" t="n"/>
      <c r="S50" s="81" t="n"/>
      <c r="T50" s="50" t="n"/>
      <c r="U50" s="50" t="n"/>
    </row>
    <row r="51" s="3154" customFormat="1" ht="15" customHeight="1">
      <c r="A51" s="85" t="n"/>
      <c r="B51" s="2430" t="inlineStr">
        <is>
          <t xml:space="preserve">Capital Gains and Recapture Tax  - None</t>
        </is>
      </c>
      <c r="C51" s="2424" t="n"/>
      <c r="D51" s="2424" t="n"/>
      <c r="E51" s="4126" t="n">
        <f t="array" ref="E51">-E40*E50</f>
        <v>0</v>
      </c>
      <c r="F51" s="4126" t="n">
        <f t="array" ref="F51">-F40*F50</f>
        <v>0</v>
      </c>
      <c r="G51" s="4126" t="n">
        <f t="array" ref="G51">-G40*G50</f>
        <v>0</v>
      </c>
      <c r="H51" s="4126" t="n">
        <f t="array" ref="H51">-H40*H50</f>
        <v>0</v>
      </c>
      <c r="I51" s="4126" t="n">
        <f t="array" ref="I51">-I40*I50</f>
        <v>0</v>
      </c>
      <c r="J51" s="4126" t="n">
        <f t="array" ref="J51">-J40*J50</f>
        <v>0</v>
      </c>
      <c r="K51" s="4126" t="n">
        <f t="array" ref="K51">-K40*K50</f>
        <v>0</v>
      </c>
      <c r="L51" s="4126" t="n">
        <f t="array" ref="L51">-L40*L50</f>
        <v>0</v>
      </c>
      <c r="M51" s="4126" t="n">
        <f t="array" ref="M51">-M40*M50</f>
        <v>0</v>
      </c>
      <c r="N51" s="4126" t="n">
        <f t="array" ref="N51">-N40*N50</f>
        <v>0</v>
      </c>
      <c r="O51" s="4126" t="n">
        <f t="array" ref="O51">-O40*O50</f>
        <v>0</v>
      </c>
      <c r="P51" s="4126" t="n">
        <f t="array" ref="P51">-P40*P50</f>
        <v>0</v>
      </c>
      <c r="Q51" s="4126" t="n"/>
      <c r="R51" s="4126" t="n">
        <f t="array" ref="R51">-R40*R50</f>
        <v>0</v>
      </c>
      <c r="S51" s="81" t="n"/>
      <c r="T51" s="50" t="n"/>
      <c r="U51" s="50" t="n"/>
    </row>
    <row r="52" s="3154" customFormat="1" ht="15" customHeight="1">
      <c r="A52" s="85" t="n"/>
      <c r="B52" s="2430" t="inlineStr">
        <is>
          <t xml:space="preserve">After Tax Benefit From Operations</t>
        </is>
      </c>
      <c r="C52" s="2424" t="n"/>
      <c r="D52" s="4127" t="e">
        <f t="array" ref="D52">SUM(E52:P52)</f>
      </c>
      <c r="E52" s="4123" t="e">
        <f t="array" ref="E52">E$29+E34+E51</f>
      </c>
      <c r="F52" s="4123" t="e">
        <f t="array" ref="F52">F$29+F34+F51</f>
      </c>
      <c r="G52" s="4123" t="e">
        <f t="array" ref="G52">G$29+G34+G51</f>
      </c>
      <c r="H52" s="4123" t="e">
        <f t="array" ref="H52">H$29+H34+H51</f>
      </c>
      <c r="I52" s="4123" t="e">
        <f t="array" ref="I52">I$29+I34+I51</f>
      </c>
      <c r="J52" s="4123" t="e">
        <f t="array" ref="J52">J$29+J34+J51</f>
      </c>
      <c r="K52" s="4123" t="e">
        <f t="array" ref="K52">K$29+K34+K51</f>
      </c>
      <c r="L52" s="4123" t="e">
        <f t="array" ref="L52">L$29+L34+L51</f>
      </c>
      <c r="M52" s="4123" t="e">
        <f t="array" ref="M52">M$29+M34+M51</f>
      </c>
      <c r="N52" s="4123" t="e">
        <f t="array" ref="N52">N$29+N34+N51</f>
      </c>
      <c r="O52" s="4123" t="e">
        <f t="array" ref="O52">O$29+O34+O51</f>
      </c>
      <c r="P52" s="4123" t="e">
        <f t="array" ref="P52">P$29+P34+P51</f>
      </c>
      <c r="Q52" s="2424" t="n"/>
      <c r="R52" s="4123" t="e">
        <f t="array" ref="R52">R$29+R34+R51</f>
      </c>
      <c r="S52" s="81" t="n"/>
      <c r="T52" s="50" t="n"/>
      <c r="U52" s="50" t="n"/>
    </row>
    <row r="53" s="3154" customFormat="1" ht="15" customHeight="1">
      <c r="A53" s="85" t="n"/>
      <c r="B53" s="2433" t="inlineStr">
        <is>
          <t xml:space="preserve">Post-Tax IRR w/ OpZone*</t>
        </is>
      </c>
      <c r="C53" s="2434" t="n"/>
      <c r="D53" s="4122" t="e">
        <f t="array" ref="D53">IRR(E52:P52)</f>
      </c>
      <c r="E53" s="2424" t="n"/>
      <c r="F53" s="2424" t="n"/>
      <c r="G53" s="2424" t="n"/>
      <c r="H53" s="2424" t="n"/>
      <c r="I53" s="2424" t="n"/>
      <c r="J53" s="2424" t="n"/>
      <c r="K53" s="2424" t="n"/>
      <c r="L53" s="2424" t="n"/>
      <c r="M53" s="2424" t="n"/>
      <c r="N53" s="2424" t="n"/>
      <c r="O53" s="2424" t="n"/>
      <c r="P53" s="2424" t="n"/>
      <c r="Q53" s="2424" t="n"/>
      <c r="R53" s="2424" t="n"/>
      <c r="S53" s="81" t="n"/>
      <c r="T53" s="50" t="n"/>
      <c r="U53" s="50" t="n"/>
    </row>
    <row r="54" s="3154" customFormat="1" ht="15" customHeight="1">
      <c r="A54" s="50" t="n"/>
      <c r="B54" s="2435" t="n"/>
      <c r="C54" s="2436" t="n"/>
      <c r="D54" s="4128" t="n"/>
      <c r="E54" s="4129" t="n"/>
      <c r="F54" s="82" t="n"/>
      <c r="G54" s="82" t="n"/>
      <c r="H54" s="82" t="n"/>
      <c r="I54" s="82" t="n"/>
      <c r="J54" s="82" t="n"/>
      <c r="K54" s="82" t="n"/>
      <c r="L54" s="82" t="n"/>
      <c r="M54" s="82" t="n"/>
      <c r="N54" s="82" t="n"/>
      <c r="O54" s="82" t="n"/>
      <c r="P54" s="82" t="n"/>
      <c r="Q54" s="82" t="n"/>
      <c r="R54" s="82" t="n"/>
      <c r="S54" s="50" t="n"/>
      <c r="T54" s="50" t="n"/>
      <c r="U54" s="50" t="n"/>
    </row>
    <row r="55" s="3154" customFormat="1" ht="15" customHeight="1">
      <c r="A55" s="50" t="n"/>
      <c r="B55" s="2439" t="n"/>
      <c r="C55" s="2332" t="n"/>
      <c r="D55" s="4130" t="n"/>
      <c r="E55" s="2332" t="n"/>
      <c r="F55" s="2332" t="n"/>
      <c r="G55" s="2332" t="n"/>
      <c r="H55" s="2332" t="n"/>
      <c r="I55" s="2332" t="n"/>
      <c r="J55" s="2332" t="n"/>
      <c r="K55" s="2332" t="n"/>
      <c r="L55" s="2332" t="n"/>
      <c r="M55" s="2332" t="n"/>
      <c r="N55" s="2332" t="n"/>
      <c r="O55" s="2332" t="n"/>
      <c r="P55" s="2332" t="n"/>
      <c r="Q55" s="2332" t="n"/>
      <c r="R55" s="2332" t="n"/>
      <c r="S55" s="50" t="n"/>
      <c r="T55" s="50" t="n"/>
      <c r="U55" s="50" t="n"/>
    </row>
    <row r="56" s="3154" customFormat="1" ht="15" customHeight="1">
      <c r="A56" s="85" t="n"/>
      <c r="B56" s="2441" t="inlineStr">
        <is>
          <t xml:space="preserve">2nd Partner's Cash Flow Breakdown</t>
        </is>
      </c>
      <c r="C56" s="2441" t="inlineStr">
        <is>
          <t xml:space="preserve">% Share</t>
        </is>
      </c>
      <c r="D56" s="4131" t="n"/>
      <c r="E56" s="4131" t="n"/>
      <c r="F56" s="4131" t="n"/>
      <c r="G56" s="4131" t="n"/>
      <c r="H56" s="4131" t="n"/>
      <c r="I56" s="4131" t="n"/>
      <c r="J56" s="4131" t="n"/>
      <c r="K56" s="4131" t="n"/>
      <c r="L56" s="4131" t="n"/>
      <c r="M56" s="4131" t="n"/>
      <c r="N56" s="4131" t="n"/>
      <c r="O56" s="4131" t="n"/>
      <c r="P56" s="4131" t="n"/>
      <c r="Q56" s="4132" t="n"/>
      <c r="R56" s="4132" t="n"/>
      <c r="S56" s="81" t="n"/>
      <c r="T56" s="50" t="n"/>
      <c r="U56" s="50" t="n"/>
    </row>
    <row r="57" s="3154" customFormat="1" ht="15" customHeight="1">
      <c r="A57" s="85" t="n"/>
      <c r="B57" s="2444" t="inlineStr">
        <is>
          <t xml:space="preserve">Other Partner Pre-Tax Cash Flow</t>
        </is>
      </c>
      <c r="C57" s="4133" t="e">
        <f t="array" ref="C57">C10</f>
      </c>
      <c r="D57" s="4134" t="n"/>
      <c r="E57" s="4135" t="e">
        <f t="array" ref="E57">E$10+($C57*E11)</f>
      </c>
      <c r="F57" s="4135" t="e">
        <f t="array" ref="F57">F$10+($C57*F11)</f>
      </c>
      <c r="G57" s="4135" t="e">
        <f t="array" ref="G57">G$10+($C57*G11)</f>
      </c>
      <c r="H57" s="4135" t="e">
        <f t="array" ref="H57">H$10+($C57*H11)</f>
      </c>
      <c r="I57" s="4135" t="e">
        <f t="array" ref="I57">I$10+($C57*I11)</f>
      </c>
      <c r="J57" s="4135" t="e">
        <f t="array" ref="J57">J$10+($C57*J11)</f>
      </c>
      <c r="K57" s="4135" t="e">
        <f t="array" ref="K57">K$10+($C57*K11)</f>
      </c>
      <c r="L57" s="4135" t="e">
        <f t="array" ref="L57">L$10+($C57*L11)</f>
      </c>
      <c r="M57" s="4135" t="e">
        <f t="array" ref="M57">M$10+($C57*M11)</f>
      </c>
      <c r="N57" s="4135" t="e">
        <f t="array" ref="N57">N$10+($C57*N11)</f>
      </c>
      <c r="O57" s="4135" t="e">
        <f t="array" ref="O57">O$10+($C57*O11)</f>
      </c>
      <c r="P57" s="4135" t="e">
        <f t="array" ref="P57">P$10+($C57*P11)</f>
      </c>
      <c r="Q57" s="2448" t="n"/>
      <c r="R57" s="4136" t="e">
        <f t="array" ref="R57">R$10+($C57*R11)</f>
      </c>
      <c r="S57" s="81" t="n"/>
      <c r="T57" s="50" t="n"/>
      <c r="U57" s="50" t="n"/>
    </row>
    <row r="58" s="3154" customFormat="1" ht="15" customHeight="1">
      <c r="A58" s="85" t="n"/>
      <c r="B58" s="2450" t="inlineStr">
        <is>
          <t xml:space="preserve">Pre-Tax IRR*</t>
        </is>
      </c>
      <c r="C58" s="4137" t="n"/>
      <c r="D58" s="2452" t="str">
        <f t="array" ref="D58">IFERROR(IRR(E57:P57),"IRR N/A")</f>
        <v>IRR N/A</v>
      </c>
      <c r="E58" s="4138" t="n"/>
      <c r="F58" s="4138" t="n"/>
      <c r="G58" s="4138" t="n"/>
      <c r="H58" s="4138" t="n"/>
      <c r="I58" s="4138" t="n"/>
      <c r="J58" s="4138" t="n"/>
      <c r="K58" s="4138" t="n"/>
      <c r="L58" s="4138" t="n"/>
      <c r="M58" s="4138" t="n"/>
      <c r="N58" s="4138" t="n"/>
      <c r="O58" s="4138" t="n"/>
      <c r="P58" s="4138" t="n"/>
      <c r="Q58" s="2454" t="n"/>
      <c r="R58" s="4139" t="n"/>
      <c r="S58" s="81" t="n"/>
      <c r="T58" s="50" t="n"/>
      <c r="U58" s="50" t="n"/>
    </row>
    <row r="59" s="3154" customFormat="1" ht="15" customHeight="1">
      <c r="A59" s="85" t="n"/>
      <c r="B59" s="2456" t="n"/>
      <c r="C59" s="4140" t="n"/>
      <c r="D59" s="4141" t="n"/>
      <c r="E59" s="4142" t="n"/>
      <c r="F59" s="4142" t="n"/>
      <c r="G59" s="4142" t="n"/>
      <c r="H59" s="4142" t="n"/>
      <c r="I59" s="4142" t="n"/>
      <c r="J59" s="4142" t="n"/>
      <c r="K59" s="4142" t="n"/>
      <c r="L59" s="4142" t="n"/>
      <c r="M59" s="4142" t="n"/>
      <c r="N59" s="4142" t="n"/>
      <c r="O59" s="4142" t="n"/>
      <c r="P59" s="4142" t="n"/>
      <c r="Q59" s="2456" t="n"/>
      <c r="R59" s="4143" t="n"/>
      <c r="S59" s="81" t="n"/>
      <c r="T59" s="50" t="n"/>
      <c r="U59" s="50" t="n"/>
    </row>
    <row r="60" s="3154" customFormat="1" ht="15" customHeight="1">
      <c r="A60" s="85" t="n"/>
      <c r="B60" s="2461" t="inlineStr">
        <is>
          <t xml:space="preserve">2nd Partner's Taxable Income</t>
        </is>
      </c>
      <c r="C60" s="4144" t="e">
        <f t="array" ref="C60">C25</f>
      </c>
      <c r="D60" s="4145" t="n"/>
      <c r="E60" s="4146" t="e">
        <f t="array" ref="E60">E$21*$C60</f>
      </c>
      <c r="F60" s="4146" t="e">
        <f t="array" ref="F60">F$21*$C60</f>
      </c>
      <c r="G60" s="4146" t="e">
        <f t="array" ref="G60">G$21*$C60</f>
      </c>
      <c r="H60" s="4146" t="e">
        <f t="array" ref="H60">H$21*$C60</f>
      </c>
      <c r="I60" s="4146" t="e">
        <f t="array" ref="I60">I$21*$C60</f>
      </c>
      <c r="J60" s="4146" t="e">
        <f t="array" ref="J60">J$21*$C60</f>
      </c>
      <c r="K60" s="4146" t="e">
        <f t="array" ref="K60">K$21*$C60</f>
      </c>
      <c r="L60" s="4146" t="e">
        <f t="array" ref="L60">L$21*$C60</f>
      </c>
      <c r="M60" s="4146" t="e">
        <f t="array" ref="M60">M$21*$C60</f>
      </c>
      <c r="N60" s="4146" t="e">
        <f t="array" ref="N60">N$21*$C60</f>
      </c>
      <c r="O60" s="4146" t="e">
        <f t="array" ref="O60">O$21*$C60</f>
      </c>
      <c r="P60" s="4146" t="e">
        <f t="array" ref="P60">P$21*$C60</f>
      </c>
      <c r="Q60" s="4147" t="n"/>
      <c r="R60" s="4147" t="e">
        <f t="array" ref="R60">SUM(E60:P60)</f>
      </c>
      <c r="S60" s="81" t="n"/>
      <c r="T60" s="50" t="n"/>
      <c r="U60" s="50" t="n"/>
    </row>
    <row r="61" s="3154" customFormat="1" ht="15" customHeight="1">
      <c r="A61" s="85" t="n"/>
      <c r="B61" s="2466" t="inlineStr">
        <is>
          <t xml:space="preserve">Personal Tax Rate</t>
        </is>
      </c>
      <c r="C61" s="2448" t="n"/>
      <c r="D61" s="2467" t="n">
        <v>0.43</v>
      </c>
      <c r="E61" s="2468" t="n">
        <f t="array" ref="E61">$D$61</f>
        <v>0.43</v>
      </c>
      <c r="F61" s="2468" t="n">
        <f t="array" ref="F61">$D$61</f>
        <v>0.43</v>
      </c>
      <c r="G61" s="2468" t="n">
        <f t="array" ref="G61">$D$61</f>
        <v>0.43</v>
      </c>
      <c r="H61" s="2468" t="n">
        <f t="array" ref="H61">$D$61</f>
        <v>0.43</v>
      </c>
      <c r="I61" s="2468" t="n">
        <f t="array" ref="I61">$D$61</f>
        <v>0.43</v>
      </c>
      <c r="J61" s="2468" t="n">
        <f t="array" ref="J61">$D$61</f>
        <v>0.43</v>
      </c>
      <c r="K61" s="2468" t="n">
        <f t="array" ref="K61">$D$61</f>
        <v>0.43</v>
      </c>
      <c r="L61" s="2468" t="n">
        <f t="array" ref="L61">$D$61</f>
        <v>0.43</v>
      </c>
      <c r="M61" s="2468" t="n">
        <f t="array" ref="M61">$D$61</f>
        <v>0.43</v>
      </c>
      <c r="N61" s="2468" t="n">
        <f t="array" ref="N61">$D$61</f>
        <v>0.43</v>
      </c>
      <c r="O61" s="2468" t="n">
        <f t="array" ref="O61">$D$61</f>
        <v>0.43</v>
      </c>
      <c r="P61" s="2468" t="n">
        <f t="array" ref="P61">$D$61</f>
        <v>0.43</v>
      </c>
      <c r="Q61" s="4136" t="n"/>
      <c r="R61" s="2468" t="n">
        <f t="array" ref="R61">$D$61</f>
        <v>0.43</v>
      </c>
      <c r="S61" s="81" t="n"/>
      <c r="T61" s="50" t="n"/>
      <c r="U61" s="50" t="n"/>
    </row>
    <row r="62" s="3154" customFormat="1" ht="15" customHeight="1">
      <c r="A62" s="85" t="n"/>
      <c r="B62" s="2469" t="inlineStr">
        <is>
          <t xml:space="preserve">Operating Tax Benefit/(Loss)</t>
        </is>
      </c>
      <c r="C62" s="2454" t="n"/>
      <c r="D62" s="2454" t="n"/>
      <c r="E62" s="4139" t="e">
        <f t="array" ref="E62">-E61*E60</f>
      </c>
      <c r="F62" s="4139" t="e">
        <f t="array" ref="F62">-F61*F60</f>
      </c>
      <c r="G62" s="4139" t="e">
        <f t="array" ref="G62">-G61*G60</f>
      </c>
      <c r="H62" s="4139" t="e">
        <f t="array" ref="H62">-H61*H60</f>
      </c>
      <c r="I62" s="4139" t="e">
        <f t="array" ref="I62">-I61*I60</f>
      </c>
      <c r="J62" s="4139" t="e">
        <f t="array" ref="J62">-J61*J60</f>
      </c>
      <c r="K62" s="4139" t="e">
        <f t="array" ref="K62">-K61*K60</f>
      </c>
      <c r="L62" s="4139" t="e">
        <f t="array" ref="L62">-L61*L60</f>
      </c>
      <c r="M62" s="4139" t="e">
        <f t="array" ref="M62">-M61*M60</f>
      </c>
      <c r="N62" s="4139" t="e">
        <f t="array" ref="N62">-N61*N60</f>
      </c>
      <c r="O62" s="4139" t="e">
        <f t="array" ref="O62">-O61*O60</f>
      </c>
      <c r="P62" s="4139" t="e">
        <f t="array" ref="P62">-P61*P60</f>
      </c>
      <c r="Q62" s="4139" t="n"/>
      <c r="R62" s="4139" t="e">
        <f t="array" ref="R62">-R61*R60</f>
      </c>
      <c r="S62" s="81" t="n"/>
      <c r="T62" s="50" t="n"/>
      <c r="U62" s="50" t="n"/>
    </row>
    <row r="63" s="3154" customFormat="1" ht="15" customHeight="1">
      <c r="A63" s="85" t="n"/>
      <c r="B63" s="2454" t="n"/>
      <c r="C63" s="2454" t="n"/>
      <c r="D63" s="2454" t="n"/>
      <c r="E63" s="4139" t="n"/>
      <c r="F63" s="4139" t="n"/>
      <c r="G63" s="4139" t="n"/>
      <c r="H63" s="4139" t="n"/>
      <c r="I63" s="4139" t="n"/>
      <c r="J63" s="4139" t="n"/>
      <c r="K63" s="4139" t="n"/>
      <c r="L63" s="4139" t="n"/>
      <c r="M63" s="4139" t="n"/>
      <c r="N63" s="4139" t="n"/>
      <c r="O63" s="4139" t="n"/>
      <c r="P63" s="4139" t="n"/>
      <c r="Q63" s="4139" t="n"/>
      <c r="R63" s="4139" t="n"/>
      <c r="S63" s="81" t="n"/>
      <c r="T63" s="50" t="n"/>
      <c r="U63" s="50" t="n"/>
    </row>
    <row r="64" s="3154" customFormat="1" ht="15" customHeight="1">
      <c r="A64" s="85" t="n"/>
      <c r="B64" s="2470" t="inlineStr">
        <is>
          <t xml:space="preserve">Non-OpZone Scenario</t>
        </is>
      </c>
      <c r="C64" s="2454" t="n"/>
      <c r="D64" s="2454" t="n"/>
      <c r="E64" s="4139" t="n"/>
      <c r="F64" s="4139" t="n"/>
      <c r="G64" s="4139" t="n"/>
      <c r="H64" s="4139" t="n"/>
      <c r="I64" s="4139" t="n"/>
      <c r="J64" s="4139" t="n"/>
      <c r="K64" s="4139" t="n"/>
      <c r="L64" s="4139" t="n"/>
      <c r="M64" s="4139" t="n"/>
      <c r="N64" s="4139" t="n"/>
      <c r="O64" s="4139" t="n"/>
      <c r="P64" s="4139" t="n"/>
      <c r="Q64" s="4139" t="n"/>
      <c r="R64" s="4139" t="n"/>
      <c r="S64" s="81" t="n"/>
      <c r="T64" s="50" t="n"/>
      <c r="U64" s="50" t="n"/>
    </row>
    <row r="65" s="3154" customFormat="1" ht="15" customHeight="1">
      <c r="A65" s="85" t="n"/>
      <c r="B65" s="2471" t="inlineStr">
        <is>
          <t xml:space="preserve">Net Sale Proceeds</t>
        </is>
      </c>
      <c r="C65" s="2454" t="n"/>
      <c r="D65" s="2454" t="n"/>
      <c r="E65" s="4139" t="n"/>
      <c r="F65" s="4139" t="n"/>
      <c r="G65" s="4139" t="n"/>
      <c r="H65" s="4139" t="n"/>
      <c r="I65" s="4139" t="n"/>
      <c r="J65" s="4139" t="n"/>
      <c r="K65" s="4139" t="n"/>
      <c r="L65" s="4139" t="n"/>
      <c r="M65" s="4139" t="n"/>
      <c r="N65" s="4139" t="n"/>
      <c r="O65" s="4148" t="e">
        <f t="array" ref="O65">'Annual CF'!$L$24+'Annual CF'!$L$25</f>
      </c>
      <c r="P65" s="4139" t="n"/>
      <c r="Q65" s="4139" t="n"/>
      <c r="R65" s="4139" t="n"/>
      <c r="S65" s="81" t="n"/>
      <c r="T65" s="50" t="n"/>
      <c r="U65" s="50" t="n"/>
    </row>
    <row r="66" s="3154" customFormat="1" ht="15" customHeight="1">
      <c r="A66" s="85" t="n"/>
      <c r="B66" s="2471" t="inlineStr">
        <is>
          <t xml:space="preserve">Initial Basis Before Depreciation </t>
        </is>
      </c>
      <c r="C66" s="2454" t="n"/>
      <c r="D66" s="2454" t="n"/>
      <c r="E66" s="4139" t="n"/>
      <c r="F66" s="4139" t="n"/>
      <c r="G66" s="4139" t="n"/>
      <c r="H66" s="4139" t="n"/>
      <c r="I66" s="4139" t="n"/>
      <c r="J66" s="4139" t="n"/>
      <c r="K66" s="4139" t="n"/>
      <c r="L66" s="4139" t="n"/>
      <c r="M66" s="4139" t="n"/>
      <c r="N66" s="4139" t="n"/>
      <c r="O66" s="4148" t="e">
        <f t="array" ref="O66">'Depreciation'!$N$41-'Depreciation'!$N$40</f>
      </c>
      <c r="P66" s="4139" t="n"/>
      <c r="Q66" s="4139" t="n"/>
      <c r="R66" s="4139" t="n"/>
      <c r="S66" s="81" t="n"/>
      <c r="T66" s="50" t="n"/>
      <c r="U66" s="50" t="n"/>
    </row>
    <row r="67" s="3154" customFormat="1" ht="15" customHeight="1">
      <c r="A67" s="85" t="n"/>
      <c r="B67" s="2471" t="inlineStr">
        <is>
          <t xml:space="preserve">Capital Gain From Sale</t>
        </is>
      </c>
      <c r="C67" s="2454" t="n"/>
      <c r="D67" s="2454" t="n"/>
      <c r="E67" s="4139" t="n"/>
      <c r="F67" s="4139" t="n"/>
      <c r="G67" s="4139" t="n"/>
      <c r="H67" s="4139" t="n"/>
      <c r="I67" s="4139" t="n"/>
      <c r="J67" s="4139" t="n"/>
      <c r="K67" s="4139" t="n"/>
      <c r="L67" s="4139" t="n"/>
      <c r="M67" s="4139" t="n"/>
      <c r="N67" s="4139" t="n"/>
      <c r="O67" s="4139" t="e">
        <f t="array" ref="O67">O65-O66</f>
      </c>
      <c r="P67" s="4139" t="n"/>
      <c r="Q67" s="4139" t="n"/>
      <c r="R67" s="4139" t="n"/>
      <c r="S67" s="81" t="n"/>
      <c r="T67" s="50" t="n"/>
      <c r="U67" s="50" t="n"/>
    </row>
    <row r="68" s="3154" customFormat="1" ht="15" customHeight="1">
      <c r="A68" s="85" t="n"/>
      <c r="B68" s="2471" t="inlineStr">
        <is>
          <t xml:space="preserve">Capital Gains Tax Rate</t>
        </is>
      </c>
      <c r="C68" s="2454" t="n"/>
      <c r="D68" s="2473" t="n">
        <f t="array" ref="D68">20%+6%</f>
        <v>0.26</v>
      </c>
      <c r="E68" s="2474" t="n">
        <f t="array" ref="E68">$D$40</f>
        <v>0.26</v>
      </c>
      <c r="F68" s="2474" t="n">
        <f t="array" ref="F68">$D$40</f>
        <v>0.26</v>
      </c>
      <c r="G68" s="2474" t="n">
        <f t="array" ref="G68">$D$40</f>
        <v>0.26</v>
      </c>
      <c r="H68" s="2474" t="n">
        <f t="array" ref="H68">$D$40</f>
        <v>0.26</v>
      </c>
      <c r="I68" s="2474" t="n">
        <f t="array" ref="I68">$D$40</f>
        <v>0.26</v>
      </c>
      <c r="J68" s="2474" t="n">
        <f t="array" ref="J68">$D$40</f>
        <v>0.26</v>
      </c>
      <c r="K68" s="2474" t="n">
        <f t="array" ref="K68">$D$40</f>
        <v>0.26</v>
      </c>
      <c r="L68" s="2474" t="n">
        <f t="array" ref="L68">$D$40</f>
        <v>0.26</v>
      </c>
      <c r="M68" s="2474" t="n">
        <f t="array" ref="M68">$D$40</f>
        <v>0.26</v>
      </c>
      <c r="N68" s="2474" t="n">
        <f t="array" ref="N68">$D$40</f>
        <v>0.26</v>
      </c>
      <c r="O68" s="2474" t="n">
        <f t="array" ref="O68">$D$40</f>
        <v>0.26</v>
      </c>
      <c r="P68" s="2474" t="n">
        <f t="array" ref="P68">$D$40</f>
        <v>0.26</v>
      </c>
      <c r="Q68" s="2474" t="n"/>
      <c r="R68" s="2474" t="n">
        <f t="array" ref="R68">$D$40</f>
        <v>0.26</v>
      </c>
      <c r="S68" s="81" t="n"/>
      <c r="T68" s="50" t="n"/>
      <c r="U68" s="50" t="n"/>
    </row>
    <row r="69" s="3154" customFormat="1" ht="15" customHeight="1">
      <c r="A69" s="85" t="n"/>
      <c r="B69" s="2471" t="inlineStr">
        <is>
          <t xml:space="preserve">Capital Gains Tax (x % of Ownership)</t>
        </is>
      </c>
      <c r="C69" s="2454" t="n"/>
      <c r="D69" s="2454" t="n"/>
      <c r="E69" s="4139" t="n"/>
      <c r="F69" s="4139" t="n"/>
      <c r="G69" s="4139" t="n"/>
      <c r="H69" s="4139" t="n"/>
      <c r="I69" s="4139" t="n"/>
      <c r="J69" s="4139" t="n"/>
      <c r="K69" s="4139" t="n"/>
      <c r="L69" s="4139" t="n"/>
      <c r="M69" s="4139" t="n"/>
      <c r="N69" s="4139" t="n"/>
      <c r="O69" s="4139" t="e">
        <f t="array" ref="O69">(O67*-O68)*$C$57</f>
      </c>
      <c r="P69" s="4139" t="n"/>
      <c r="Q69" s="4139" t="n"/>
      <c r="R69" s="4139" t="n"/>
      <c r="S69" s="81" t="n"/>
      <c r="T69" s="50" t="n"/>
      <c r="U69" s="50" t="n"/>
    </row>
    <row r="70" s="3154" customFormat="1" ht="15" customHeight="1">
      <c r="A70" s="85" t="n"/>
      <c r="B70" s="2475" t="n"/>
      <c r="C70" s="2454" t="n"/>
      <c r="D70" s="2454" t="n"/>
      <c r="E70" s="4139" t="n"/>
      <c r="F70" s="4139" t="n"/>
      <c r="G70" s="4139" t="n"/>
      <c r="H70" s="4139" t="n"/>
      <c r="I70" s="4139" t="n"/>
      <c r="J70" s="4139" t="n"/>
      <c r="K70" s="4139" t="n"/>
      <c r="L70" s="4139" t="n"/>
      <c r="M70" s="4139" t="n"/>
      <c r="N70" s="4139" t="n"/>
      <c r="O70" s="4139" t="n"/>
      <c r="P70" s="4139" t="n"/>
      <c r="Q70" s="4139" t="n"/>
      <c r="R70" s="4139" t="n"/>
      <c r="S70" s="81" t="n"/>
      <c r="T70" s="50" t="n"/>
      <c r="U70" s="50" t="n"/>
    </row>
    <row r="71" s="3154" customFormat="1" ht="15" customHeight="1">
      <c r="A71" s="85" t="n"/>
      <c r="B71" s="2471" t="inlineStr">
        <is>
          <t xml:space="preserve">Depreciated Amount at Sale</t>
        </is>
      </c>
      <c r="C71" s="2454" t="n"/>
      <c r="D71" s="2454" t="n"/>
      <c r="E71" s="4139" t="n"/>
      <c r="F71" s="4139" t="n"/>
      <c r="G71" s="4139" t="n"/>
      <c r="H71" s="4139" t="n"/>
      <c r="I71" s="4139" t="n"/>
      <c r="J71" s="4139" t="n"/>
      <c r="K71" s="4139" t="n"/>
      <c r="L71" s="4139" t="n"/>
      <c r="M71" s="4139" t="n"/>
      <c r="N71" s="4139" t="n"/>
      <c r="O71" s="4148" t="e">
        <f t="array" ref="O71">-'Depreciation'!$N$40</f>
      </c>
      <c r="P71" s="4139" t="n"/>
      <c r="Q71" s="4139" t="n"/>
      <c r="R71" s="4139" t="n"/>
      <c r="S71" s="81" t="n"/>
      <c r="T71" s="50" t="n"/>
      <c r="U71" s="50" t="n"/>
    </row>
    <row r="72" s="3154" customFormat="1" ht="15" customHeight="1">
      <c r="A72" s="85" t="n"/>
      <c r="B72" s="2471" t="inlineStr">
        <is>
          <t xml:space="preserve">Recapture Tax At Sale</t>
        </is>
      </c>
      <c r="C72" s="2454" t="n"/>
      <c r="D72" s="2473" t="n">
        <v>0.35</v>
      </c>
      <c r="E72" s="2474" t="n">
        <f t="array" ref="E72">$D72</f>
        <v>0.35</v>
      </c>
      <c r="F72" s="2474" t="n">
        <f t="array" ref="F72">$D72</f>
        <v>0.35</v>
      </c>
      <c r="G72" s="2474" t="n">
        <f t="array" ref="G72">$D72</f>
        <v>0.35</v>
      </c>
      <c r="H72" s="2474" t="n">
        <f t="array" ref="H72">$D72</f>
        <v>0.35</v>
      </c>
      <c r="I72" s="2474" t="n">
        <f t="array" ref="I72">$D72</f>
        <v>0.35</v>
      </c>
      <c r="J72" s="2474" t="n">
        <f t="array" ref="J72">$D72</f>
        <v>0.35</v>
      </c>
      <c r="K72" s="2474" t="n">
        <f t="array" ref="K72">$D72</f>
        <v>0.35</v>
      </c>
      <c r="L72" s="2474" t="n">
        <f t="array" ref="L72">$D72</f>
        <v>0.35</v>
      </c>
      <c r="M72" s="2474" t="n">
        <f t="array" ref="M72">$D72</f>
        <v>0.35</v>
      </c>
      <c r="N72" s="2474" t="n">
        <f t="array" ref="N72">$D72</f>
        <v>0.35</v>
      </c>
      <c r="O72" s="2474" t="n">
        <f t="array" ref="O72">$D72</f>
        <v>0.35</v>
      </c>
      <c r="P72" s="2474" t="n">
        <f t="array" ref="P72">$D72</f>
        <v>0.35</v>
      </c>
      <c r="Q72" s="2474" t="n"/>
      <c r="R72" s="2474" t="n">
        <f t="array" ref="R72">$D72</f>
        <v>0.35</v>
      </c>
      <c r="S72" s="81" t="n"/>
      <c r="T72" s="50" t="n"/>
      <c r="U72" s="50" t="n"/>
    </row>
    <row r="73" s="3154" customFormat="1" ht="15" customHeight="1">
      <c r="A73" s="85" t="n"/>
      <c r="B73" s="2471" t="inlineStr">
        <is>
          <t xml:space="preserve">Recapture Tax (x % of Ownership)</t>
        </is>
      </c>
      <c r="C73" s="2454" t="n"/>
      <c r="D73" s="2473" t="n"/>
      <c r="E73" s="2474" t="n"/>
      <c r="F73" s="2474" t="n"/>
      <c r="G73" s="2474" t="n"/>
      <c r="H73" s="2474" t="n"/>
      <c r="I73" s="2474" t="n"/>
      <c r="J73" s="2474" t="n"/>
      <c r="K73" s="2474" t="n"/>
      <c r="L73" s="2474" t="n"/>
      <c r="M73" s="2474" t="n"/>
      <c r="N73" s="2474" t="n"/>
      <c r="O73" s="4139" t="e">
        <f t="array" ref="O73">(O71*-O72)*$C$57</f>
      </c>
      <c r="P73" s="2474" t="n"/>
      <c r="Q73" s="2474" t="n"/>
      <c r="R73" s="2474" t="n"/>
      <c r="S73" s="81" t="n"/>
      <c r="T73" s="50" t="n"/>
      <c r="U73" s="50" t="n"/>
    </row>
    <row r="74" s="3154" customFormat="1" ht="15" customHeight="1">
      <c r="A74" s="85" t="n"/>
      <c r="B74" s="2475" t="n"/>
      <c r="C74" s="2454" t="n"/>
      <c r="D74" s="2454" t="n"/>
      <c r="E74" s="4139" t="n"/>
      <c r="F74" s="4139" t="n"/>
      <c r="G74" s="4139" t="n"/>
      <c r="H74" s="4139" t="n"/>
      <c r="I74" s="4139" t="n"/>
      <c r="J74" s="4139" t="n"/>
      <c r="K74" s="4139" t="n"/>
      <c r="L74" s="4139" t="n"/>
      <c r="M74" s="4139" t="n"/>
      <c r="N74" s="4139" t="n"/>
      <c r="O74" s="4139" t="n"/>
      <c r="P74" s="4139" t="n"/>
      <c r="Q74" s="4139" t="n"/>
      <c r="R74" s="4139" t="n"/>
      <c r="S74" s="81" t="n"/>
      <c r="T74" s="50" t="n"/>
      <c r="U74" s="50" t="n"/>
    </row>
    <row r="75" s="3154" customFormat="1" ht="15" customHeight="1">
      <c r="A75" s="85" t="n"/>
      <c r="B75" s="2471" t="inlineStr">
        <is>
          <t xml:space="preserve">Non-Op Zone Cash Flow After Tax</t>
        </is>
      </c>
      <c r="C75" s="2454" t="n"/>
      <c r="D75" s="4149" t="e">
        <f t="array" ref="D75">SUM(E75:P75)</f>
      </c>
      <c r="E75" s="4139" t="e">
        <f t="array" ref="E75">E$57+E62+E69+E73</f>
      </c>
      <c r="F75" s="4139" t="e">
        <f t="array" ref="F75">F$57+F62+F69+F73</f>
      </c>
      <c r="G75" s="4139" t="e">
        <f t="array" ref="G75">G$57+G62+G69+G73</f>
      </c>
      <c r="H75" s="4139" t="e">
        <f t="array" ref="H75">H$57+H62+H69+H73</f>
      </c>
      <c r="I75" s="4139" t="e">
        <f t="array" ref="I75">I$57+I62+I69+I73</f>
      </c>
      <c r="J75" s="4139" t="e">
        <f t="array" ref="J75">J$57+J62+J69+J73</f>
      </c>
      <c r="K75" s="4139" t="e">
        <f t="array" ref="K75">K$57+K62+K69+K73</f>
      </c>
      <c r="L75" s="4139" t="e">
        <f t="array" ref="L75">L$57+L62+L69+L73</f>
      </c>
      <c r="M75" s="4139" t="e">
        <f t="array" ref="M75">M$57+M62+M69+M73</f>
      </c>
      <c r="N75" s="4139" t="e">
        <f t="array" ref="N75">N$57+N62+N69+N73</f>
      </c>
      <c r="O75" s="4139" t="e">
        <f t="array" ref="O75">O$57+O62+O69+O73</f>
      </c>
      <c r="P75" s="4139" t="e">
        <f t="array" ref="P75">P$57+P62+P69+P73</f>
      </c>
      <c r="Q75" s="4139" t="n"/>
      <c r="R75" s="4139" t="e">
        <f t="array" ref="R75">R$57+R62+R69+R73</f>
      </c>
      <c r="S75" s="81" t="n"/>
      <c r="T75" s="50" t="n"/>
      <c r="U75" s="50" t="n"/>
    </row>
    <row r="76" s="3154" customFormat="1" ht="15" customHeight="1">
      <c r="A76" s="85" t="n"/>
      <c r="B76" s="2450" t="inlineStr">
        <is>
          <t xml:space="preserve">Post-Tax IRR, No OpZone*</t>
        </is>
      </c>
      <c r="C76" s="2454" t="n"/>
      <c r="D76" s="2452" t="str">
        <f t="array" ref="D76">IFERROR(IRR(E75:P75),"IRR N/A")</f>
        <v>IRR N/A</v>
      </c>
      <c r="E76" s="4139" t="n"/>
      <c r="F76" s="4139" t="n"/>
      <c r="G76" s="4139" t="n"/>
      <c r="H76" s="4139" t="n"/>
      <c r="I76" s="4139" t="n"/>
      <c r="J76" s="4139" t="n"/>
      <c r="K76" s="4139" t="n"/>
      <c r="L76" s="4139" t="n"/>
      <c r="M76" s="4139" t="n"/>
      <c r="N76" s="4139" t="n"/>
      <c r="O76" s="4139" t="n"/>
      <c r="P76" s="4139" t="n"/>
      <c r="Q76" s="4139" t="n"/>
      <c r="R76" s="4139" t="n"/>
      <c r="S76" s="81" t="n"/>
      <c r="T76" s="50" t="n"/>
      <c r="U76" s="50" t="n"/>
    </row>
    <row r="77" s="3154" customFormat="1" ht="15" customHeight="1">
      <c r="A77" s="85" t="n"/>
      <c r="B77" s="2477" t="n"/>
      <c r="C77" s="2477" t="n"/>
      <c r="D77" s="4150" t="n"/>
      <c r="E77" s="4151" t="n"/>
      <c r="F77" s="4151" t="n"/>
      <c r="G77" s="4151" t="n"/>
      <c r="H77" s="4151" t="n"/>
      <c r="I77" s="4151" t="n"/>
      <c r="J77" s="4151" t="n"/>
      <c r="K77" s="4151" t="n"/>
      <c r="L77" s="4151" t="n"/>
      <c r="M77" s="4151" t="n"/>
      <c r="N77" s="4151" t="n"/>
      <c r="O77" s="4151" t="n"/>
      <c r="P77" s="4151" t="n"/>
      <c r="Q77" s="4151" t="n"/>
      <c r="R77" s="4151" t="n"/>
      <c r="S77" s="81" t="n"/>
      <c r="T77" s="50" t="n"/>
      <c r="U77" s="50" t="n"/>
    </row>
    <row r="78" s="3154" customFormat="1" ht="15" customHeight="1">
      <c r="A78" s="85" t="n"/>
      <c r="B78" s="2480" t="inlineStr">
        <is>
          <t xml:space="preserve">With Op-Zone Scenario</t>
        </is>
      </c>
      <c r="C78" s="2477" t="n"/>
      <c r="D78" s="2477" t="n"/>
      <c r="E78" s="4152" t="n"/>
      <c r="F78" s="4152" t="n"/>
      <c r="G78" s="4152" t="n"/>
      <c r="H78" s="4152" t="n"/>
      <c r="I78" s="4152" t="n"/>
      <c r="J78" s="4152" t="n"/>
      <c r="K78" s="4153" t="n"/>
      <c r="L78" s="4152" t="n"/>
      <c r="M78" s="4152" t="n"/>
      <c r="N78" s="4152" t="n"/>
      <c r="O78" s="4152" t="n"/>
      <c r="P78" s="4152" t="n"/>
      <c r="Q78" s="4152" t="n"/>
      <c r="R78" s="4152" t="n"/>
      <c r="S78" s="81" t="n"/>
      <c r="T78" s="50" t="n"/>
      <c r="U78" s="50" t="n"/>
    </row>
    <row r="79" s="3154" customFormat="1" ht="15" customHeight="1">
      <c r="A79" s="85" t="n"/>
      <c r="B79" s="2483" t="inlineStr">
        <is>
          <t xml:space="preserve">Capital Gains and Recapture Tax  - None</t>
        </is>
      </c>
      <c r="C79" s="2477" t="n"/>
      <c r="D79" s="2477" t="n"/>
      <c r="E79" s="4154" t="n">
        <f t="array" ref="E79">-E68*E78</f>
        <v>0</v>
      </c>
      <c r="F79" s="4154" t="n">
        <f t="array" ref="F79">-F68*F78</f>
        <v>0</v>
      </c>
      <c r="G79" s="4154" t="n">
        <f t="array" ref="G79">-G68*G78</f>
        <v>0</v>
      </c>
      <c r="H79" s="4154" t="n">
        <f t="array" ref="H79">-H68*H78</f>
        <v>0</v>
      </c>
      <c r="I79" s="4154" t="n">
        <f t="array" ref="I79">-I68*I78</f>
        <v>0</v>
      </c>
      <c r="J79" s="4154" t="n">
        <f t="array" ref="J79">-J68*J78</f>
        <v>0</v>
      </c>
      <c r="K79" s="4154" t="n">
        <f t="array" ref="K79">-K68*K78</f>
        <v>0</v>
      </c>
      <c r="L79" s="4154" t="n">
        <f t="array" ref="L79">-L68*L78</f>
        <v>0</v>
      </c>
      <c r="M79" s="4154" t="n">
        <f t="array" ref="M79">-M68*M78</f>
        <v>0</v>
      </c>
      <c r="N79" s="4154" t="n">
        <f t="array" ref="N79">-N68*N78</f>
        <v>0</v>
      </c>
      <c r="O79" s="4154" t="n">
        <f t="array" ref="O79">-O68*O78</f>
        <v>0</v>
      </c>
      <c r="P79" s="4154" t="n">
        <f t="array" ref="P79">-P68*P78</f>
        <v>0</v>
      </c>
      <c r="Q79" s="4154" t="n"/>
      <c r="R79" s="4154" t="n">
        <f t="array" ref="R79">-R68*R78</f>
        <v>0</v>
      </c>
      <c r="S79" s="81" t="n"/>
      <c r="T79" s="50" t="n"/>
      <c r="U79" s="50" t="n"/>
    </row>
    <row r="80" s="3154" customFormat="1" ht="15" customHeight="1">
      <c r="A80" s="85" t="n"/>
      <c r="B80" s="2483" t="inlineStr">
        <is>
          <t xml:space="preserve">After Tax Benefit From Operations</t>
        </is>
      </c>
      <c r="C80" s="2477" t="n"/>
      <c r="D80" s="4155" t="e">
        <f t="array" ref="D80">SUM(E80:P80)</f>
      </c>
      <c r="E80" s="4151" t="e">
        <f t="array" ref="E80">E$57+E62+E79</f>
      </c>
      <c r="F80" s="4151" t="e">
        <f t="array" ref="F80">F$57+F62+F79</f>
      </c>
      <c r="G80" s="4151" t="e">
        <f t="array" ref="G80">G$57+G62+G79</f>
      </c>
      <c r="H80" s="4151" t="e">
        <f t="array" ref="H80">H$57+H62+H79</f>
      </c>
      <c r="I80" s="4151" t="e">
        <f t="array" ref="I80">I$57+I62+I79</f>
      </c>
      <c r="J80" s="4151" t="e">
        <f t="array" ref="J80">J$57+J62+J79</f>
      </c>
      <c r="K80" s="4151" t="e">
        <f t="array" ref="K80">K$57+K62+K79</f>
      </c>
      <c r="L80" s="4151" t="e">
        <f t="array" ref="L80">L$57+L62+L79</f>
      </c>
      <c r="M80" s="4151" t="e">
        <f t="array" ref="M80">M$57+M62+M79</f>
      </c>
      <c r="N80" s="4151" t="e">
        <f t="array" ref="N80">N$57+N62+N79</f>
      </c>
      <c r="O80" s="4151" t="e">
        <f t="array" ref="O80">O$57+O62+O79</f>
      </c>
      <c r="P80" s="4151" t="e">
        <f t="array" ref="P80">P$57+P62+P79</f>
      </c>
      <c r="Q80" s="2477" t="n"/>
      <c r="R80" s="4151" t="e">
        <f t="array" ref="R80">R$57+R62+R79</f>
      </c>
      <c r="S80" s="81" t="n"/>
      <c r="T80" s="50" t="n"/>
      <c r="U80" s="50" t="n"/>
    </row>
    <row r="81" s="3154" customFormat="1" ht="15" customHeight="1">
      <c r="A81" s="85" t="n"/>
      <c r="B81" s="2486" t="inlineStr">
        <is>
          <t xml:space="preserve">Post-Tax IRR w/ OpZone*</t>
        </is>
      </c>
      <c r="C81" s="2487" t="n"/>
      <c r="D81" s="2488" t="str">
        <f t="array" ref="D81">IFERROR(IRR(E80:P80),"IRR N/A")</f>
        <v>IRR N/A</v>
      </c>
      <c r="E81" s="2489" t="n"/>
      <c r="F81" s="2489" t="n"/>
      <c r="G81" s="2489" t="n"/>
      <c r="H81" s="2489" t="n"/>
      <c r="I81" s="2489" t="n"/>
      <c r="J81" s="2489" t="n"/>
      <c r="K81" s="2489" t="n"/>
      <c r="L81" s="2489" t="n"/>
      <c r="M81" s="2489" t="n"/>
      <c r="N81" s="2489" t="n"/>
      <c r="O81" s="2489" t="n"/>
      <c r="P81" s="2489" t="n"/>
      <c r="Q81" s="2489" t="n"/>
      <c r="R81" s="2489" t="n"/>
      <c r="S81" s="81" t="n"/>
      <c r="T81" s="50" t="n"/>
      <c r="U81" s="50" t="n"/>
    </row>
  </sheetData>
  <pageMargins left="0.7" right="0.7" top="0.75" bottom="0.75" header="0.3" footer="0.3"/>
  <legacyDrawing r:id="R0d41deb4b6084fa0"/>
</worksheet>
</file>

<file path=xl/worksheets/sheet23.xml><?xml version="1.0" encoding="utf-8"?>
<worksheet xmlns="http://schemas.openxmlformats.org/spreadsheetml/2006/main" xmlns:r="http://schemas.openxmlformats.org/officeDocument/2006/relationships">
  <sheetViews>
    <sheetView showGridLines="0" workbookViewId="0"/>
  </sheetViews>
  <sheetFormatPr baseColWidth="8" defaultColWidth="7.833330154418945" defaultRowHeight="12.75"/>
  <cols>
    <col min="1" max="1" width="2.671880006790161" style="3136" customWidth="1"/>
    <col min="2" max="2" width="25.5" style="3136" customWidth="1"/>
    <col min="3" max="19" width="13" style="3136" customWidth="1"/>
    <col min="20" max="26" width="11.5" style="3136" customWidth="1"/>
    <col min="27" max="27" width="13.35159969329834" style="3136" customWidth="1"/>
    <col min="28" max="28" width="12" style="3136" customWidth="1"/>
    <col min="29" max="29" width="2.671880006790161" style="3136" customWidth="1"/>
    <col min="30" max="16384" width="7.851560115814209" style="3136" customWidth="1"/>
  </cols>
  <sheetData>
    <row r="1" s="3154" customFormat="1" ht="12.75" customHeight="1">
      <c r="A1" s="50" t="n"/>
      <c r="B1" s="49" t="n"/>
      <c r="C1" s="49" t="n"/>
      <c r="D1" s="49" t="n"/>
      <c r="E1" s="49" t="n"/>
      <c r="F1" s="49" t="n"/>
      <c r="G1" s="49" t="n"/>
      <c r="H1" s="49" t="n"/>
      <c r="I1" s="49" t="n"/>
      <c r="J1" s="49" t="n"/>
      <c r="K1" s="49" t="n"/>
      <c r="L1" s="49" t="n"/>
      <c r="M1" s="49" t="n"/>
      <c r="N1" s="49" t="n"/>
      <c r="O1" s="49" t="n"/>
      <c r="P1" s="49" t="n"/>
      <c r="Q1" s="49" t="n"/>
      <c r="R1" s="49" t="n"/>
      <c r="S1" s="49" t="n"/>
      <c r="T1" s="49" t="n"/>
      <c r="U1" s="49" t="n"/>
      <c r="V1" s="49" t="n"/>
      <c r="W1" s="49" t="n"/>
      <c r="X1" s="49" t="n"/>
      <c r="Y1" s="49" t="n"/>
      <c r="Z1" s="49" t="n"/>
      <c r="AA1" s="49" t="n"/>
      <c r="AB1" s="49" t="n"/>
      <c r="AC1" s="50" t="n"/>
    </row>
    <row r="2" s="3154" customFormat="1" ht="18.75" customHeight="1">
      <c r="A2" s="85" t="n"/>
      <c r="B2" s="2342" t="str">
        <f t="array" ref="B2">UPPER('Assumptions'!$D$6)</f>
        <v>INDEPENDENT (NO FLAG)</v>
      </c>
      <c r="C2" s="2343" t="n"/>
      <c r="D2" s="2343" t="n"/>
      <c r="E2" s="2343" t="n"/>
      <c r="F2" s="2343" t="n"/>
      <c r="G2" s="2343" t="n"/>
      <c r="H2" s="2343" t="n"/>
      <c r="I2" s="2343" t="n"/>
      <c r="J2" s="2343" t="n"/>
      <c r="K2" s="2343" t="n"/>
      <c r="L2" s="2343" t="n"/>
      <c r="M2" s="2343" t="n"/>
      <c r="N2" s="2343" t="n"/>
      <c r="O2" s="2343" t="n"/>
      <c r="P2" s="2343" t="n"/>
      <c r="Q2" s="2343" t="n"/>
      <c r="R2" s="2343" t="n"/>
      <c r="S2" s="2343" t="n"/>
      <c r="T2" s="2343" t="n"/>
      <c r="U2" s="2343" t="n"/>
      <c r="V2" s="2343" t="n"/>
      <c r="W2" s="2343" t="n"/>
      <c r="X2" s="2343" t="n"/>
      <c r="Y2" s="2343" t="n"/>
      <c r="Z2" s="2343" t="n"/>
      <c r="AA2" s="2343" t="n"/>
      <c r="AB2" s="2343" t="n"/>
      <c r="AC2" s="81" t="n"/>
    </row>
    <row r="3" s="3154" customFormat="1" ht="19.5" customHeight="1">
      <c r="A3" s="85" t="n"/>
      <c r="B3" s="2346" t="inlineStr">
        <is>
          <t xml:space="preserve">DEPRECIATION SCHEDULE</t>
        </is>
      </c>
      <c r="C3" s="2347" t="n"/>
      <c r="D3" s="2347" t="n"/>
      <c r="E3" s="2347" t="n"/>
      <c r="F3" s="2347" t="n"/>
      <c r="G3" s="2347" t="n"/>
      <c r="H3" s="2347" t="n"/>
      <c r="I3" s="2347" t="n"/>
      <c r="J3" s="2347" t="n"/>
      <c r="K3" s="2347" t="n"/>
      <c r="L3" s="2347" t="n"/>
      <c r="M3" s="2347" t="n"/>
      <c r="N3" s="2347" t="n"/>
      <c r="O3" s="2347" t="n"/>
      <c r="P3" s="2347" t="n"/>
      <c r="Q3" s="2347" t="n"/>
      <c r="R3" s="2347" t="n"/>
      <c r="S3" s="2347" t="n"/>
      <c r="T3" s="2347" t="n"/>
      <c r="U3" s="2347" t="n"/>
      <c r="V3" s="2347" t="n"/>
      <c r="W3" s="2347" t="n"/>
      <c r="X3" s="2347" t="n"/>
      <c r="Y3" s="2347" t="n"/>
      <c r="Z3" s="2347" t="n"/>
      <c r="AA3" s="2347" t="n"/>
      <c r="AB3" s="2347" t="n"/>
      <c r="AC3" s="81" t="n"/>
    </row>
    <row r="4" s="3154" customFormat="1" ht="13.5" customHeight="1">
      <c r="A4" s="50" t="n"/>
      <c r="B4" s="2491" t="n"/>
      <c r="C4" s="4156" t="n"/>
      <c r="D4" s="4157" t="n"/>
      <c r="E4" s="4157" t="n"/>
      <c r="F4" s="4157" t="n"/>
      <c r="G4" s="2494" t="inlineStr">
        <is>
          <t xml:space="preserve">Depreciable Basis</t>
        </is>
      </c>
      <c r="H4" s="4158" t="n"/>
      <c r="I4" s="4159" t="n"/>
      <c r="J4" s="4157" t="n"/>
      <c r="K4" s="4159" t="n"/>
      <c r="L4" s="4159" t="n"/>
      <c r="M4" s="2491" t="n"/>
      <c r="N4" s="4160" t="n"/>
      <c r="O4" s="2491" t="n"/>
      <c r="P4" s="2491" t="n"/>
      <c r="Q4" s="2491" t="n"/>
      <c r="R4" s="2491" t="n"/>
      <c r="S4" s="2491" t="n"/>
      <c r="T4" s="4157" t="n"/>
      <c r="U4" s="4157" t="n"/>
      <c r="V4" s="4157" t="n"/>
      <c r="W4" s="4157" t="n"/>
      <c r="X4" s="4157" t="n"/>
      <c r="Y4" s="4157" t="n"/>
      <c r="Z4" s="4157" t="n"/>
      <c r="AA4" s="4161" t="n"/>
      <c r="AB4" s="2491" t="n"/>
      <c r="AC4" s="50" t="n"/>
    </row>
    <row r="5" s="3154" customFormat="1" ht="12.75" customHeight="1">
      <c r="A5" s="50" t="n"/>
      <c r="B5" s="747" t="inlineStr">
        <is>
          <t xml:space="preserve">Straight Line Depreciation?</t>
        </is>
      </c>
      <c r="C5" s="2499" t="inlineStr">
        <is>
          <t xml:space="preserve">No</t>
        </is>
      </c>
      <c r="D5" s="4162" t="n"/>
      <c r="E5" s="4163" t="n"/>
      <c r="F5" s="4163" t="n"/>
      <c r="G5" s="4164" t="n"/>
      <c r="H5" s="2503" t="inlineStr">
        <is>
          <t xml:space="preserve">Total</t>
        </is>
      </c>
      <c r="I5" s="50" t="n"/>
      <c r="J5" s="50" t="n"/>
      <c r="K5" s="4165" t="n"/>
      <c r="L5" s="4165" t="n"/>
      <c r="M5" s="2505" t="n"/>
      <c r="N5" s="4165" t="n"/>
      <c r="O5" s="4165" t="n"/>
      <c r="P5" s="4165" t="n"/>
      <c r="Q5" s="4165" t="n"/>
      <c r="R5" s="4165" t="n"/>
      <c r="S5" s="50" t="n"/>
      <c r="T5" s="4163" t="n"/>
      <c r="U5" s="4163" t="n"/>
      <c r="V5" s="4163" t="n"/>
      <c r="W5" s="4163" t="n"/>
      <c r="X5" s="4163" t="n"/>
      <c r="Y5" s="4163" t="n"/>
      <c r="Z5" s="4163" t="n"/>
      <c r="AA5" s="4166" t="n"/>
      <c r="AB5" s="50" t="n"/>
      <c r="AC5" s="50" t="n"/>
    </row>
    <row r="6" s="3154" customFormat="1" ht="12.75" customHeight="1">
      <c r="A6" s="50" t="n"/>
      <c r="B6" s="113" t="inlineStr">
        <is>
          <t xml:space="preserve">Avg. Placed-In-Service</t>
        </is>
      </c>
      <c r="C6" s="4167" t="n">
        <f t="array" ref="C6">'Assumptions'!C23</f>
        <v>10</v>
      </c>
      <c r="D6" s="2508" t="e">
        <f t="array" ref="D6">YEAR('Assumptions'!G20)</f>
      </c>
      <c r="E6" s="50" t="n"/>
      <c r="F6" s="2509" t="inlineStr">
        <is>
          <t xml:space="preserve">Personal Property</t>
        </is>
      </c>
      <c r="G6" s="2510" t="n">
        <f t="array" ref="G6">H6/$H$9</f>
        <v>0.05218434281711421</v>
      </c>
      <c r="H6" s="4168" t="n">
        <f t="array" ref="H6">'Cost Detail'!C196</f>
        <v>280620.258975</v>
      </c>
      <c r="I6" s="2512" t="inlineStr">
        <is>
          <t xml:space="preserve">OSE and FFE below</t>
        </is>
      </c>
      <c r="J6" s="50" t="n"/>
      <c r="K6" s="4163" t="n"/>
      <c r="L6" s="2513" t="inlineStr">
        <is>
          <t xml:space="preserve">building is 39 years</t>
        </is>
      </c>
      <c r="M6" s="2514" t="n"/>
      <c r="N6" s="4163" t="n"/>
      <c r="O6" s="2515" t="n"/>
      <c r="P6" s="4163" t="n"/>
      <c r="Q6" s="4163" t="n"/>
      <c r="R6" s="4163" t="n"/>
      <c r="S6" s="50" t="n"/>
      <c r="T6" s="50" t="n"/>
      <c r="U6" s="50" t="n"/>
      <c r="V6" s="50" t="n"/>
      <c r="W6" s="50" t="n"/>
      <c r="X6" s="50" t="n"/>
      <c r="Y6" s="50" t="n"/>
      <c r="Z6" s="50" t="n"/>
      <c r="AA6" s="50" t="n"/>
      <c r="AB6" s="50" t="n"/>
      <c r="AC6" s="50" t="n"/>
    </row>
    <row r="7" s="3154" customFormat="1" ht="12.75" customHeight="1">
      <c r="A7" s="50" t="n"/>
      <c r="B7" s="50" t="n"/>
      <c r="C7" s="50" t="n"/>
      <c r="D7" s="50" t="n"/>
      <c r="E7" s="50" t="n"/>
      <c r="F7" s="2509" t="inlineStr">
        <is>
          <t xml:space="preserve">Land Improvements</t>
        </is>
      </c>
      <c r="G7" s="2510" t="n">
        <f t="array" ref="G7">H7/$H$9</f>
        <v>0.046490177693980415</v>
      </c>
      <c r="H7" s="4168" t="n">
        <f t="array" ref="H7">'Cost Detail'!C197</f>
        <v>250000</v>
      </c>
      <c r="I7" s="2516" t="inlineStr">
        <is>
          <t xml:space="preserve">Land Improvement plug is below</t>
        </is>
      </c>
      <c r="J7" s="50" t="n"/>
      <c r="K7" s="4163" t="n"/>
      <c r="L7" s="2513" t="inlineStr">
        <is>
          <t xml:space="preserve">sitework 15 year</t>
        </is>
      </c>
      <c r="M7" s="2514" t="n"/>
      <c r="N7" s="4163" t="n"/>
      <c r="O7" s="2515" t="n"/>
      <c r="P7" s="4163" t="n"/>
      <c r="Q7" s="4163" t="n"/>
      <c r="R7" s="4163" t="n"/>
      <c r="S7" s="50" t="n"/>
      <c r="T7" s="50" t="n"/>
      <c r="U7" s="50" t="n"/>
      <c r="V7" s="50" t="n"/>
      <c r="W7" s="50" t="n"/>
      <c r="X7" s="50" t="n"/>
      <c r="Y7" s="50" t="n"/>
      <c r="Z7" s="50" t="n"/>
      <c r="AA7" s="50" t="n"/>
      <c r="AB7" s="50" t="n"/>
      <c r="AC7" s="50" t="n"/>
    </row>
    <row r="8" s="3154" customFormat="1" ht="12.75" customHeight="1">
      <c r="A8" s="50" t="n"/>
      <c r="B8" s="50" t="n"/>
      <c r="C8" s="50" t="n"/>
      <c r="D8" s="50" t="n"/>
      <c r="E8" s="50" t="n"/>
      <c r="F8" s="2509" t="inlineStr">
        <is>
          <t xml:space="preserve">New / Rehab Building</t>
        </is>
      </c>
      <c r="G8" s="2510" t="n">
        <f t="array" ref="G8">H8/$H$9</f>
        <v>0.9013254794889054</v>
      </c>
      <c r="H8" s="4168" t="n">
        <f t="array" ref="H8">'Cost Detail'!C198</f>
        <v>4846859.724982346</v>
      </c>
      <c r="I8" s="2517" t="n"/>
      <c r="J8" s="50" t="n"/>
      <c r="K8" s="4163" t="n"/>
      <c r="L8" s="2513" t="inlineStr">
        <is>
          <t xml:space="preserve">personal property 5 year </t>
        </is>
      </c>
      <c r="M8" s="2514" t="n"/>
      <c r="N8" s="4163" t="n"/>
      <c r="O8" s="2515" t="n"/>
      <c r="P8" s="4163" t="n"/>
      <c r="Q8" s="4163" t="n"/>
      <c r="R8" s="4163" t="n"/>
      <c r="S8" s="50" t="n"/>
      <c r="T8" s="50" t="n"/>
      <c r="U8" s="50" t="n"/>
      <c r="V8" s="50" t="n"/>
      <c r="W8" s="50" t="n"/>
      <c r="X8" s="50" t="n"/>
      <c r="Y8" s="50" t="n"/>
      <c r="Z8" s="50" t="n"/>
      <c r="AA8" s="50" t="n"/>
      <c r="AB8" s="50" t="n"/>
      <c r="AC8" s="50" t="n"/>
    </row>
    <row r="9" s="3154" customFormat="1" ht="12.75" customHeight="1">
      <c r="A9" s="50" t="n"/>
      <c r="B9" s="50" t="n"/>
      <c r="C9" s="50" t="n"/>
      <c r="D9" s="50" t="n"/>
      <c r="E9" s="50" t="n"/>
      <c r="F9" s="2509" t="inlineStr">
        <is>
          <t xml:space="preserve">Total Construction Contract</t>
        </is>
      </c>
      <c r="G9" s="2510" t="n">
        <v>1</v>
      </c>
      <c r="H9" s="4169" t="n">
        <f t="array" ref="H9">SUM(H6:H8)</f>
        <v>5377479.9839573465</v>
      </c>
      <c r="I9" s="2516" t="inlineStr">
        <is>
          <t xml:space="preserve">Will not equal the total budget </t>
        </is>
      </c>
      <c r="J9" s="50" t="n"/>
      <c r="K9" s="4163" t="n"/>
      <c r="L9" s="2519" t="n"/>
      <c r="M9" s="2514" t="n"/>
      <c r="N9" s="4163" t="n"/>
      <c r="O9" s="2515" t="n"/>
      <c r="P9" s="4163" t="n"/>
      <c r="Q9" s="4163" t="n"/>
      <c r="R9" s="4163" t="n"/>
      <c r="S9" s="50" t="n"/>
      <c r="T9" s="50" t="n"/>
      <c r="U9" s="50" t="n"/>
      <c r="V9" s="50" t="n"/>
      <c r="W9" s="50" t="n"/>
      <c r="X9" s="50" t="n"/>
      <c r="Y9" s="50" t="n"/>
      <c r="Z9" s="50" t="n"/>
      <c r="AA9" s="50" t="n"/>
      <c r="AB9" s="50" t="n"/>
      <c r="AC9" s="50" t="n"/>
    </row>
    <row r="10" s="3154" customFormat="1" ht="12.75" customHeight="1">
      <c r="A10" s="50" t="n"/>
      <c r="B10" s="50" t="n"/>
      <c r="C10" s="50" t="n"/>
      <c r="D10" s="50" t="n"/>
      <c r="E10" s="50" t="n"/>
      <c r="F10" s="50" t="n"/>
      <c r="G10" s="2333" t="n"/>
      <c r="H10" s="4170" t="n"/>
      <c r="I10" s="2521" t="n"/>
      <c r="J10" s="4090" t="n"/>
      <c r="K10" s="4090" t="n"/>
      <c r="L10" s="4090" t="n"/>
      <c r="M10" s="50" t="n"/>
      <c r="N10" s="50" t="n"/>
      <c r="O10" s="50" t="n"/>
      <c r="P10" s="50" t="n"/>
      <c r="Q10" s="50" t="n"/>
      <c r="R10" s="50" t="n"/>
      <c r="S10" s="50" t="n"/>
      <c r="T10" s="50" t="n"/>
      <c r="U10" s="50" t="n"/>
      <c r="V10" s="50" t="n"/>
      <c r="W10" s="50" t="n"/>
      <c r="X10" s="50" t="n"/>
      <c r="Y10" s="50" t="n"/>
      <c r="Z10" s="50" t="n"/>
      <c r="AA10" s="50" t="n"/>
      <c r="AB10" s="50" t="n"/>
      <c r="AC10" s="50" t="n"/>
    </row>
    <row r="11" s="3154" customFormat="1" ht="12.75" customHeight="1">
      <c r="A11" s="50" t="n"/>
      <c r="B11" s="4171" t="n"/>
      <c r="C11" s="4171" t="n"/>
      <c r="D11" s="4172" t="n">
        <v>0</v>
      </c>
      <c r="E11" s="4172" t="n">
        <v>1</v>
      </c>
      <c r="F11" s="4171" t="n">
        <f t="array" ref="F11">E11+1</f>
        <v>2</v>
      </c>
      <c r="G11" s="4171" t="n">
        <f t="array" ref="G11">F11+1</f>
        <v>3</v>
      </c>
      <c r="H11" s="4171" t="n">
        <f t="array" ref="H11">G11+1</f>
        <v>4</v>
      </c>
      <c r="I11" s="4171" t="n">
        <f t="array" ref="I11">H11+1</f>
        <v>5</v>
      </c>
      <c r="J11" s="4171" t="n">
        <f t="array" ref="J11">I11+1</f>
        <v>6</v>
      </c>
      <c r="K11" s="4171" t="n">
        <f t="array" ref="K11">J11+1</f>
        <v>7</v>
      </c>
      <c r="L11" s="4171" t="n">
        <f t="array" ref="L11">K11+1</f>
        <v>8</v>
      </c>
      <c r="M11" s="4171" t="n">
        <f t="array" ref="M11">L11+1</f>
        <v>9</v>
      </c>
      <c r="N11" s="4171" t="n">
        <f t="array" ref="N11">M11+1</f>
        <v>10</v>
      </c>
      <c r="O11" s="4171" t="n">
        <f t="array" ref="O11">N11+1</f>
        <v>11</v>
      </c>
      <c r="P11" s="4171" t="n">
        <f t="array" ref="P11">O11+1</f>
        <v>12</v>
      </c>
      <c r="Q11" s="4171" t="n">
        <f t="array" ref="Q11">P11+1</f>
        <v>13</v>
      </c>
      <c r="R11" s="4171" t="n">
        <f t="array" ref="R11">Q11+1</f>
        <v>14</v>
      </c>
      <c r="S11" s="4171" t="n">
        <f t="array" ref="S11">R11+1</f>
        <v>15</v>
      </c>
      <c r="T11" s="4171" t="n">
        <f t="array" ref="T11">S11+1</f>
        <v>16</v>
      </c>
      <c r="U11" s="4171" t="n">
        <f t="array" ref="U11">T11+1</f>
        <v>17</v>
      </c>
      <c r="V11" s="4171" t="n">
        <f t="array" ref="V11">U11+1</f>
        <v>18</v>
      </c>
      <c r="W11" s="4171" t="n">
        <f t="array" ref="W11">V11+1</f>
        <v>19</v>
      </c>
      <c r="X11" s="4171" t="n">
        <f t="array" ref="X11">W11+1</f>
        <v>20</v>
      </c>
      <c r="Y11" s="4171" t="n">
        <f t="array" ref="Y11">X11+1</f>
        <v>21</v>
      </c>
      <c r="Z11" s="4171" t="n">
        <f t="array" ref="Z11">Y11+1</f>
        <v>22</v>
      </c>
      <c r="AA11" s="113" t="inlineStr">
        <is>
          <t xml:space="preserve">     Total</t>
        </is>
      </c>
      <c r="AB11" s="113" t="inlineStr">
        <is>
          <t xml:space="preserve">Remaining</t>
        </is>
      </c>
      <c r="AC11" s="50" t="n"/>
    </row>
    <row r="12" s="3154" customFormat="1" ht="12.75" customHeight="1">
      <c r="A12" s="50" t="n"/>
      <c r="B12" s="2524" t="inlineStr">
        <is>
          <t xml:space="preserve">Asset - Depreciation Exp</t>
        </is>
      </c>
      <c r="C12" s="2331" t="inlineStr">
        <is>
          <t xml:space="preserve">Total</t>
        </is>
      </c>
      <c r="D12" s="2332" t="n">
        <f t="array" ref="D12">'Annual CF'!B6</f>
        <v>2026</v>
      </c>
      <c r="E12" s="2332" t="n">
        <f t="array" ref="E12">D12+1</f>
        <v>2027</v>
      </c>
      <c r="F12" s="2332" t="n">
        <f t="array" ref="F12">E12+1</f>
        <v>2028</v>
      </c>
      <c r="G12" s="2332" t="n">
        <f t="array" ref="G12">F12+1</f>
        <v>2029</v>
      </c>
      <c r="H12" s="2332" t="n">
        <f t="array" ref="H12">G12+1</f>
        <v>2030</v>
      </c>
      <c r="I12" s="2332" t="n">
        <f t="array" ref="I12">H12+1</f>
        <v>2031</v>
      </c>
      <c r="J12" s="2332" t="n">
        <f t="array" ref="J12">I12+1</f>
        <v>2032</v>
      </c>
      <c r="K12" s="2332" t="n">
        <f t="array" ref="K12">J12+1</f>
        <v>2033</v>
      </c>
      <c r="L12" s="2332" t="n">
        <f t="array" ref="L12">K12+1</f>
        <v>2034</v>
      </c>
      <c r="M12" s="2332" t="n">
        <f t="array" ref="M12">L12+1</f>
        <v>2035</v>
      </c>
      <c r="N12" s="2332" t="n">
        <f t="array" ref="N12">M12+1</f>
        <v>2036</v>
      </c>
      <c r="O12" s="2332" t="n">
        <f t="array" ref="O12">N12+1</f>
        <v>2037</v>
      </c>
      <c r="P12" s="2332" t="n">
        <f t="array" ref="P12">O12+1</f>
        <v>2038</v>
      </c>
      <c r="Q12" s="2332" t="n">
        <f t="array" ref="Q12">P12+1</f>
        <v>2039</v>
      </c>
      <c r="R12" s="2332" t="n">
        <f t="array" ref="R12">Q12+1</f>
        <v>2040</v>
      </c>
      <c r="S12" s="2332" t="n">
        <f t="array" ref="S12">R12+1</f>
        <v>2041</v>
      </c>
      <c r="T12" s="2332" t="n">
        <f t="array" ref="T12">S12+1</f>
        <v>2042</v>
      </c>
      <c r="U12" s="2332" t="n">
        <f t="array" ref="U12">T12+1</f>
        <v>2043</v>
      </c>
      <c r="V12" s="2332" t="n">
        <f t="array" ref="V12">U12+1</f>
        <v>2044</v>
      </c>
      <c r="W12" s="2332" t="n">
        <f t="array" ref="W12">V12+1</f>
        <v>2045</v>
      </c>
      <c r="X12" s="2332" t="n">
        <f t="array" ref="X12">W12+1</f>
        <v>2046</v>
      </c>
      <c r="Y12" s="2332" t="n">
        <f t="array" ref="Y12">X12+1</f>
        <v>2047</v>
      </c>
      <c r="Z12" s="2332" t="n">
        <f t="array" ref="Z12">Y12+1</f>
        <v>2048</v>
      </c>
      <c r="AA12" s="2331" t="inlineStr">
        <is>
          <t xml:space="preserve">     Depr</t>
        </is>
      </c>
      <c r="AB12" s="2331" t="inlineStr">
        <is>
          <t xml:space="preserve">Depr</t>
        </is>
      </c>
      <c r="AC12" s="50" t="n"/>
    </row>
    <row r="13" s="3154" customFormat="1" ht="12.75" customHeight="1">
      <c r="A13" s="50" t="n"/>
      <c r="B13" s="2333" t="n"/>
      <c r="C13" s="2525" t="n"/>
      <c r="D13" s="2526" t="n"/>
      <c r="E13" s="2526" t="n"/>
      <c r="F13" s="2526" t="n"/>
      <c r="G13" s="2526" t="n"/>
      <c r="H13" s="2526" t="n"/>
      <c r="I13" s="2526" t="n"/>
      <c r="J13" s="2526" t="n"/>
      <c r="K13" s="2526" t="n"/>
      <c r="L13" s="2526" t="n"/>
      <c r="M13" s="2526" t="n"/>
      <c r="N13" s="2526" t="n"/>
      <c r="O13" s="2526" t="n"/>
      <c r="P13" s="2526" t="n"/>
      <c r="Q13" s="2526" t="n"/>
      <c r="R13" s="2526" t="n"/>
      <c r="S13" s="2526" t="n"/>
      <c r="T13" s="2333" t="n"/>
      <c r="U13" s="2333" t="n"/>
      <c r="V13" s="2333" t="n"/>
      <c r="W13" s="2333" t="n"/>
      <c r="X13" s="2333" t="n"/>
      <c r="Y13" s="2333" t="n"/>
      <c r="Z13" s="2333" t="n"/>
      <c r="AA13" s="2333" t="n"/>
      <c r="AB13" s="2333" t="n"/>
      <c r="AC13" s="50" t="n"/>
    </row>
    <row r="14" s="3154" customFormat="1" ht="12.75" customHeight="1">
      <c r="A14" s="50" t="n"/>
      <c r="B14" s="2527" t="inlineStr">
        <is>
          <t xml:space="preserve">Land/Non Deprec Bldg</t>
        </is>
      </c>
      <c r="C14" s="4173" t="n">
        <v>0</v>
      </c>
      <c r="D14" s="4174" t="n">
        <v>0</v>
      </c>
      <c r="E14" s="4174" t="n">
        <v>0</v>
      </c>
      <c r="F14" s="4174" t="n">
        <v>0</v>
      </c>
      <c r="G14" s="4174" t="n">
        <v>0</v>
      </c>
      <c r="H14" s="4174" t="n">
        <v>0</v>
      </c>
      <c r="I14" s="4174" t="n">
        <v>0</v>
      </c>
      <c r="J14" s="4174" t="n">
        <v>0</v>
      </c>
      <c r="K14" s="4174" t="n">
        <v>0</v>
      </c>
      <c r="L14" s="4174" t="n">
        <v>0</v>
      </c>
      <c r="M14" s="4174" t="n">
        <v>0</v>
      </c>
      <c r="N14" s="4174" t="n">
        <v>0</v>
      </c>
      <c r="O14" s="4174" t="n">
        <v>0</v>
      </c>
      <c r="P14" s="4174" t="n">
        <v>0</v>
      </c>
      <c r="Q14" s="4174" t="n">
        <v>0</v>
      </c>
      <c r="R14" s="4174" t="n">
        <v>0</v>
      </c>
      <c r="S14" s="4174" t="n">
        <v>0</v>
      </c>
      <c r="T14" s="4175" t="n">
        <v>0</v>
      </c>
      <c r="U14" s="4073" t="n">
        <v>0</v>
      </c>
      <c r="V14" s="4073" t="n">
        <v>0</v>
      </c>
      <c r="W14" s="4073" t="n">
        <v>0</v>
      </c>
      <c r="X14" s="4073" t="n">
        <v>0</v>
      </c>
      <c r="Y14" s="4073" t="n">
        <v>0</v>
      </c>
      <c r="Z14" s="4073" t="n">
        <v>0</v>
      </c>
      <c r="AA14" s="4073" t="n">
        <f t="array" ref="AA14">SUM(D14:S14)</f>
        <v>0</v>
      </c>
      <c r="AB14" s="4073" t="n">
        <f t="array" ref="AB14">C14-AA14</f>
        <v>0</v>
      </c>
      <c r="AC14" s="50" t="n"/>
    </row>
    <row r="15" s="3154" customFormat="1" ht="12.75" customHeight="1">
      <c r="A15" s="50" t="n"/>
      <c r="B15" s="2513" t="inlineStr">
        <is>
          <t xml:space="preserve">Building Acquisition</t>
        </is>
      </c>
      <c r="C15" s="4176" t="n">
        <v>0</v>
      </c>
      <c r="D15" s="4177" t="n">
        <f t="array" ref="D15">$C15*D$45</f>
        <v>0</v>
      </c>
      <c r="E15" s="4177" t="n">
        <f t="array" ref="E15">$C15*E$45</f>
        <v>0</v>
      </c>
      <c r="F15" s="4177" t="n">
        <f t="array" ref="F15">$C15*F$45</f>
        <v>0</v>
      </c>
      <c r="G15" s="4177" t="n">
        <f t="array" ref="G15">$C15*G$45</f>
        <v>0</v>
      </c>
      <c r="H15" s="4177" t="n">
        <f t="array" ref="H15">$C15*H$45</f>
        <v>0</v>
      </c>
      <c r="I15" s="4177" t="n">
        <f t="array" ref="I15">$C15*I$45</f>
        <v>0</v>
      </c>
      <c r="J15" s="4177" t="n">
        <f t="array" ref="J15">$C15*J$45</f>
        <v>0</v>
      </c>
      <c r="K15" s="4177" t="n">
        <f t="array" ref="K15">$C15*K$45</f>
        <v>0</v>
      </c>
      <c r="L15" s="4178" t="n">
        <f t="array" ref="L15">$C15*L$45</f>
        <v>0</v>
      </c>
      <c r="M15" s="4178" t="n">
        <f t="array" ref="M15">$C15*M$45</f>
        <v>0</v>
      </c>
      <c r="N15" s="4178" t="n">
        <f t="array" ref="N15">$C15*N$45</f>
        <v>0</v>
      </c>
      <c r="O15" s="4178" t="n">
        <f t="array" ref="O15">$C15*O$45</f>
        <v>0</v>
      </c>
      <c r="P15" s="4178" t="n">
        <f t="array" ref="P15">$C15*P$45</f>
        <v>0</v>
      </c>
      <c r="Q15" s="4178" t="n">
        <f t="array" ref="Q15">$C15*Q$45</f>
        <v>0</v>
      </c>
      <c r="R15" s="4178" t="n">
        <f t="array" ref="R15">$C15*R$45</f>
        <v>0</v>
      </c>
      <c r="S15" s="4178" t="n">
        <f t="array" ref="S15">$C15*S$45</f>
        <v>0</v>
      </c>
      <c r="T15" s="3901" t="n">
        <f t="array" ref="T15">$C15*T$45</f>
        <v>0</v>
      </c>
      <c r="U15" s="3901" t="n">
        <f t="array" ref="U15">$C15*U$45</f>
        <v>0</v>
      </c>
      <c r="V15" s="3901" t="n">
        <f t="array" ref="V15">$C15*V$45</f>
        <v>0</v>
      </c>
      <c r="W15" s="3901" t="n">
        <f t="array" ref="W15">$C15*W$45</f>
        <v>0</v>
      </c>
      <c r="X15" s="3901" t="n">
        <f t="array" ref="X15">$C15*X$45</f>
        <v>0</v>
      </c>
      <c r="Y15" s="3901" t="n">
        <f t="array" ref="Y15">$C15*Y$45</f>
        <v>0</v>
      </c>
      <c r="Z15" s="3901" t="n">
        <f t="array" ref="Z15">$C15*Z$45</f>
        <v>0</v>
      </c>
      <c r="AA15" s="3901" t="n">
        <f t="array" ref="AA15">SUM(D15:S15)</f>
        <v>0</v>
      </c>
      <c r="AB15" s="4090" t="n">
        <f t="array" ref="AB15">C15-AA15</f>
        <v>0</v>
      </c>
      <c r="AC15" s="50" t="n"/>
    </row>
    <row r="16" s="3154" customFormat="1" ht="12.75" customHeight="1">
      <c r="A16" s="50" t="n"/>
      <c r="B16" s="2513" t="inlineStr">
        <is>
          <t xml:space="preserve">FF&amp;E</t>
        </is>
      </c>
      <c r="C16" s="4179" t="n">
        <f t="array" ref="C16">'Cost Detail'!C186</f>
        <v>287635.76544937503</v>
      </c>
      <c r="D16" s="3901" t="n">
        <f t="array" ref="D16">($C$16*D46)</f>
        <v>0</v>
      </c>
      <c r="E16" s="3901" t="e">
        <f t="array" ref="E16">$C16*E46</f>
      </c>
      <c r="F16" s="3901" t="e">
        <f t="array" ref="F16">$C16*F46</f>
      </c>
      <c r="G16" s="3901" t="e">
        <f t="array" ref="G16">$C16*G46</f>
      </c>
      <c r="H16" s="3901" t="e">
        <f t="array" ref="H16">$C16*H46</f>
      </c>
      <c r="I16" s="3901" t="e">
        <f t="array" ref="I16">$C16*I46</f>
      </c>
      <c r="J16" s="3901" t="e">
        <f t="array" ref="J16">$C16*J46</f>
      </c>
      <c r="K16" s="4180" t="e">
        <f t="array" ref="K16">$C16*K46</f>
      </c>
      <c r="L16" s="4174" t="e">
        <f t="array" ref="L16">$C16*L46</f>
      </c>
      <c r="M16" s="4174" t="e">
        <f t="array" ref="M16">$C16*M46</f>
      </c>
      <c r="N16" s="4174" t="e">
        <f t="array" ref="N16">$C16*N46</f>
      </c>
      <c r="O16" s="4174" t="e">
        <f t="array" ref="O16">$C16*O46</f>
      </c>
      <c r="P16" s="4174" t="e">
        <f t="array" ref="P16">$C16*P46</f>
      </c>
      <c r="Q16" s="4174" t="e">
        <f t="array" ref="Q16">$C16*Q46</f>
      </c>
      <c r="R16" s="4174" t="e">
        <f t="array" ref="R16">$C16*R46</f>
      </c>
      <c r="S16" s="4174" t="e">
        <f t="array" ref="S16">$C16*S46</f>
      </c>
      <c r="T16" s="4181" t="e">
        <f t="array" ref="T16">$C16*T46</f>
      </c>
      <c r="U16" s="3901" t="e">
        <f t="array" ref="U16">$C16*U46</f>
      </c>
      <c r="V16" s="3901" t="e">
        <f t="array" ref="V16">$C16*V46</f>
      </c>
      <c r="W16" s="3901" t="e">
        <f t="array" ref="W16">$C16*W46</f>
      </c>
      <c r="X16" s="3901" t="e">
        <f t="array" ref="X16">$C16*X46</f>
      </c>
      <c r="Y16" s="3901" t="e">
        <f t="array" ref="Y16">$C16*Y46</f>
      </c>
      <c r="Z16" s="3901" t="e">
        <f t="array" ref="Z16">$C16*Z46</f>
      </c>
      <c r="AA16" s="3901" t="e">
        <f t="array" ref="AA16">SUM(D16:S16)</f>
      </c>
      <c r="AB16" s="4090" t="e">
        <f t="array" ref="AB16">C16-AA16</f>
      </c>
      <c r="AC16" s="4090" t="n"/>
    </row>
    <row r="17" s="3154" customFormat="1" ht="12.75" customHeight="1">
      <c r="A17" s="50" t="n"/>
      <c r="B17" s="2513" t="inlineStr">
        <is>
          <t xml:space="preserve">OS&amp;E</t>
        </is>
      </c>
      <c r="C17" s="4179" t="n">
        <f t="array" ref="C17">'Cost Detail'!C187</f>
        <v>0</v>
      </c>
      <c r="D17" s="3901" t="n"/>
      <c r="E17" s="3901" t="e">
        <f t="array" ref="E17">$C17*E47</f>
      </c>
      <c r="F17" s="3901" t="e">
        <f t="array" ref="F17">$C17*F47</f>
      </c>
      <c r="G17" s="3901" t="e">
        <f t="array" ref="G17">$C17*G47</f>
      </c>
      <c r="H17" s="3901" t="e">
        <f t="array" ref="H17">$C17*H47</f>
      </c>
      <c r="I17" s="3901" t="e">
        <f t="array" ref="I17">$C17*I47</f>
      </c>
      <c r="J17" s="3901" t="e">
        <f t="array" ref="J17">$C17*J47</f>
      </c>
      <c r="K17" s="4180" t="e">
        <f t="array" ref="K17">$C17*K47</f>
      </c>
      <c r="L17" s="4174" t="e">
        <f t="array" ref="L17">$C17*L47</f>
      </c>
      <c r="M17" s="4174" t="e">
        <f t="array" ref="M17">$C17*M47</f>
      </c>
      <c r="N17" s="4174" t="e">
        <f t="array" ref="N17">$C17*N47</f>
      </c>
      <c r="O17" s="4174" t="e">
        <f t="array" ref="O17">$C17*O47</f>
      </c>
      <c r="P17" s="4174" t="e">
        <f t="array" ref="P17">$C17*P47</f>
      </c>
      <c r="Q17" s="4174" t="e">
        <f t="array" ref="Q17">$C17*Q47</f>
      </c>
      <c r="R17" s="4174" t="e">
        <f t="array" ref="R17">$C17*R47</f>
      </c>
      <c r="S17" s="4174" t="e">
        <f t="array" ref="S17">$C17*S47</f>
      </c>
      <c r="T17" s="4181" t="e">
        <f t="array" ref="T17">$C17*T47</f>
      </c>
      <c r="U17" s="3901" t="e">
        <f t="array" ref="U17">$C17*U47</f>
      </c>
      <c r="V17" s="3901" t="e">
        <f t="array" ref="V17">$C17*V47</f>
      </c>
      <c r="W17" s="3901" t="e">
        <f t="array" ref="W17">$C17*W47</f>
      </c>
      <c r="X17" s="3901" t="e">
        <f t="array" ref="X17">$C17*X47</f>
      </c>
      <c r="Y17" s="3901" t="e">
        <f t="array" ref="Y17">$C17*Y47</f>
      </c>
      <c r="Z17" s="3901" t="e">
        <f t="array" ref="Z17">$C17*Z47</f>
      </c>
      <c r="AA17" s="3901" t="n"/>
      <c r="AB17" s="4090" t="n"/>
      <c r="AC17" s="4090" t="n"/>
    </row>
    <row r="18" s="3154" customFormat="1" ht="12.75" customHeight="1">
      <c r="A18" s="50" t="n"/>
      <c r="B18" s="2513" t="inlineStr">
        <is>
          <t xml:space="preserve">Franchise Fees</t>
        </is>
      </c>
      <c r="C18" s="4179" t="n">
        <f t="array" ref="C18">'Cost Detail'!C188</f>
        <v>0</v>
      </c>
      <c r="D18" s="3901" t="n"/>
      <c r="E18" s="3901" t="n">
        <f t="array" ref="E18">$C18*E48</f>
        <v>0</v>
      </c>
      <c r="F18" s="3901" t="n">
        <f t="array" ref="F18">$C18*F48</f>
        <v>0</v>
      </c>
      <c r="G18" s="3901" t="n">
        <f t="array" ref="G18">$C18*G48</f>
        <v>0</v>
      </c>
      <c r="H18" s="3901" t="n">
        <f t="array" ref="H18">$C18*H48</f>
        <v>0</v>
      </c>
      <c r="I18" s="3901" t="n">
        <f t="array" ref="I18">$C18*I48</f>
        <v>0</v>
      </c>
      <c r="J18" s="3901" t="n">
        <f t="array" ref="J18">$C18*J48</f>
        <v>0</v>
      </c>
      <c r="K18" s="4180" t="n">
        <f t="array" ref="K18">$C18*K48</f>
        <v>0</v>
      </c>
      <c r="L18" s="4174" t="n">
        <f t="array" ref="L18">$C18*L48</f>
        <v>0</v>
      </c>
      <c r="M18" s="4174" t="n">
        <f t="array" ref="M18">$C18*M48</f>
        <v>0</v>
      </c>
      <c r="N18" s="4174" t="n">
        <f t="array" ref="N18">$C18*N48</f>
        <v>0</v>
      </c>
      <c r="O18" s="4174" t="n">
        <f t="array" ref="O18">$C18*O48</f>
        <v>0</v>
      </c>
      <c r="P18" s="4174" t="n">
        <f t="array" ref="P18">$C18*P48</f>
        <v>0</v>
      </c>
      <c r="Q18" s="4174" t="n">
        <f t="array" ref="Q18">$C18*Q48</f>
        <v>0</v>
      </c>
      <c r="R18" s="4174" t="n">
        <f t="array" ref="R18">$C18*R48</f>
        <v>0</v>
      </c>
      <c r="S18" s="4174" t="n">
        <f t="array" ref="S18">$C18*S48</f>
        <v>0</v>
      </c>
      <c r="T18" s="4181" t="n">
        <f t="array" ref="T18">$C18*T48</f>
        <v>0</v>
      </c>
      <c r="U18" s="3901" t="n">
        <f t="array" ref="U18">$C18*U48</f>
        <v>0</v>
      </c>
      <c r="V18" s="3901" t="n">
        <f t="array" ref="V18">$C18*V48</f>
        <v>0</v>
      </c>
      <c r="W18" s="3901" t="n">
        <f t="array" ref="W18">$C18*W48</f>
        <v>0</v>
      </c>
      <c r="X18" s="3901" t="n">
        <f t="array" ref="X18">$C18*X48</f>
        <v>0</v>
      </c>
      <c r="Y18" s="3901" t="n">
        <f t="array" ref="Y18">$C18*Y48</f>
        <v>0</v>
      </c>
      <c r="Z18" s="3901" t="n">
        <f t="array" ref="Z18">$C18*Z48</f>
        <v>0</v>
      </c>
      <c r="AA18" s="3901" t="n"/>
      <c r="AB18" s="4090" t="n"/>
      <c r="AC18" s="4090" t="n"/>
    </row>
    <row r="19" s="3154" customFormat="1" ht="12.75" customHeight="1">
      <c r="A19" s="50" t="n"/>
      <c r="B19" s="2513" t="inlineStr">
        <is>
          <t xml:space="preserve">Financing Fees (ex Interest)</t>
        </is>
      </c>
      <c r="C19" s="4179" t="n">
        <f t="array" ref="C19">'Cost Detail'!C189</f>
        <v>313000</v>
      </c>
      <c r="D19" s="3901" t="n"/>
      <c r="E19" s="3901" t="n">
        <f t="array" ref="E19">$C19*E49</f>
        <v>62600</v>
      </c>
      <c r="F19" s="3901" t="n">
        <f t="array" ref="F19">$C19*F49</f>
        <v>62600</v>
      </c>
      <c r="G19" s="3901" t="n">
        <f t="array" ref="G19">$C19*G49</f>
        <v>62600</v>
      </c>
      <c r="H19" s="3901" t="n">
        <f t="array" ref="H19">$C19*H49</f>
        <v>62600</v>
      </c>
      <c r="I19" s="3901" t="n">
        <f t="array" ref="I19">$C19*I49</f>
        <v>62600</v>
      </c>
      <c r="J19" s="3901" t="n">
        <f t="array" ref="J19">$C19*J49</f>
        <v>0</v>
      </c>
      <c r="K19" s="4180" t="n">
        <f t="array" ref="K19">$C19*K49</f>
        <v>0</v>
      </c>
      <c r="L19" s="4174" t="n">
        <f t="array" ref="L19">$C19*L49</f>
        <v>0</v>
      </c>
      <c r="M19" s="4174" t="n">
        <f t="array" ref="M19">$C19*M49</f>
        <v>0</v>
      </c>
      <c r="N19" s="4174" t="n">
        <f t="array" ref="N19">$C19*N49</f>
        <v>0</v>
      </c>
      <c r="O19" s="4174" t="n">
        <f t="array" ref="O19">$C19*O49</f>
        <v>0</v>
      </c>
      <c r="P19" s="4174" t="n">
        <f t="array" ref="P19">$C19*P49</f>
        <v>0</v>
      </c>
      <c r="Q19" s="4174" t="n">
        <f t="array" ref="Q19">$C19*Q49</f>
        <v>0</v>
      </c>
      <c r="R19" s="4174" t="n">
        <f t="array" ref="R19">$C19*R49</f>
        <v>0</v>
      </c>
      <c r="S19" s="4174" t="n">
        <f t="array" ref="S19">$C19*S49</f>
        <v>0</v>
      </c>
      <c r="T19" s="4181" t="n">
        <f t="array" ref="T19">$C19*T49</f>
        <v>0</v>
      </c>
      <c r="U19" s="3901" t="n">
        <f t="array" ref="U19">$C19*U49</f>
        <v>0</v>
      </c>
      <c r="V19" s="3901" t="n">
        <f t="array" ref="V19">$C19*V49</f>
        <v>0</v>
      </c>
      <c r="W19" s="3901" t="n">
        <f t="array" ref="W19">$C19*W49</f>
        <v>0</v>
      </c>
      <c r="X19" s="3901" t="n">
        <f t="array" ref="X19">$C19*X49</f>
        <v>0</v>
      </c>
      <c r="Y19" s="3901" t="n">
        <f t="array" ref="Y19">$C19*Y49</f>
        <v>0</v>
      </c>
      <c r="Z19" s="3901" t="n">
        <f t="array" ref="Z19">$C19*Z49</f>
        <v>0</v>
      </c>
      <c r="AA19" s="3901" t="n"/>
      <c r="AB19" s="4090" t="n"/>
      <c r="AC19" s="4090" t="n"/>
    </row>
    <row r="20" s="3154" customFormat="1" ht="12.75" customHeight="1">
      <c r="A20" s="50" t="n"/>
      <c r="B20" s="2513" t="inlineStr">
        <is>
          <t xml:space="preserve">Personal Property</t>
        </is>
      </c>
      <c r="C20" s="3901" t="n">
        <f t="array" ref="C20">H6</f>
        <v>280620.258975</v>
      </c>
      <c r="D20" s="3901" t="n"/>
      <c r="E20" s="3901" t="e">
        <f t="array" ref="E20">$C20*E50</f>
      </c>
      <c r="F20" s="3901" t="e">
        <f t="array" ref="F20">$C20*F50</f>
      </c>
      <c r="G20" s="3901" t="e">
        <f t="array" ref="G20">$C20*G50</f>
      </c>
      <c r="H20" s="3901" t="e">
        <f t="array" ref="H20">$C20*H50</f>
      </c>
      <c r="I20" s="3901" t="e">
        <f t="array" ref="I20">$C20*I50</f>
      </c>
      <c r="J20" s="3901" t="e">
        <f t="array" ref="J20">$C20*J50</f>
      </c>
      <c r="K20" s="4180" t="e">
        <f t="array" ref="K20">$C20*K50</f>
      </c>
      <c r="L20" s="4174" t="e">
        <f t="array" ref="L20">$C20*L50</f>
      </c>
      <c r="M20" s="4174" t="e">
        <f t="array" ref="M20">$C20*M50</f>
      </c>
      <c r="N20" s="4174" t="e">
        <f t="array" ref="N20">$C20*N50</f>
      </c>
      <c r="O20" s="4174" t="e">
        <f t="array" ref="O20">$C20*O50</f>
      </c>
      <c r="P20" s="4174" t="e">
        <f t="array" ref="P20">$C20*P50</f>
      </c>
      <c r="Q20" s="4174" t="e">
        <f t="array" ref="Q20">$C20*Q50</f>
      </c>
      <c r="R20" s="4174" t="e">
        <f t="array" ref="R20">$C20*R50</f>
      </c>
      <c r="S20" s="4174" t="e">
        <f t="array" ref="S20">$C20*S50</f>
      </c>
      <c r="T20" s="4181" t="e">
        <f t="array" ref="T20">$C20*T50</f>
      </c>
      <c r="U20" s="3901" t="e">
        <f t="array" ref="U20">$C20*U50</f>
      </c>
      <c r="V20" s="3901" t="e">
        <f t="array" ref="V20">$C20*V50</f>
      </c>
      <c r="W20" s="3901" t="e">
        <f t="array" ref="W20">$C20*W50</f>
      </c>
      <c r="X20" s="3901" t="e">
        <f t="array" ref="X20">$C20*X50</f>
      </c>
      <c r="Y20" s="3901" t="e">
        <f t="array" ref="Y20">$C20*Y50</f>
      </c>
      <c r="Z20" s="3901" t="e">
        <f t="array" ref="Z20">$C20*Z50</f>
      </c>
      <c r="AA20" s="3901" t="n"/>
      <c r="AB20" s="4090" t="n"/>
      <c r="AC20" s="4090" t="n"/>
    </row>
    <row r="21" s="3154" customFormat="1" ht="12.75" customHeight="1">
      <c r="A21" s="50" t="n"/>
      <c r="B21" s="2537" t="str">
        <f t="array" ref="B21">F7</f>
        <v>Land Improvements</v>
      </c>
      <c r="C21" s="3901" t="n">
        <f t="array" ref="C21">H7</f>
        <v>250000</v>
      </c>
      <c r="D21" s="3901" t="n">
        <f t="array" ref="D21">$C$21*D51</f>
        <v>0</v>
      </c>
      <c r="E21" s="3901" t="e">
        <f t="array" ref="E21">$C21*E51</f>
      </c>
      <c r="F21" s="3901" t="e">
        <f t="array" ref="F21">$C21*F51</f>
      </c>
      <c r="G21" s="3901" t="e">
        <f t="array" ref="G21">$C21*G51</f>
      </c>
      <c r="H21" s="3901" t="e">
        <f t="array" ref="H21">$C21*H51</f>
      </c>
      <c r="I21" s="3901" t="e">
        <f t="array" ref="I21">$C21*I51</f>
      </c>
      <c r="J21" s="3901" t="e">
        <f t="array" ref="J21">$C21*J51</f>
      </c>
      <c r="K21" s="3901" t="e">
        <f t="array" ref="K21">$C21*K51</f>
      </c>
      <c r="L21" s="4177" t="e">
        <f t="array" ref="L21">$C21*L51</f>
      </c>
      <c r="M21" s="4177" t="e">
        <f t="array" ref="M21">$C21*M51</f>
      </c>
      <c r="N21" s="4177" t="e">
        <f t="array" ref="N21">$C21*N51</f>
      </c>
      <c r="O21" s="4177" t="e">
        <f t="array" ref="O21">$C21*O51</f>
      </c>
      <c r="P21" s="4177" t="e">
        <f t="array" ref="P21">$C21*P51</f>
      </c>
      <c r="Q21" s="4177" t="e">
        <f t="array" ref="Q21">$C21*Q51</f>
      </c>
      <c r="R21" s="4177" t="e">
        <f t="array" ref="R21">$C21*R51</f>
      </c>
      <c r="S21" s="4177" t="e">
        <f t="array" ref="S21">$C21*S51</f>
      </c>
      <c r="T21" s="3901" t="e">
        <f t="array" ref="T21">$C21*T51</f>
      </c>
      <c r="U21" s="3901" t="e">
        <f t="array" ref="U21">$C21*U51</f>
      </c>
      <c r="V21" s="3901" t="e">
        <f t="array" ref="V21">$C21*V51</f>
      </c>
      <c r="W21" s="3901" t="e">
        <f t="array" ref="W21">$C21*W51</f>
      </c>
      <c r="X21" s="3901" t="e">
        <f t="array" ref="X21">$C21*X51</f>
      </c>
      <c r="Y21" s="3901" t="e">
        <f t="array" ref="Y21">$C21*Y51</f>
      </c>
      <c r="Z21" s="3901" t="e">
        <f t="array" ref="Z21">$C21*Z51</f>
      </c>
      <c r="AA21" s="3901" t="e">
        <f t="array" ref="AA21">SUM(D21:S21)</f>
      </c>
      <c r="AB21" s="4090" t="e">
        <f t="array" ref="AB21">C21-AA21</f>
      </c>
      <c r="AC21" s="4090" t="n"/>
    </row>
    <row r="22" s="3154" customFormat="1" ht="12.75" customHeight="1">
      <c r="A22" s="50" t="n"/>
      <c r="B22" s="2513" t="inlineStr">
        <is>
          <t xml:space="preserve">Building Improvements</t>
        </is>
      </c>
      <c r="C22" s="3901" t="n">
        <f t="array" ref="C22">H8</f>
        <v>4846859.724982346</v>
      </c>
      <c r="D22" s="3901" t="n">
        <f t="array" ref="D22">$C$22*D52</f>
        <v>0</v>
      </c>
      <c r="E22" s="3901" t="n">
        <f t="array" ref="E22">$C22*E52</f>
        <v>124278.45448672683</v>
      </c>
      <c r="F22" s="3901" t="n">
        <f t="array" ref="F22">$C22*F52</f>
        <v>124278.45448672683</v>
      </c>
      <c r="G22" s="4182" t="n">
        <f t="array" ref="G22">$C22*G52</f>
        <v>124278.45448672683</v>
      </c>
      <c r="H22" s="4182" t="n">
        <f t="array" ref="H22">$C22*H52</f>
        <v>124278.45448672683</v>
      </c>
      <c r="I22" s="4182" t="n">
        <f t="array" ref="I22">$C22*I52</f>
        <v>124278.45448672683</v>
      </c>
      <c r="J22" s="4182" t="n">
        <f t="array" ref="J22">$C22*J52</f>
        <v>124278.45448672683</v>
      </c>
      <c r="K22" s="4182" t="n">
        <f t="array" ref="K22">$C22*K52</f>
        <v>124278.45448672683</v>
      </c>
      <c r="L22" s="4182" t="n">
        <f t="array" ref="L22">$C22*L52</f>
        <v>124278.45448672683</v>
      </c>
      <c r="M22" s="4182" t="n">
        <f t="array" ref="M22">$C22*M52</f>
        <v>124278.45448672683</v>
      </c>
      <c r="N22" s="4182" t="n">
        <f t="array" ref="N22">$C22*N52</f>
        <v>124278.45448672683</v>
      </c>
      <c r="O22" s="4182" t="n">
        <f t="array" ref="O22">$C22*O52</f>
        <v>124278.45448672683</v>
      </c>
      <c r="P22" s="4182" t="n">
        <f t="array" ref="P22">$C22*P52</f>
        <v>124278.45448672683</v>
      </c>
      <c r="Q22" s="4182" t="n">
        <f t="array" ref="Q22">$C22*Q52</f>
        <v>124278.45448672683</v>
      </c>
      <c r="R22" s="4182" t="n">
        <f t="array" ref="R22">$C22*R52</f>
        <v>124278.45448672683</v>
      </c>
      <c r="S22" s="4182" t="n">
        <f t="array" ref="S22">$C22*S52</f>
        <v>124278.45448672683</v>
      </c>
      <c r="T22" s="3901" t="n">
        <f t="array" ref="T22">$C22*T52</f>
        <v>124278.45448672683</v>
      </c>
      <c r="U22" s="3901" t="n">
        <f t="array" ref="U22">$C22*U52</f>
        <v>124278.45448672683</v>
      </c>
      <c r="V22" s="3901" t="n">
        <f t="array" ref="V22">$C22*V52</f>
        <v>124278.45448672683</v>
      </c>
      <c r="W22" s="3901" t="n">
        <f t="array" ref="W22">$C22*W52</f>
        <v>124278.45448672683</v>
      </c>
      <c r="X22" s="3901" t="n">
        <f t="array" ref="X22">$C22*X52</f>
        <v>124278.45448672683</v>
      </c>
      <c r="Y22" s="3901" t="n">
        <f t="array" ref="Y22">$C22*Y52</f>
        <v>124278.45448672683</v>
      </c>
      <c r="Z22" s="3901" t="n">
        <f t="array" ref="Z22">$C22*Z52</f>
        <v>124278.45448672683</v>
      </c>
      <c r="AA22" s="3901" t="n">
        <f t="array" ref="AA22">SUM(D22:S22)</f>
        <v>1864176.817300902</v>
      </c>
      <c r="AB22" s="4090" t="n">
        <f t="array" ref="AB22">C22-AA22</f>
        <v>2982682.9076814447</v>
      </c>
      <c r="AC22" s="4090" t="n"/>
    </row>
    <row r="23" s="3154" customFormat="1" ht="12.75" customHeight="1">
      <c r="A23" s="50" t="n"/>
      <c r="B23" s="2513" t="inlineStr">
        <is>
          <t xml:space="preserve">Other non-depreciated</t>
        </is>
      </c>
      <c r="C23" s="4183" t="n">
        <f t="array" ref="C23">'Cost Detail'!C190</f>
        <v>1240400</v>
      </c>
      <c r="D23" s="4080" t="n"/>
      <c r="E23" s="4080" t="n"/>
      <c r="F23" s="4184" t="n"/>
      <c r="G23" s="4185" t="n"/>
      <c r="H23" s="4185" t="n"/>
      <c r="I23" s="4185" t="n"/>
      <c r="J23" s="4185" t="n"/>
      <c r="K23" s="4185" t="n"/>
      <c r="L23" s="4185" t="n"/>
      <c r="M23" s="4185" t="n"/>
      <c r="N23" s="4185" t="n"/>
      <c r="O23" s="4185" t="n"/>
      <c r="P23" s="4185" t="n"/>
      <c r="Q23" s="4185" t="n"/>
      <c r="R23" s="4185" t="n"/>
      <c r="S23" s="4185" t="n"/>
      <c r="T23" s="4186" t="n"/>
      <c r="U23" s="4080" t="n"/>
      <c r="V23" s="4080" t="n"/>
      <c r="W23" s="4080" t="n"/>
      <c r="X23" s="4080" t="n"/>
      <c r="Y23" s="4080" t="n"/>
      <c r="Z23" s="4080" t="n"/>
      <c r="AA23" s="4080" t="n"/>
      <c r="AB23" s="4090" t="n"/>
      <c r="AC23" s="4090" t="n"/>
    </row>
    <row r="24" s="3154" customFormat="1" ht="13.5" customHeight="1">
      <c r="A24" s="50" t="n"/>
      <c r="B24" s="113" t="inlineStr">
        <is>
          <t xml:space="preserve">Yearly Depreciation</t>
        </is>
      </c>
      <c r="C24" s="4187" t="n">
        <f t="array" ref="C24">SUM(C14:C23)</f>
        <v>7218515.749406721</v>
      </c>
      <c r="D24" s="4187" t="n">
        <f t="array" ref="D24">SUM(D14:D23)</f>
        <v>0</v>
      </c>
      <c r="E24" s="4187" t="e">
        <f t="array" ref="E24">SUM(E14:E23)</f>
      </c>
      <c r="F24" s="4187" t="e">
        <f t="array" ref="F24">SUM(F14:F23)</f>
      </c>
      <c r="G24" s="4187" t="e">
        <f t="array" ref="G24">SUM(G14:G23)</f>
      </c>
      <c r="H24" s="4187" t="e">
        <f t="array" ref="H24">SUM(H14:H23)</f>
      </c>
      <c r="I24" s="4187" t="e">
        <f t="array" ref="I24">SUM(I14:I23)</f>
      </c>
      <c r="J24" s="4187" t="e">
        <f t="array" ref="J24">SUM(J14:J23)</f>
      </c>
      <c r="K24" s="4187" t="e">
        <f t="array" ref="K24">SUM(K14:K23)</f>
      </c>
      <c r="L24" s="4187" t="e">
        <f t="array" ref="L24">SUM(L14:L23)</f>
      </c>
      <c r="M24" s="4187" t="e">
        <f t="array" ref="M24">SUM(M14:M23)</f>
      </c>
      <c r="N24" s="4187" t="e">
        <f t="array" ref="N24">SUM(N14:N23)</f>
      </c>
      <c r="O24" s="4187" t="e">
        <f t="array" ref="O24">SUM(O14:O23)</f>
      </c>
      <c r="P24" s="4187" t="e">
        <f t="array" ref="P24">SUM(P14:P23)</f>
      </c>
      <c r="Q24" s="4187" t="e">
        <f t="array" ref="Q24">SUM(Q14:Q23)</f>
      </c>
      <c r="R24" s="4187" t="e">
        <f t="array" ref="R24">SUM(R14:R23)</f>
      </c>
      <c r="S24" s="4187" t="e">
        <f t="array" ref="S24">SUM(S14:S23)</f>
      </c>
      <c r="T24" s="4187" t="e">
        <f t="array" ref="T24">SUM(T14:T23)</f>
      </c>
      <c r="U24" s="4187" t="e">
        <f t="array" ref="U24">SUM(U14:U23)</f>
      </c>
      <c r="V24" s="4187" t="e">
        <f t="array" ref="V24">SUM(V14:V23)</f>
      </c>
      <c r="W24" s="4187" t="e">
        <f t="array" ref="W24">SUM(W14:W23)</f>
      </c>
      <c r="X24" s="4187" t="e">
        <f t="array" ref="X24">SUM(X14:X23)</f>
      </c>
      <c r="Y24" s="4187" t="e">
        <f t="array" ref="Y24">SUM(Y14:Y23)</f>
      </c>
      <c r="Z24" s="4187" t="e">
        <f t="array" ref="Z24">SUM(Z14:Z23)</f>
      </c>
      <c r="AA24" s="4187" t="e">
        <f t="array" ref="AA24">SUM(AA14:AA23)</f>
      </c>
      <c r="AB24" s="4090" t="e">
        <f t="array" ref="AB24">C24-AA24</f>
      </c>
      <c r="AC24" s="4090" t="n"/>
    </row>
    <row r="25" s="3154" customFormat="1" ht="13.5" customHeight="1">
      <c r="A25" s="50" t="n"/>
      <c r="B25" s="113" t="inlineStr">
        <is>
          <t xml:space="preserve">Accumulated Depreciation</t>
        </is>
      </c>
      <c r="C25" s="4188" t="n">
        <f t="array" ref="C25">C24-'Cost Detail'!C177</f>
        <v>0</v>
      </c>
      <c r="D25" s="4189" t="n">
        <f t="array" ref="D25">D24</f>
        <v>0</v>
      </c>
      <c r="E25" s="4189" t="e">
        <f t="array" ref="E25">E24+D25</f>
      </c>
      <c r="F25" s="4189" t="e">
        <f t="array" ref="F25">F24+E25</f>
      </c>
      <c r="G25" s="4189" t="e">
        <f t="array" ref="G25">G24+F25</f>
      </c>
      <c r="H25" s="4189" t="e">
        <f t="array" ref="H25">H24+G25</f>
      </c>
      <c r="I25" s="4189" t="e">
        <f t="array" ref="I25">I24+H25</f>
      </c>
      <c r="J25" s="4189" t="e">
        <f t="array" ref="J25">J24+I25</f>
      </c>
      <c r="K25" s="4189" t="e">
        <f t="array" ref="K25">K24+J25</f>
      </c>
      <c r="L25" s="4189" t="e">
        <f t="array" ref="L25">L24+K25</f>
      </c>
      <c r="M25" s="4189" t="e">
        <f t="array" ref="M25">M24+L25</f>
      </c>
      <c r="N25" s="4189" t="e">
        <f t="array" ref="N25">N24+M25</f>
      </c>
      <c r="O25" s="4189" t="e">
        <f t="array" ref="O25">O24+N25</f>
      </c>
      <c r="P25" s="4189" t="e">
        <f t="array" ref="P25">P24+O25</f>
      </c>
      <c r="Q25" s="4189" t="n"/>
      <c r="R25" s="4189" t="n"/>
      <c r="S25" s="4189" t="n"/>
      <c r="T25" s="4189" t="n"/>
      <c r="U25" s="4189" t="n"/>
      <c r="V25" s="4189" t="n"/>
      <c r="W25" s="4189" t="n"/>
      <c r="X25" s="4189" t="n"/>
      <c r="Y25" s="4189" t="n"/>
      <c r="Z25" s="4189" t="n"/>
      <c r="AA25" s="4189" t="n"/>
      <c r="AB25" s="4090" t="n"/>
      <c r="AC25" s="4090" t="n"/>
    </row>
    <row r="26" s="3154" customFormat="1" ht="12.75" customHeight="1">
      <c r="A26" s="50" t="n"/>
      <c r="B26" s="50" t="n"/>
      <c r="C26" s="4163" t="n"/>
      <c r="D26" s="4190" t="n"/>
      <c r="E26" s="2547" t="n"/>
      <c r="F26" s="2547" t="n"/>
      <c r="G26" s="2547" t="n"/>
      <c r="H26" s="2547" t="n"/>
      <c r="I26" s="2547" t="n"/>
      <c r="J26" s="2547" t="n"/>
      <c r="K26" s="2547" t="n"/>
      <c r="L26" s="2547" t="n"/>
      <c r="M26" s="2547" t="n"/>
      <c r="N26" s="2547" t="n"/>
      <c r="O26" s="2547" t="n"/>
      <c r="P26" s="2547" t="n"/>
      <c r="Q26" s="2547" t="n"/>
      <c r="R26" s="2547" t="n"/>
      <c r="S26" s="2547" t="n"/>
      <c r="T26" s="50" t="n"/>
      <c r="U26" s="50" t="n"/>
      <c r="V26" s="50" t="n"/>
      <c r="W26" s="50" t="n"/>
      <c r="X26" s="50" t="n"/>
      <c r="Y26" s="50" t="n"/>
      <c r="Z26" s="50" t="n"/>
      <c r="AA26" s="50" t="n"/>
      <c r="AB26" s="50" t="n"/>
      <c r="AC26" s="50" t="n"/>
    </row>
    <row r="27" s="3154" customFormat="1" ht="12.75" customHeight="1">
      <c r="A27" s="50" t="n"/>
      <c r="B27" s="2513" t="inlineStr">
        <is>
          <t xml:space="preserve">Replacement Reserve Add-In</t>
        </is>
      </c>
      <c r="C27" s="2548" t="n"/>
      <c r="D27" s="4191" t="n">
        <v>0</v>
      </c>
      <c r="E27" s="4191" t="n">
        <v>0</v>
      </c>
      <c r="F27" s="4191" t="n">
        <v>0</v>
      </c>
      <c r="G27" s="4191" t="n">
        <v>0</v>
      </c>
      <c r="H27" s="4191" t="n">
        <v>0</v>
      </c>
      <c r="I27" s="4191" t="n">
        <v>0</v>
      </c>
      <c r="J27" s="4191" t="n">
        <v>0</v>
      </c>
      <c r="K27" s="4191" t="n">
        <v>0</v>
      </c>
      <c r="L27" s="4191" t="n">
        <v>0</v>
      </c>
      <c r="M27" s="4191" t="n">
        <v>0</v>
      </c>
      <c r="N27" s="4191" t="n">
        <v>0</v>
      </c>
      <c r="O27" s="4191" t="n">
        <v>0</v>
      </c>
      <c r="P27" s="4191" t="n">
        <v>0</v>
      </c>
      <c r="Q27" s="4191" t="n">
        <v>0</v>
      </c>
      <c r="R27" s="4191" t="n">
        <v>0</v>
      </c>
      <c r="S27" s="4191" t="n">
        <v>0</v>
      </c>
      <c r="T27" s="4192" t="n">
        <v>0</v>
      </c>
      <c r="U27" s="4090" t="n">
        <v>0</v>
      </c>
      <c r="V27" s="4090" t="n">
        <v>0</v>
      </c>
      <c r="W27" s="4090" t="n">
        <v>0</v>
      </c>
      <c r="X27" s="4090" t="n">
        <v>0</v>
      </c>
      <c r="Y27" s="4090" t="n">
        <v>0</v>
      </c>
      <c r="Z27" s="4090" t="n">
        <v>0</v>
      </c>
      <c r="AA27" s="50" t="n"/>
      <c r="AB27" s="50" t="n"/>
      <c r="AC27" s="50" t="n"/>
    </row>
    <row r="28" s="3154" customFormat="1" ht="12.75" customHeight="1">
      <c r="A28" s="50" t="n"/>
      <c r="B28" s="50" t="n"/>
      <c r="C28" s="50" t="n"/>
      <c r="D28" s="2551" t="n"/>
      <c r="E28" s="2551" t="n"/>
      <c r="F28" s="2551" t="n"/>
      <c r="G28" s="2551" t="n"/>
      <c r="H28" s="2551" t="n"/>
      <c r="I28" s="2551" t="n"/>
      <c r="J28" s="2551" t="n"/>
      <c r="K28" s="2551" t="n"/>
      <c r="L28" s="2551" t="n"/>
      <c r="M28" s="2551" t="n"/>
      <c r="N28" s="2551" t="n"/>
      <c r="O28" s="2551" t="n"/>
      <c r="P28" s="2551" t="n"/>
      <c r="Q28" s="2551" t="n"/>
      <c r="R28" s="2551" t="n"/>
      <c r="S28" s="2551" t="n"/>
      <c r="T28" s="50" t="n"/>
      <c r="U28" s="50" t="n"/>
      <c r="V28" s="50" t="n"/>
      <c r="W28" s="50" t="n"/>
      <c r="X28" s="50" t="n"/>
      <c r="Y28" s="50" t="n"/>
      <c r="Z28" s="50" t="n"/>
      <c r="AA28" s="50" t="n"/>
      <c r="AB28" s="50" t="n"/>
      <c r="AC28" s="50" t="n"/>
    </row>
    <row r="29" s="3154" customFormat="1" ht="12.75" customHeight="1">
      <c r="A29" s="50" t="n"/>
      <c r="B29" s="2331" t="inlineStr">
        <is>
          <t xml:space="preserve">Fixed Assets - Net Book Value</t>
        </is>
      </c>
      <c r="C29" s="2552" t="inlineStr">
        <is>
          <t xml:space="preserve">Total</t>
        </is>
      </c>
      <c r="D29" s="2553" t="n">
        <f t="array" ref="D29">D12</f>
        <v>2026</v>
      </c>
      <c r="E29" s="2553" t="n">
        <f t="array" ref="E29">E12</f>
        <v>2027</v>
      </c>
      <c r="F29" s="2553" t="n">
        <f t="array" ref="F29">F12</f>
        <v>2028</v>
      </c>
      <c r="G29" s="2553" t="n">
        <f t="array" ref="G29">G12</f>
        <v>2029</v>
      </c>
      <c r="H29" s="2553" t="n">
        <f t="array" ref="H29">H12</f>
        <v>2030</v>
      </c>
      <c r="I29" s="2553" t="n">
        <f t="array" ref="I29">I12</f>
        <v>2031</v>
      </c>
      <c r="J29" s="2553" t="n">
        <f t="array" ref="J29">J12</f>
        <v>2032</v>
      </c>
      <c r="K29" s="2553" t="n">
        <f t="array" ref="K29">K12</f>
        <v>2033</v>
      </c>
      <c r="L29" s="2553" t="n">
        <f t="array" ref="L29">L12</f>
        <v>2034</v>
      </c>
      <c r="M29" s="2553" t="n">
        <f t="array" ref="M29">M12</f>
        <v>2035</v>
      </c>
      <c r="N29" s="2553" t="n">
        <f t="array" ref="N29">N12</f>
        <v>2036</v>
      </c>
      <c r="O29" s="2553" t="n">
        <f t="array" ref="O29">O12</f>
        <v>2037</v>
      </c>
      <c r="P29" s="2553" t="n">
        <f t="array" ref="P29">P12</f>
        <v>2038</v>
      </c>
      <c r="Q29" s="2553" t="n">
        <f t="array" ref="Q29">Q12</f>
        <v>2039</v>
      </c>
      <c r="R29" s="2553" t="n">
        <f t="array" ref="R29">R12</f>
        <v>2040</v>
      </c>
      <c r="S29" s="2553" t="n">
        <f t="array" ref="S29">S12</f>
        <v>2041</v>
      </c>
      <c r="T29" s="2553" t="n">
        <f t="array" ref="T29">T12</f>
        <v>2042</v>
      </c>
      <c r="U29" s="2553" t="n">
        <f t="array" ref="U29">U12</f>
        <v>2043</v>
      </c>
      <c r="V29" s="2553" t="n">
        <f t="array" ref="V29">V12</f>
        <v>2044</v>
      </c>
      <c r="W29" s="2553" t="n">
        <f t="array" ref="W29">W12</f>
        <v>2045</v>
      </c>
      <c r="X29" s="2553" t="n">
        <f t="array" ref="X29">X12</f>
        <v>2046</v>
      </c>
      <c r="Y29" s="2553" t="n">
        <f t="array" ref="Y29">Y12</f>
        <v>2047</v>
      </c>
      <c r="Z29" s="2553" t="n">
        <f t="array" ref="Z29">Z12</f>
        <v>2048</v>
      </c>
      <c r="AA29" s="4166" t="n"/>
      <c r="AB29" s="50" t="n"/>
      <c r="AC29" s="50" t="n"/>
    </row>
    <row r="30" s="3154" customFormat="1" ht="12.75" customHeight="1">
      <c r="A30" s="50" t="n"/>
      <c r="B30" s="2554" t="str">
        <f t="array" ref="B30">B14</f>
        <v>Land/Non Deprec Bldg</v>
      </c>
      <c r="C30" s="4082" t="n">
        <f t="array" ref="C30">C14</f>
        <v>0</v>
      </c>
      <c r="D30" s="4082" t="n">
        <f t="array" ref="D30">C30</f>
        <v>0</v>
      </c>
      <c r="E30" s="4082" t="n">
        <f t="array" ref="E30">D30</f>
        <v>0</v>
      </c>
      <c r="F30" s="4082" t="n">
        <f t="array" ref="F30">E30</f>
        <v>0</v>
      </c>
      <c r="G30" s="4082" t="n">
        <f t="array" ref="G30">F30</f>
        <v>0</v>
      </c>
      <c r="H30" s="4082" t="n">
        <f t="array" ref="H30">G30</f>
        <v>0</v>
      </c>
      <c r="I30" s="4082" t="n">
        <f t="array" ref="I30">H30</f>
        <v>0</v>
      </c>
      <c r="J30" s="4082" t="n">
        <f t="array" ref="J30">I30</f>
        <v>0</v>
      </c>
      <c r="K30" s="4082" t="n">
        <f t="array" ref="K30">J30</f>
        <v>0</v>
      </c>
      <c r="L30" s="4082" t="n">
        <f t="array" ref="L30">K30</f>
        <v>0</v>
      </c>
      <c r="M30" s="4082" t="n">
        <f t="array" ref="M30">L30</f>
        <v>0</v>
      </c>
      <c r="N30" s="4082" t="n">
        <f t="array" ref="N30">M30</f>
        <v>0</v>
      </c>
      <c r="O30" s="4082" t="n">
        <f t="array" ref="O30">N30</f>
        <v>0</v>
      </c>
      <c r="P30" s="4082" t="n">
        <f t="array" ref="P30">O30</f>
        <v>0</v>
      </c>
      <c r="Q30" s="4082" t="n">
        <f t="array" ref="Q30">P30</f>
        <v>0</v>
      </c>
      <c r="R30" s="4082" t="n">
        <f t="array" ref="R30">Q30</f>
        <v>0</v>
      </c>
      <c r="S30" s="4082" t="n">
        <f t="array" ref="S30">R30</f>
        <v>0</v>
      </c>
      <c r="T30" s="4082" t="n">
        <f t="array" ref="T30">S30</f>
        <v>0</v>
      </c>
      <c r="U30" s="4082" t="n">
        <f t="array" ref="U30">T30</f>
        <v>0</v>
      </c>
      <c r="V30" s="4082" t="n">
        <f t="array" ref="V30">U30</f>
        <v>0</v>
      </c>
      <c r="W30" s="4082" t="n">
        <f t="array" ref="W30">V30</f>
        <v>0</v>
      </c>
      <c r="X30" s="4082" t="n">
        <f t="array" ref="X30">W30</f>
        <v>0</v>
      </c>
      <c r="Y30" s="4082" t="n">
        <f t="array" ref="Y30">X30</f>
        <v>0</v>
      </c>
      <c r="Z30" s="4082" t="n">
        <f t="array" ref="Z30">Y30</f>
        <v>0</v>
      </c>
      <c r="AA30" s="50" t="n"/>
      <c r="AB30" s="50" t="n"/>
      <c r="AC30" s="50" t="n"/>
    </row>
    <row r="31" s="3154" customFormat="1" ht="12.75" customHeight="1">
      <c r="A31" s="50" t="n"/>
      <c r="B31" s="2537" t="str">
        <f t="array" ref="B31">B15</f>
        <v>Building Acquisition</v>
      </c>
      <c r="C31" s="3901" t="n">
        <f t="array" ref="C31">C15</f>
        <v>0</v>
      </c>
      <c r="D31" s="3901" t="n">
        <f t="array" ref="D31">C31</f>
        <v>0</v>
      </c>
      <c r="E31" s="3901" t="n">
        <f t="array" ref="E31">D31</f>
        <v>0</v>
      </c>
      <c r="F31" s="3901" t="n">
        <f t="array" ref="F31">E31</f>
        <v>0</v>
      </c>
      <c r="G31" s="3901" t="n">
        <f t="array" ref="G31">F31</f>
        <v>0</v>
      </c>
      <c r="H31" s="3901" t="n">
        <f t="array" ref="H31">G31</f>
        <v>0</v>
      </c>
      <c r="I31" s="3901" t="n">
        <f t="array" ref="I31">H31</f>
        <v>0</v>
      </c>
      <c r="J31" s="3901" t="n">
        <f t="array" ref="J31">I31</f>
        <v>0</v>
      </c>
      <c r="K31" s="3901" t="n">
        <f t="array" ref="K31">J31</f>
        <v>0</v>
      </c>
      <c r="L31" s="3901" t="n">
        <f t="array" ref="L31">K31</f>
        <v>0</v>
      </c>
      <c r="M31" s="3901" t="n">
        <f t="array" ref="M31">L31</f>
        <v>0</v>
      </c>
      <c r="N31" s="3901" t="n">
        <f t="array" ref="N31">M31</f>
        <v>0</v>
      </c>
      <c r="O31" s="3901" t="n">
        <f t="array" ref="O31">N31</f>
        <v>0</v>
      </c>
      <c r="P31" s="3901" t="n">
        <f t="array" ref="P31">O31</f>
        <v>0</v>
      </c>
      <c r="Q31" s="3901" t="n">
        <f t="array" ref="Q31">P31</f>
        <v>0</v>
      </c>
      <c r="R31" s="3901" t="n">
        <f t="array" ref="R31">Q31</f>
        <v>0</v>
      </c>
      <c r="S31" s="3901" t="n">
        <f t="array" ref="S31">R31</f>
        <v>0</v>
      </c>
      <c r="T31" s="3901" t="n"/>
      <c r="U31" s="3901" t="n"/>
      <c r="V31" s="3901" t="n"/>
      <c r="W31" s="3901" t="n"/>
      <c r="X31" s="3901" t="n"/>
      <c r="Y31" s="3901" t="n"/>
      <c r="Z31" s="3901" t="n"/>
      <c r="AA31" s="50" t="n"/>
      <c r="AB31" s="50" t="n"/>
      <c r="AC31" s="50" t="n"/>
    </row>
    <row r="32" s="3154" customFormat="1" ht="12.75" customHeight="1">
      <c r="A32" s="50" t="n"/>
      <c r="B32" s="2537" t="str">
        <f t="array" ref="B32">B16</f>
        <v>FF&amp;E</v>
      </c>
      <c r="C32" s="3901" t="n">
        <f t="array" ref="C32">C16</f>
        <v>287635.76544937503</v>
      </c>
      <c r="D32" s="3901" t="n">
        <f t="array" ref="D32">C32</f>
        <v>287635.76544937503</v>
      </c>
      <c r="E32" s="3901" t="n">
        <f t="array" ref="E32">D32</f>
        <v>287635.76544937503</v>
      </c>
      <c r="F32" s="3901" t="n">
        <f t="array" ref="F32">E32</f>
        <v>287635.76544937503</v>
      </c>
      <c r="G32" s="3901" t="n">
        <f t="array" ref="G32">F32</f>
        <v>287635.76544937503</v>
      </c>
      <c r="H32" s="3901" t="n">
        <f t="array" ref="H32">G32</f>
        <v>287635.76544937503</v>
      </c>
      <c r="I32" s="3901" t="n">
        <f t="array" ref="I32">H32</f>
        <v>287635.76544937503</v>
      </c>
      <c r="J32" s="3901" t="n">
        <f t="array" ref="J32">I32</f>
        <v>287635.76544937503</v>
      </c>
      <c r="K32" s="3901" t="n">
        <f t="array" ref="K32">J32</f>
        <v>287635.76544937503</v>
      </c>
      <c r="L32" s="3901" t="n">
        <f t="array" ref="L32">K32</f>
        <v>287635.76544937503</v>
      </c>
      <c r="M32" s="3901" t="n">
        <f t="array" ref="M32">L32</f>
        <v>287635.76544937503</v>
      </c>
      <c r="N32" s="3901" t="n">
        <f t="array" ref="N32">M32</f>
        <v>287635.76544937503</v>
      </c>
      <c r="O32" s="3901" t="n">
        <f t="array" ref="O32">N32</f>
        <v>287635.76544937503</v>
      </c>
      <c r="P32" s="3901" t="n">
        <f t="array" ref="P32">O32</f>
        <v>287635.76544937503</v>
      </c>
      <c r="Q32" s="3901" t="n">
        <f t="array" ref="Q32">P32</f>
        <v>287635.76544937503</v>
      </c>
      <c r="R32" s="3901" t="n">
        <f t="array" ref="R32">Q32</f>
        <v>287635.76544937503</v>
      </c>
      <c r="S32" s="3901" t="n">
        <f t="array" ref="S32">R32</f>
        <v>287635.76544937503</v>
      </c>
      <c r="T32" s="3901" t="n">
        <f t="array" ref="T32">S32</f>
        <v>287635.76544937503</v>
      </c>
      <c r="U32" s="3901" t="n">
        <f t="array" ref="U32">T32</f>
        <v>287635.76544937503</v>
      </c>
      <c r="V32" s="3901" t="n">
        <f t="array" ref="V32">U32</f>
        <v>287635.76544937503</v>
      </c>
      <c r="W32" s="3901" t="n">
        <f t="array" ref="W32">V32</f>
        <v>287635.76544937503</v>
      </c>
      <c r="X32" s="3901" t="n">
        <f t="array" ref="X32">W32</f>
        <v>287635.76544937503</v>
      </c>
      <c r="Y32" s="3901" t="n">
        <f t="array" ref="Y32">X32</f>
        <v>287635.76544937503</v>
      </c>
      <c r="Z32" s="3901" t="n">
        <f t="array" ref="Z32">Y32</f>
        <v>287635.76544937503</v>
      </c>
      <c r="AA32" s="50" t="n"/>
      <c r="AB32" s="50" t="n"/>
      <c r="AC32" s="50" t="n"/>
    </row>
    <row r="33" s="3154" customFormat="1" ht="12.75" customHeight="1">
      <c r="A33" s="50" t="n"/>
      <c r="B33" s="2513" t="inlineStr">
        <is>
          <t xml:space="preserve">OS&amp;E</t>
        </is>
      </c>
      <c r="C33" s="3901" t="n">
        <f t="array" ref="C33">C17</f>
        <v>0</v>
      </c>
      <c r="D33" s="3901" t="n">
        <f t="array" ref="D33">C33</f>
        <v>0</v>
      </c>
      <c r="E33" s="3901" t="n">
        <f t="array" ref="E33">D33</f>
        <v>0</v>
      </c>
      <c r="F33" s="3901" t="n">
        <f t="array" ref="F33">E33</f>
        <v>0</v>
      </c>
      <c r="G33" s="3901" t="n">
        <f t="array" ref="G33">F33</f>
        <v>0</v>
      </c>
      <c r="H33" s="3901" t="n">
        <f t="array" ref="H33">G33</f>
        <v>0</v>
      </c>
      <c r="I33" s="3901" t="n">
        <f t="array" ref="I33">H33</f>
        <v>0</v>
      </c>
      <c r="J33" s="3901" t="n">
        <f t="array" ref="J33">I33</f>
        <v>0</v>
      </c>
      <c r="K33" s="3901" t="n">
        <f t="array" ref="K33">J33</f>
        <v>0</v>
      </c>
      <c r="L33" s="3901" t="n">
        <f t="array" ref="L33">K33</f>
        <v>0</v>
      </c>
      <c r="M33" s="3901" t="n">
        <f t="array" ref="M33">L33</f>
        <v>0</v>
      </c>
      <c r="N33" s="3901" t="n">
        <f t="array" ref="N33">M33</f>
        <v>0</v>
      </c>
      <c r="O33" s="3901" t="n">
        <f t="array" ref="O33">N33</f>
        <v>0</v>
      </c>
      <c r="P33" s="3901" t="n">
        <f t="array" ref="P33">O33</f>
        <v>0</v>
      </c>
      <c r="Q33" s="3901" t="n">
        <f t="array" ref="Q33">P33</f>
        <v>0</v>
      </c>
      <c r="R33" s="3901" t="n">
        <f t="array" ref="R33">Q33</f>
        <v>0</v>
      </c>
      <c r="S33" s="3901" t="n">
        <f t="array" ref="S33">R33</f>
        <v>0</v>
      </c>
      <c r="T33" s="3901" t="n">
        <f t="array" ref="T33">S33</f>
        <v>0</v>
      </c>
      <c r="U33" s="3901" t="n">
        <f t="array" ref="U33">T33</f>
        <v>0</v>
      </c>
      <c r="V33" s="3901" t="n">
        <f t="array" ref="V33">U33</f>
        <v>0</v>
      </c>
      <c r="W33" s="3901" t="n">
        <f t="array" ref="W33">V33</f>
        <v>0</v>
      </c>
      <c r="X33" s="3901" t="n">
        <f t="array" ref="X33">W33</f>
        <v>0</v>
      </c>
      <c r="Y33" s="3901" t="n">
        <f t="array" ref="Y33">X33</f>
        <v>0</v>
      </c>
      <c r="Z33" s="3901" t="n">
        <f t="array" ref="Z33">Y33</f>
        <v>0</v>
      </c>
      <c r="AA33" s="50" t="n"/>
      <c r="AB33" s="50" t="n"/>
      <c r="AC33" s="50" t="n"/>
    </row>
    <row r="34" s="3154" customFormat="1" ht="12.75" customHeight="1">
      <c r="A34" s="50" t="n"/>
      <c r="B34" s="2513" t="inlineStr">
        <is>
          <t xml:space="preserve">Franchise Fees</t>
        </is>
      </c>
      <c r="C34" s="3901" t="n">
        <f t="array" ref="C34">C18</f>
        <v>0</v>
      </c>
      <c r="D34" s="3901" t="n">
        <f t="array" ref="D34">C34</f>
        <v>0</v>
      </c>
      <c r="E34" s="3901" t="n">
        <f t="array" ref="E34">D34</f>
        <v>0</v>
      </c>
      <c r="F34" s="3901" t="n">
        <f t="array" ref="F34">E34</f>
        <v>0</v>
      </c>
      <c r="G34" s="3901" t="n">
        <f t="array" ref="G34">F34</f>
        <v>0</v>
      </c>
      <c r="H34" s="3901" t="n">
        <f t="array" ref="H34">G34</f>
        <v>0</v>
      </c>
      <c r="I34" s="3901" t="n">
        <f t="array" ref="I34">H34</f>
        <v>0</v>
      </c>
      <c r="J34" s="3901" t="n">
        <f t="array" ref="J34">I34</f>
        <v>0</v>
      </c>
      <c r="K34" s="3901" t="n">
        <f t="array" ref="K34">J34</f>
        <v>0</v>
      </c>
      <c r="L34" s="3901" t="n">
        <f t="array" ref="L34">K34</f>
        <v>0</v>
      </c>
      <c r="M34" s="3901" t="n">
        <f t="array" ref="M34">L34</f>
        <v>0</v>
      </c>
      <c r="N34" s="3901" t="n">
        <f t="array" ref="N34">M34</f>
        <v>0</v>
      </c>
      <c r="O34" s="3901" t="n">
        <f t="array" ref="O34">N34</f>
        <v>0</v>
      </c>
      <c r="P34" s="3901" t="n">
        <f t="array" ref="P34">O34</f>
        <v>0</v>
      </c>
      <c r="Q34" s="3901" t="n">
        <f t="array" ref="Q34">P34</f>
        <v>0</v>
      </c>
      <c r="R34" s="3901" t="n">
        <f t="array" ref="R34">Q34</f>
        <v>0</v>
      </c>
      <c r="S34" s="3901" t="n">
        <f t="array" ref="S34">R34</f>
        <v>0</v>
      </c>
      <c r="T34" s="3901" t="n">
        <f t="array" ref="T34">S34</f>
        <v>0</v>
      </c>
      <c r="U34" s="3901" t="n">
        <f t="array" ref="U34">T34</f>
        <v>0</v>
      </c>
      <c r="V34" s="3901" t="n">
        <f t="array" ref="V34">U34</f>
        <v>0</v>
      </c>
      <c r="W34" s="3901" t="n">
        <f t="array" ref="W34">V34</f>
        <v>0</v>
      </c>
      <c r="X34" s="3901" t="n">
        <f t="array" ref="X34">W34</f>
        <v>0</v>
      </c>
      <c r="Y34" s="3901" t="n">
        <f t="array" ref="Y34">X34</f>
        <v>0</v>
      </c>
      <c r="Z34" s="3901" t="n">
        <f t="array" ref="Z34">Y34</f>
        <v>0</v>
      </c>
      <c r="AA34" s="50" t="n"/>
      <c r="AB34" s="50" t="n"/>
      <c r="AC34" s="50" t="n"/>
    </row>
    <row r="35" s="3154" customFormat="1" ht="12.75" customHeight="1">
      <c r="A35" s="50" t="n"/>
      <c r="B35" s="2513" t="inlineStr">
        <is>
          <t xml:space="preserve">Financing Fees (ex Interest)</t>
        </is>
      </c>
      <c r="C35" s="3901" t="n">
        <f t="array" ref="C35">C19</f>
        <v>313000</v>
      </c>
      <c r="D35" s="3901" t="n">
        <f t="array" ref="D35">C35</f>
        <v>313000</v>
      </c>
      <c r="E35" s="3901" t="n">
        <f t="array" ref="E35">D35</f>
        <v>313000</v>
      </c>
      <c r="F35" s="3901" t="n">
        <f t="array" ref="F35">E35</f>
        <v>313000</v>
      </c>
      <c r="G35" s="3901" t="n">
        <f t="array" ref="G35">F35</f>
        <v>313000</v>
      </c>
      <c r="H35" s="3901" t="n">
        <f t="array" ref="H35">G35</f>
        <v>313000</v>
      </c>
      <c r="I35" s="3901" t="n">
        <f t="array" ref="I35">H35</f>
        <v>313000</v>
      </c>
      <c r="J35" s="3901" t="n">
        <f t="array" ref="J35">I35</f>
        <v>313000</v>
      </c>
      <c r="K35" s="3901" t="n">
        <f t="array" ref="K35">J35</f>
        <v>313000</v>
      </c>
      <c r="L35" s="3901" t="n">
        <f t="array" ref="L35">K35</f>
        <v>313000</v>
      </c>
      <c r="M35" s="3901" t="n">
        <f t="array" ref="M35">L35</f>
        <v>313000</v>
      </c>
      <c r="N35" s="3901" t="n">
        <f t="array" ref="N35">M35</f>
        <v>313000</v>
      </c>
      <c r="O35" s="3901" t="n">
        <f t="array" ref="O35">N35</f>
        <v>313000</v>
      </c>
      <c r="P35" s="3901" t="n">
        <f t="array" ref="P35">O35</f>
        <v>313000</v>
      </c>
      <c r="Q35" s="3901" t="n">
        <f t="array" ref="Q35">P35</f>
        <v>313000</v>
      </c>
      <c r="R35" s="3901" t="n">
        <f t="array" ref="R35">Q35</f>
        <v>313000</v>
      </c>
      <c r="S35" s="3901" t="n">
        <f t="array" ref="S35">R35</f>
        <v>313000</v>
      </c>
      <c r="T35" s="3901" t="n">
        <f t="array" ref="T35">S35</f>
        <v>313000</v>
      </c>
      <c r="U35" s="3901" t="n">
        <f t="array" ref="U35">T35</f>
        <v>313000</v>
      </c>
      <c r="V35" s="3901" t="n">
        <f t="array" ref="V35">U35</f>
        <v>313000</v>
      </c>
      <c r="W35" s="3901" t="n">
        <f t="array" ref="W35">V35</f>
        <v>313000</v>
      </c>
      <c r="X35" s="3901" t="n">
        <f t="array" ref="X35">W35</f>
        <v>313000</v>
      </c>
      <c r="Y35" s="3901" t="n">
        <f t="array" ref="Y35">X35</f>
        <v>313000</v>
      </c>
      <c r="Z35" s="3901" t="n">
        <f t="array" ref="Z35">Y35</f>
        <v>313000</v>
      </c>
      <c r="AA35" s="50" t="n"/>
      <c r="AB35" s="50" t="n"/>
      <c r="AC35" s="50" t="n"/>
    </row>
    <row r="36" s="3154" customFormat="1" ht="12.75" customHeight="1">
      <c r="A36" s="50" t="n"/>
      <c r="B36" s="2513" t="inlineStr">
        <is>
          <t xml:space="preserve">Personal Property</t>
        </is>
      </c>
      <c r="C36" s="3901" t="n">
        <f t="array" ref="C36">C20</f>
        <v>280620.258975</v>
      </c>
      <c r="D36" s="3901" t="n">
        <f t="array" ref="D36">C36</f>
        <v>280620.258975</v>
      </c>
      <c r="E36" s="3901" t="n">
        <f t="array" ref="E36">D36</f>
        <v>280620.258975</v>
      </c>
      <c r="F36" s="3901" t="n">
        <f t="array" ref="F36">E36</f>
        <v>280620.258975</v>
      </c>
      <c r="G36" s="3901" t="n">
        <f t="array" ref="G36">F36</f>
        <v>280620.258975</v>
      </c>
      <c r="H36" s="3901" t="n">
        <f t="array" ref="H36">G36</f>
        <v>280620.258975</v>
      </c>
      <c r="I36" s="3901" t="n">
        <f t="array" ref="I36">H36</f>
        <v>280620.258975</v>
      </c>
      <c r="J36" s="3901" t="n">
        <f t="array" ref="J36">I36</f>
        <v>280620.258975</v>
      </c>
      <c r="K36" s="3901" t="n">
        <f t="array" ref="K36">J36</f>
        <v>280620.258975</v>
      </c>
      <c r="L36" s="3901" t="n">
        <f t="array" ref="L36">K36</f>
        <v>280620.258975</v>
      </c>
      <c r="M36" s="3901" t="n">
        <f t="array" ref="M36">L36</f>
        <v>280620.258975</v>
      </c>
      <c r="N36" s="3901" t="n">
        <f t="array" ref="N36">M36</f>
        <v>280620.258975</v>
      </c>
      <c r="O36" s="3901" t="n">
        <f t="array" ref="O36">N36</f>
        <v>280620.258975</v>
      </c>
      <c r="P36" s="3901" t="n">
        <f t="array" ref="P36">O36</f>
        <v>280620.258975</v>
      </c>
      <c r="Q36" s="3901" t="n">
        <f t="array" ref="Q36">P36</f>
        <v>280620.258975</v>
      </c>
      <c r="R36" s="3901" t="n">
        <f t="array" ref="R36">Q36</f>
        <v>280620.258975</v>
      </c>
      <c r="S36" s="3901" t="n">
        <f t="array" ref="S36">R36</f>
        <v>280620.258975</v>
      </c>
      <c r="T36" s="3901" t="n">
        <f t="array" ref="T36">S36</f>
        <v>280620.258975</v>
      </c>
      <c r="U36" s="3901" t="n">
        <f t="array" ref="U36">T36</f>
        <v>280620.258975</v>
      </c>
      <c r="V36" s="3901" t="n">
        <f t="array" ref="V36">U36</f>
        <v>280620.258975</v>
      </c>
      <c r="W36" s="3901" t="n">
        <f t="array" ref="W36">V36</f>
        <v>280620.258975</v>
      </c>
      <c r="X36" s="3901" t="n">
        <f t="array" ref="X36">W36</f>
        <v>280620.258975</v>
      </c>
      <c r="Y36" s="3901" t="n">
        <f t="array" ref="Y36">X36</f>
        <v>280620.258975</v>
      </c>
      <c r="Z36" s="3901" t="n">
        <f t="array" ref="Z36">Y36</f>
        <v>280620.258975</v>
      </c>
      <c r="AA36" s="50" t="n"/>
      <c r="AB36" s="50" t="n"/>
      <c r="AC36" s="50" t="n"/>
    </row>
    <row r="37" s="3154" customFormat="1" ht="12.75" customHeight="1">
      <c r="A37" s="50" t="n"/>
      <c r="B37" s="2537" t="str">
        <f t="array" ref="B37">B21</f>
        <v>Land Improvements</v>
      </c>
      <c r="C37" s="3901" t="n">
        <f t="array" ref="C37">C21</f>
        <v>250000</v>
      </c>
      <c r="D37" s="3901" t="n">
        <f t="array" ref="D37">C37</f>
        <v>250000</v>
      </c>
      <c r="E37" s="3901" t="n">
        <f t="array" ref="E37">D37</f>
        <v>250000</v>
      </c>
      <c r="F37" s="3901" t="n">
        <f t="array" ref="F37">E37</f>
        <v>250000</v>
      </c>
      <c r="G37" s="3901" t="n">
        <f t="array" ref="G37">F37</f>
        <v>250000</v>
      </c>
      <c r="H37" s="3901" t="n">
        <f t="array" ref="H37">G37</f>
        <v>250000</v>
      </c>
      <c r="I37" s="3901" t="n">
        <f t="array" ref="I37">H37</f>
        <v>250000</v>
      </c>
      <c r="J37" s="3901" t="n">
        <f t="array" ref="J37">I37</f>
        <v>250000</v>
      </c>
      <c r="K37" s="3901" t="n">
        <f t="array" ref="K37">J37</f>
        <v>250000</v>
      </c>
      <c r="L37" s="3901" t="n">
        <f t="array" ref="L37">K37</f>
        <v>250000</v>
      </c>
      <c r="M37" s="3901" t="n">
        <f t="array" ref="M37">L37</f>
        <v>250000</v>
      </c>
      <c r="N37" s="3901" t="n">
        <f t="array" ref="N37">M37</f>
        <v>250000</v>
      </c>
      <c r="O37" s="3901" t="n">
        <f t="array" ref="O37">N37</f>
        <v>250000</v>
      </c>
      <c r="P37" s="3901" t="n">
        <f t="array" ref="P37">O37</f>
        <v>250000</v>
      </c>
      <c r="Q37" s="3901" t="n">
        <f t="array" ref="Q37">P37</f>
        <v>250000</v>
      </c>
      <c r="R37" s="3901" t="n">
        <f t="array" ref="R37">Q37</f>
        <v>250000</v>
      </c>
      <c r="S37" s="3901" t="n">
        <f t="array" ref="S37">R37</f>
        <v>250000</v>
      </c>
      <c r="T37" s="3901" t="n">
        <f t="array" ref="T37">S37</f>
        <v>250000</v>
      </c>
      <c r="U37" s="3901" t="n">
        <f t="array" ref="U37">T37</f>
        <v>250000</v>
      </c>
      <c r="V37" s="3901" t="n">
        <f t="array" ref="V37">U37</f>
        <v>250000</v>
      </c>
      <c r="W37" s="3901" t="n">
        <f t="array" ref="W37">V37</f>
        <v>250000</v>
      </c>
      <c r="X37" s="3901" t="n">
        <f t="array" ref="X37">W37</f>
        <v>250000</v>
      </c>
      <c r="Y37" s="3901" t="n">
        <f t="array" ref="Y37">X37</f>
        <v>250000</v>
      </c>
      <c r="Z37" s="3901" t="n">
        <f t="array" ref="Z37">Y37</f>
        <v>250000</v>
      </c>
      <c r="AA37" s="50" t="n"/>
      <c r="AB37" s="50" t="n"/>
      <c r="AC37" s="50" t="n"/>
    </row>
    <row r="38" s="3154" customFormat="1" ht="12.75" customHeight="1">
      <c r="A38" s="50" t="n"/>
      <c r="B38" s="2537" t="str">
        <f t="array" ref="B38">B22</f>
        <v>Building Improvements</v>
      </c>
      <c r="C38" s="3901" t="n">
        <f t="array" ref="C38">C22</f>
        <v>4846859.724982346</v>
      </c>
      <c r="D38" s="3901" t="n">
        <f t="array" ref="D38">C38</f>
        <v>4846859.724982346</v>
      </c>
      <c r="E38" s="3901" t="n">
        <f t="array" ref="E38">D38</f>
        <v>4846859.724982346</v>
      </c>
      <c r="F38" s="3901" t="n">
        <f t="array" ref="F38">E38</f>
        <v>4846859.724982346</v>
      </c>
      <c r="G38" s="3901" t="n">
        <f t="array" ref="G38">F38</f>
        <v>4846859.724982346</v>
      </c>
      <c r="H38" s="3901" t="n">
        <f t="array" ref="H38">G38</f>
        <v>4846859.724982346</v>
      </c>
      <c r="I38" s="3901" t="n">
        <f t="array" ref="I38">H38</f>
        <v>4846859.724982346</v>
      </c>
      <c r="J38" s="3901" t="n">
        <f t="array" ref="J38">I38</f>
        <v>4846859.724982346</v>
      </c>
      <c r="K38" s="3901" t="n">
        <f t="array" ref="K38">J38</f>
        <v>4846859.724982346</v>
      </c>
      <c r="L38" s="3901" t="n">
        <f t="array" ref="L38">K38</f>
        <v>4846859.724982346</v>
      </c>
      <c r="M38" s="3901" t="n">
        <f t="array" ref="M38">L38</f>
        <v>4846859.724982346</v>
      </c>
      <c r="N38" s="3901" t="n">
        <f t="array" ref="N38">M38</f>
        <v>4846859.724982346</v>
      </c>
      <c r="O38" s="3901" t="n">
        <f t="array" ref="O38">N38</f>
        <v>4846859.724982346</v>
      </c>
      <c r="P38" s="3901" t="n">
        <f t="array" ref="P38">O38</f>
        <v>4846859.724982346</v>
      </c>
      <c r="Q38" s="3901" t="n">
        <f t="array" ref="Q38">P38</f>
        <v>4846859.724982346</v>
      </c>
      <c r="R38" s="3901" t="n">
        <f t="array" ref="R38">Q38</f>
        <v>4846859.724982346</v>
      </c>
      <c r="S38" s="3901" t="n">
        <f t="array" ref="S38">R38</f>
        <v>4846859.724982346</v>
      </c>
      <c r="T38" s="3901" t="n">
        <f t="array" ref="T38">S38</f>
        <v>4846859.724982346</v>
      </c>
      <c r="U38" s="3901" t="n">
        <f t="array" ref="U38">T38</f>
        <v>4846859.724982346</v>
      </c>
      <c r="V38" s="3901" t="n">
        <f t="array" ref="V38">U38</f>
        <v>4846859.724982346</v>
      </c>
      <c r="W38" s="3901" t="n">
        <f t="array" ref="W38">V38</f>
        <v>4846859.724982346</v>
      </c>
      <c r="X38" s="3901" t="n">
        <f t="array" ref="X38">W38</f>
        <v>4846859.724982346</v>
      </c>
      <c r="Y38" s="3901" t="n">
        <f t="array" ref="Y38">X38</f>
        <v>4846859.724982346</v>
      </c>
      <c r="Z38" s="3901" t="n">
        <f t="array" ref="Z38">Y38</f>
        <v>4846859.724982346</v>
      </c>
      <c r="AA38" s="50" t="n"/>
      <c r="AB38" s="50" t="n"/>
      <c r="AC38" s="50" t="n"/>
    </row>
    <row r="39" s="3154" customFormat="1" ht="12.75" customHeight="1">
      <c r="A39" s="50" t="n"/>
      <c r="B39" s="2513" t="inlineStr">
        <is>
          <t xml:space="preserve">Other non-depreciated</t>
        </is>
      </c>
      <c r="C39" s="4182" t="n">
        <f t="array" ref="C39">C23</f>
        <v>1240400</v>
      </c>
      <c r="D39" s="3901" t="n">
        <f t="array" ref="D39">C39</f>
        <v>1240400</v>
      </c>
      <c r="E39" s="3901" t="n">
        <f t="array" ref="E39">D39</f>
        <v>1240400</v>
      </c>
      <c r="F39" s="3901" t="n">
        <f t="array" ref="F39">E39</f>
        <v>1240400</v>
      </c>
      <c r="G39" s="3901" t="n">
        <f t="array" ref="G39">F39</f>
        <v>1240400</v>
      </c>
      <c r="H39" s="3901" t="n">
        <f t="array" ref="H39">G39</f>
        <v>1240400</v>
      </c>
      <c r="I39" s="3901" t="n">
        <f t="array" ref="I39">H39</f>
        <v>1240400</v>
      </c>
      <c r="J39" s="3901" t="n">
        <f t="array" ref="J39">I39</f>
        <v>1240400</v>
      </c>
      <c r="K39" s="3901" t="n">
        <f t="array" ref="K39">J39</f>
        <v>1240400</v>
      </c>
      <c r="L39" s="3901" t="n">
        <f t="array" ref="L39">K39</f>
        <v>1240400</v>
      </c>
      <c r="M39" s="3901" t="n">
        <f t="array" ref="M39">L39</f>
        <v>1240400</v>
      </c>
      <c r="N39" s="3901" t="n">
        <f t="array" ref="N39">M39</f>
        <v>1240400</v>
      </c>
      <c r="O39" s="3901" t="n">
        <f t="array" ref="O39">N39</f>
        <v>1240400</v>
      </c>
      <c r="P39" s="3901" t="n">
        <f t="array" ref="P39">O39</f>
        <v>1240400</v>
      </c>
      <c r="Q39" s="3901" t="n">
        <f t="array" ref="Q39">P39</f>
        <v>1240400</v>
      </c>
      <c r="R39" s="3901" t="n">
        <f t="array" ref="R39">Q39</f>
        <v>1240400</v>
      </c>
      <c r="S39" s="3901" t="n">
        <f t="array" ref="S39">R39</f>
        <v>1240400</v>
      </c>
      <c r="T39" s="3901" t="n">
        <f t="array" ref="T39">S39</f>
        <v>1240400</v>
      </c>
      <c r="U39" s="3901" t="n">
        <f t="array" ref="U39">T39</f>
        <v>1240400</v>
      </c>
      <c r="V39" s="3901" t="n">
        <f t="array" ref="V39">U39</f>
        <v>1240400</v>
      </c>
      <c r="W39" s="3901" t="n">
        <f t="array" ref="W39">V39</f>
        <v>1240400</v>
      </c>
      <c r="X39" s="3901" t="n">
        <f t="array" ref="X39">W39</f>
        <v>1240400</v>
      </c>
      <c r="Y39" s="3901" t="n">
        <f t="array" ref="Y39">X39</f>
        <v>1240400</v>
      </c>
      <c r="Z39" s="3901" t="n">
        <f t="array" ref="Z39">Y39</f>
        <v>1240400</v>
      </c>
      <c r="AA39" s="50" t="n"/>
      <c r="AB39" s="50" t="n"/>
      <c r="AC39" s="50" t="n"/>
    </row>
    <row r="40" s="3154" customFormat="1" ht="12.75" customHeight="1">
      <c r="A40" s="50" t="n"/>
      <c r="B40" s="2555" t="inlineStr">
        <is>
          <t xml:space="preserve">Accum. Depreciation</t>
        </is>
      </c>
      <c r="C40" s="4185" t="n">
        <v>0</v>
      </c>
      <c r="D40" s="4186" t="n">
        <f t="array" ref="D40">-D24</f>
        <v>0</v>
      </c>
      <c r="E40" s="4080" t="e">
        <f t="array" ref="E40">D40-E24</f>
      </c>
      <c r="F40" s="4080" t="e">
        <f t="array" ref="F40">E40-F24</f>
      </c>
      <c r="G40" s="4080" t="e">
        <f t="array" ref="G40">F40-G24</f>
      </c>
      <c r="H40" s="4080" t="e">
        <f t="array" ref="H40">G40-H24</f>
      </c>
      <c r="I40" s="4080" t="e">
        <f t="array" ref="I40">H40-I24</f>
      </c>
      <c r="J40" s="4080" t="e">
        <f t="array" ref="J40">I40-J24</f>
      </c>
      <c r="K40" s="4080" t="e">
        <f t="array" ref="K40">J40-K24</f>
      </c>
      <c r="L40" s="4080" t="e">
        <f t="array" ref="L40">K40-L24</f>
      </c>
      <c r="M40" s="4080" t="e">
        <f t="array" ref="M40">L40-M24</f>
      </c>
      <c r="N40" s="4080" t="e">
        <f t="array" ref="N40">M40-N24</f>
      </c>
      <c r="O40" s="4080" t="e">
        <f t="array" ref="O40">N40-O24</f>
      </c>
      <c r="P40" s="4080" t="e">
        <f t="array" ref="P40">O40-P24</f>
      </c>
      <c r="Q40" s="4080" t="e">
        <f t="array" ref="Q40">P40-Q24</f>
      </c>
      <c r="R40" s="4080" t="e">
        <f t="array" ref="R40">Q40-R24</f>
      </c>
      <c r="S40" s="4080" t="e">
        <f t="array" ref="S40">R40-S24</f>
      </c>
      <c r="T40" s="4080" t="e">
        <f t="array" ref="T40">S40-T24</f>
      </c>
      <c r="U40" s="4080" t="e">
        <f t="array" ref="U40">T40-U24</f>
      </c>
      <c r="V40" s="4080" t="e">
        <f t="array" ref="V40">U40-V24</f>
      </c>
      <c r="W40" s="4080" t="e">
        <f t="array" ref="W40">V40-W24</f>
      </c>
      <c r="X40" s="4080" t="e">
        <f t="array" ref="X40">W40-X24</f>
      </c>
      <c r="Y40" s="4080" t="e">
        <f t="array" ref="Y40">X40-Y24</f>
      </c>
      <c r="Z40" s="4080" t="e">
        <f t="array" ref="Z40">Y40-Z24</f>
      </c>
      <c r="AA40" s="50" t="n"/>
      <c r="AB40" s="50" t="n"/>
      <c r="AC40" s="50" t="n"/>
    </row>
    <row r="41" s="3154" customFormat="1" ht="13.5" customHeight="1">
      <c r="A41" s="50" t="n"/>
      <c r="B41" s="2513" t="inlineStr">
        <is>
          <t xml:space="preserve">Net Fixed Assets</t>
        </is>
      </c>
      <c r="C41" s="4187" t="n">
        <f t="array" ref="C41">SUM(C30:C40)</f>
        <v>7218515.749406721</v>
      </c>
      <c r="D41" s="4187" t="n">
        <f t="array" ref="D41">SUM(D30:D40)</f>
        <v>7218515.749406721</v>
      </c>
      <c r="E41" s="4187" t="e">
        <f t="array" ref="E41">SUM(E30:E40)</f>
      </c>
      <c r="F41" s="4187" t="e">
        <f t="array" ref="F41">SUM(F30:F40)</f>
      </c>
      <c r="G41" s="4187" t="e">
        <f t="array" ref="G41">SUM(G30:G40)</f>
      </c>
      <c r="H41" s="4187" t="e">
        <f t="array" ref="H41">SUM(H30:H40)</f>
      </c>
      <c r="I41" s="4187" t="e">
        <f t="array" ref="I41">SUM(I30:I40)</f>
      </c>
      <c r="J41" s="4187" t="e">
        <f t="array" ref="J41">SUM(J30:J40)</f>
      </c>
      <c r="K41" s="4187" t="e">
        <f t="array" ref="K41">SUM(K30:K40)</f>
      </c>
      <c r="L41" s="4187" t="e">
        <f t="array" ref="L41">SUM(L30:L40)</f>
      </c>
      <c r="M41" s="4187" t="e">
        <f t="array" ref="M41">SUM(M30:M40)</f>
      </c>
      <c r="N41" s="4187" t="e">
        <f t="array" ref="N41">SUM(N30:N40)</f>
      </c>
      <c r="O41" s="4187" t="e">
        <f t="array" ref="O41">SUM(O30:O40)</f>
      </c>
      <c r="P41" s="4187" t="e">
        <f t="array" ref="P41">SUM(P30:P40)</f>
      </c>
      <c r="Q41" s="4187" t="e">
        <f t="array" ref="Q41">SUM(Q30:Q40)</f>
      </c>
      <c r="R41" s="4187" t="e">
        <f t="array" ref="R41">SUM(R30:R40)</f>
      </c>
      <c r="S41" s="4187" t="e">
        <f t="array" ref="S41">SUM(S30:S40)</f>
      </c>
      <c r="T41" s="4187" t="e">
        <f t="array" ref="T41">SUM(T30:T40)</f>
      </c>
      <c r="U41" s="4187" t="e">
        <f t="array" ref="U41">SUM(U30:U40)</f>
      </c>
      <c r="V41" s="4187" t="e">
        <f t="array" ref="V41">SUM(V30:V40)</f>
      </c>
      <c r="W41" s="4187" t="e">
        <f t="array" ref="W41">SUM(W30:W40)</f>
      </c>
      <c r="X41" s="4187" t="e">
        <f t="array" ref="X41">SUM(X30:X40)</f>
      </c>
      <c r="Y41" s="4187" t="e">
        <f t="array" ref="Y41">SUM(Y30:Y40)</f>
      </c>
      <c r="Z41" s="4187" t="e">
        <f t="array" ref="Z41">SUM(Z30:Z40)</f>
      </c>
      <c r="AA41" s="50" t="n"/>
      <c r="AB41" s="50" t="n"/>
      <c r="AC41" s="50" t="n"/>
    </row>
    <row r="42" s="3154" customFormat="1" ht="13.5" customHeight="1">
      <c r="A42" s="50" t="n"/>
      <c r="B42" s="50" t="n"/>
      <c r="C42" s="2333" t="n"/>
      <c r="D42" s="2333" t="n"/>
      <c r="E42" s="2333" t="n"/>
      <c r="F42" s="2333" t="n"/>
      <c r="G42" s="2333" t="n"/>
      <c r="H42" s="2333" t="n"/>
      <c r="I42" s="2333" t="n"/>
      <c r="J42" s="2333" t="n"/>
      <c r="K42" s="2333" t="n"/>
      <c r="L42" s="2333" t="n"/>
      <c r="M42" s="2333" t="n"/>
      <c r="N42" s="2333" t="n"/>
      <c r="O42" s="2333" t="n"/>
      <c r="P42" s="2333" t="n"/>
      <c r="Q42" s="2333" t="n"/>
      <c r="R42" s="2333" t="n"/>
      <c r="S42" s="2333" t="n"/>
      <c r="T42" s="2333" t="n"/>
      <c r="U42" s="2333" t="n"/>
      <c r="V42" s="2333" t="n"/>
      <c r="W42" s="2333" t="n"/>
      <c r="X42" s="2333" t="n"/>
      <c r="Y42" s="2333" t="n"/>
      <c r="Z42" s="2333" t="n"/>
      <c r="AA42" s="50" t="n"/>
      <c r="AB42" s="50" t="n"/>
      <c r="AC42" s="50" t="n"/>
    </row>
    <row r="43" s="3154" customFormat="1" ht="12.75" customHeight="1">
      <c r="A43" s="50" t="n"/>
      <c r="B43" s="50" t="n"/>
      <c r="C43" s="2521" t="n"/>
      <c r="D43" s="50" t="n"/>
      <c r="E43" s="50" t="n"/>
      <c r="F43" s="50" t="n"/>
      <c r="G43" s="50" t="n"/>
      <c r="H43" s="50" t="n"/>
      <c r="I43" s="50" t="n"/>
      <c r="J43" s="50" t="n"/>
      <c r="K43" s="50" t="n"/>
      <c r="L43" s="50" t="n"/>
      <c r="M43" s="50" t="n"/>
      <c r="N43" s="50" t="n"/>
      <c r="O43" s="50" t="n"/>
      <c r="P43" s="50" t="n"/>
      <c r="Q43" s="50" t="n"/>
      <c r="R43" s="50" t="n"/>
      <c r="S43" s="50" t="n"/>
      <c r="T43" s="50" t="n"/>
      <c r="U43" s="50" t="n"/>
      <c r="V43" s="50" t="n"/>
      <c r="W43" s="50" t="n"/>
      <c r="X43" s="50" t="n"/>
      <c r="Y43" s="50" t="n"/>
      <c r="Z43" s="50" t="n"/>
      <c r="AA43" s="50" t="n"/>
      <c r="AB43" s="50" t="n"/>
      <c r="AC43" s="50" t="n"/>
    </row>
    <row r="44" s="3154" customFormat="1" ht="12.75" customHeight="1">
      <c r="A44" s="50" t="n"/>
      <c r="B44" s="113" t="inlineStr">
        <is>
          <t xml:space="preserve">Depreciation Rates</t>
        </is>
      </c>
      <c r="C44" s="50" t="n"/>
      <c r="D44" s="50" t="n"/>
      <c r="E44" s="2521" t="n"/>
      <c r="F44" s="50" t="n"/>
      <c r="G44" s="50" t="n"/>
      <c r="H44" s="50" t="n"/>
      <c r="I44" s="50" t="n"/>
      <c r="J44" s="50" t="n"/>
      <c r="K44" s="50" t="n"/>
      <c r="L44" s="50" t="n"/>
      <c r="M44" s="50" t="n"/>
      <c r="N44" s="50" t="n"/>
      <c r="O44" s="50" t="n"/>
      <c r="P44" s="50" t="n"/>
      <c r="Q44" s="50" t="n"/>
      <c r="R44" s="50" t="n"/>
      <c r="S44" s="50" t="n"/>
      <c r="T44" s="50" t="n"/>
      <c r="U44" s="50" t="n"/>
      <c r="V44" s="50" t="n"/>
      <c r="W44" s="50" t="n"/>
      <c r="X44" s="50" t="n"/>
      <c r="Y44" s="50" t="n"/>
      <c r="Z44" s="50" t="n"/>
      <c r="AA44" s="50" t="n"/>
      <c r="AB44" s="50" t="n"/>
      <c r="AC44" s="50" t="n"/>
    </row>
    <row r="45" s="3154" customFormat="1" ht="12.75" customHeight="1">
      <c r="A45" s="50" t="n"/>
      <c r="B45" s="2537" t="str">
        <f t="array" ref="B45">B31</f>
        <v>Building Acquisition</v>
      </c>
      <c r="C45" s="2521" t="n">
        <f t="array" ref="C45">SUM(D45:S45)</f>
        <v>0.41025641025641035</v>
      </c>
      <c r="D45" s="2556" t="n">
        <f t="array" ref="D45">1/39</f>
        <v>0.02564102564102564</v>
      </c>
      <c r="E45" s="2521" t="n">
        <f t="array" ref="E45">D45</f>
        <v>0.02564102564102564</v>
      </c>
      <c r="F45" s="2521" t="n">
        <f t="array" ref="F45">E45</f>
        <v>0.02564102564102564</v>
      </c>
      <c r="G45" s="2521" t="n">
        <f t="array" ref="G45">F45</f>
        <v>0.02564102564102564</v>
      </c>
      <c r="H45" s="2521" t="n">
        <f t="array" ref="H45">G45</f>
        <v>0.02564102564102564</v>
      </c>
      <c r="I45" s="2521" t="n">
        <f t="array" ref="I45">H45</f>
        <v>0.02564102564102564</v>
      </c>
      <c r="J45" s="2521" t="n">
        <f t="array" ref="J45">I45</f>
        <v>0.02564102564102564</v>
      </c>
      <c r="K45" s="2521" t="n">
        <f t="array" ref="K45">J45</f>
        <v>0.02564102564102564</v>
      </c>
      <c r="L45" s="2521" t="n">
        <f t="array" ref="L45">K45</f>
        <v>0.02564102564102564</v>
      </c>
      <c r="M45" s="2521" t="n">
        <f t="array" ref="M45">L45</f>
        <v>0.02564102564102564</v>
      </c>
      <c r="N45" s="2521" t="n">
        <f t="array" ref="N45">M45</f>
        <v>0.02564102564102564</v>
      </c>
      <c r="O45" s="2521" t="n">
        <f t="array" ref="O45">N45</f>
        <v>0.02564102564102564</v>
      </c>
      <c r="P45" s="2521" t="n">
        <f t="array" ref="P45">O45</f>
        <v>0.02564102564102564</v>
      </c>
      <c r="Q45" s="2521" t="n">
        <f t="array" ref="Q45">P45</f>
        <v>0.02564102564102564</v>
      </c>
      <c r="R45" s="2521" t="n">
        <f t="array" ref="R45">Q45</f>
        <v>0.02564102564102564</v>
      </c>
      <c r="S45" s="2521" t="n">
        <f t="array" ref="S45">R45</f>
        <v>0.02564102564102564</v>
      </c>
      <c r="T45" s="2521" t="n">
        <f t="array" ref="T45">S45</f>
        <v>0.02564102564102564</v>
      </c>
      <c r="U45" s="2521" t="n">
        <f t="array" ref="U45">T45</f>
        <v>0.02564102564102564</v>
      </c>
      <c r="V45" s="2521" t="n">
        <f t="array" ref="V45">U45</f>
        <v>0.02564102564102564</v>
      </c>
      <c r="W45" s="2521" t="n">
        <f t="array" ref="W45">V45</f>
        <v>0.02564102564102564</v>
      </c>
      <c r="X45" s="2521" t="n">
        <f t="array" ref="X45">W45</f>
        <v>0.02564102564102564</v>
      </c>
      <c r="Y45" s="2521" t="n">
        <f t="array" ref="Y45">X45</f>
        <v>0.02564102564102564</v>
      </c>
      <c r="Z45" s="2521" t="n">
        <f t="array" ref="Z45">Y45</f>
        <v>0.02564102564102564</v>
      </c>
      <c r="AA45" s="50" t="n"/>
      <c r="AB45" s="50" t="n"/>
      <c r="AC45" s="50" t="n"/>
    </row>
    <row r="46" s="3154" customFormat="1" ht="12.75" customHeight="1">
      <c r="A46" s="50" t="n"/>
      <c r="B46" s="2537" t="str">
        <f t="array" ref="B46">B32</f>
        <v>FF&amp;E</v>
      </c>
      <c r="C46" s="2521" t="e">
        <f t="array" ref="C46">SUM(D46:S46)</f>
      </c>
      <c r="D46" s="2521" t="n"/>
      <c r="E46" s="2521" t="e">
        <f t="array" ref="E46">IF($C$5="Yes",VLOOKUP(E$12,$C$82:$K$104,2,FALSE()),VLOOKUP(E$12,$C$82:$K$104,3,FALSE()))</f>
      </c>
      <c r="F46" s="2521" t="e">
        <f t="array" ref="F46">IF($C$5="Yes",VLOOKUP(F$12,$C$82:$K$104,2,FALSE()),VLOOKUP(F$12,$C$82:$K$104,3,FALSE()))</f>
      </c>
      <c r="G46" s="2521" t="e">
        <f t="array" ref="G46">IF($C$5="Yes",VLOOKUP(G$12,$C$82:$K$104,2,FALSE()),VLOOKUP(G$12,$C$82:$K$104,3,FALSE()))</f>
      </c>
      <c r="H46" s="2521" t="e">
        <f t="array" ref="H46">IF($C$5="Yes",VLOOKUP(H$12,$C$82:$K$104,2,FALSE()),VLOOKUP(H$12,$C$82:$K$104,3,FALSE()))</f>
      </c>
      <c r="I46" s="2521" t="e">
        <f t="array" ref="I46">IF($C$5="Yes",VLOOKUP(I$12,$C$82:$K$104,2,FALSE()),VLOOKUP(I$12,$C$82:$K$104,3,FALSE()))</f>
      </c>
      <c r="J46" s="2521" t="e">
        <f t="array" ref="J46">IF($C$5="Yes",VLOOKUP(J$12,$C$82:$K$104,2,FALSE()),VLOOKUP(J$12,$C$82:$K$104,3,FALSE()))</f>
      </c>
      <c r="K46" s="2521" t="e">
        <f t="array" ref="K46">IF($C$5="Yes",VLOOKUP(K$12,$C$82:$K$104,2,FALSE()),VLOOKUP(K$12,$C$82:$K$104,3,FALSE()))</f>
      </c>
      <c r="L46" s="2521" t="e">
        <f t="array" ref="L46">IF($C$5="Yes",VLOOKUP(L$12,$C$82:$K$104,2,FALSE()),VLOOKUP(L$12,$C$82:$K$104,3,FALSE()))</f>
      </c>
      <c r="M46" s="2521" t="e">
        <f t="array" ref="M46">IF($C$5="Yes",VLOOKUP(M$12,$C$82:$K$104,2,FALSE()),VLOOKUP(M$12,$C$82:$K$104,3,FALSE()))</f>
      </c>
      <c r="N46" s="2521" t="e">
        <f t="array" ref="N46">IF($C$5="Yes",VLOOKUP(N$12,$C$82:$K$104,2,FALSE()),VLOOKUP(N$12,$C$82:$K$104,3,FALSE()))</f>
      </c>
      <c r="O46" s="2521" t="e">
        <f t="array" ref="O46">IF($C$5="Yes",VLOOKUP(O$12,$C$82:$K$104,2,FALSE()),VLOOKUP(O$12,$C$82:$K$104,3,FALSE()))</f>
      </c>
      <c r="P46" s="2521" t="e">
        <f t="array" ref="P46">IF($C$5="Yes",VLOOKUP(P$12,$C$82:$K$104,2,FALSE()),VLOOKUP(P$12,$C$82:$K$104,3,FALSE()))</f>
      </c>
      <c r="Q46" s="2521" t="e">
        <f t="array" ref="Q46">IF($C$5="Yes",VLOOKUP(Q$12,$C$82:$K$104,2,FALSE()),VLOOKUP(Q$12,$C$82:$K$104,3,FALSE()))</f>
      </c>
      <c r="R46" s="2521" t="e">
        <f t="array" ref="R46">IF($C$5="Yes",VLOOKUP(R$12,$C$82:$K$104,2,FALSE()),VLOOKUP(R$12,$C$82:$K$104,3,FALSE()))</f>
      </c>
      <c r="S46" s="2521" t="e">
        <f t="array" ref="S46">IF($C$5="Yes",VLOOKUP(S$12,$C$82:$K$104,2,FALSE()),VLOOKUP(S$12,$C$82:$K$104,3,FALSE()))</f>
      </c>
      <c r="T46" s="2521" t="e">
        <f t="array" ref="T46">IF($C$5="Yes",VLOOKUP(T$12,$C$82:$K$104,2,FALSE()),VLOOKUP(T$12,$C$82:$K$104,3,FALSE()))</f>
      </c>
      <c r="U46" s="2521" t="e">
        <f t="array" ref="U46">IF($C$5="Yes",VLOOKUP(U$12,$C$82:$K$104,2,FALSE()),VLOOKUP(U$12,$C$82:$K$104,3,FALSE()))</f>
      </c>
      <c r="V46" s="2521" t="e">
        <f t="array" ref="V46">IF($C$5="Yes",VLOOKUP(V$12,$C$82:$K$104,2,FALSE()),VLOOKUP(V$12,$C$82:$K$104,3,FALSE()))</f>
      </c>
      <c r="W46" s="2521" t="e">
        <f t="array" ref="W46">IF($C$5="Yes",VLOOKUP(W$12,$C$82:$K$104,2,FALSE()),VLOOKUP(W$12,$C$82:$K$104,3,FALSE()))</f>
      </c>
      <c r="X46" s="2521" t="e">
        <f t="array" ref="X46">IF($C$5="Yes",VLOOKUP(X$12,$C$82:$K$104,2,FALSE()),VLOOKUP(X$12,$C$82:$K$104,3,FALSE()))</f>
      </c>
      <c r="Y46" s="2521" t="e">
        <f t="array" ref="Y46">IF($C$5="Yes",VLOOKUP(Y$12,$C$82:$K$104,2,FALSE()),VLOOKUP(Y$12,$C$82:$K$104,3,FALSE()))</f>
      </c>
      <c r="Z46" s="2521" t="e">
        <f t="array" ref="Z46">IF($C$5="Yes",VLOOKUP(Z$12,$C$82:$K$104,2,FALSE()),VLOOKUP(Z$12,$C$82:$K$104,3,FALSE()))</f>
      </c>
      <c r="AA46" s="50" t="n"/>
      <c r="AB46" s="50" t="n"/>
      <c r="AC46" s="50" t="n"/>
    </row>
    <row r="47" s="3154" customFormat="1" ht="12.75" customHeight="1">
      <c r="A47" s="50" t="n"/>
      <c r="B47" s="2513" t="inlineStr">
        <is>
          <t xml:space="preserve">OS&amp;E</t>
        </is>
      </c>
      <c r="C47" s="2521" t="e">
        <f t="array" ref="C47">SUM(D47:S47)</f>
      </c>
      <c r="D47" s="2521" t="n"/>
      <c r="E47" s="2521" t="e">
        <f t="array" ref="E47">IF($C$5="Yes",VLOOKUP(E$12,$C$82:$K$104,2,FALSE()),VLOOKUP(E$12,$C$82:$K$104,3,FALSE()))</f>
      </c>
      <c r="F47" s="2521" t="e">
        <f t="array" ref="F47">IF($C$5="Yes",VLOOKUP(F$12,$C$82:$K$104,2,FALSE()),VLOOKUP(F$12,$C$82:$K$104,3,FALSE()))</f>
      </c>
      <c r="G47" s="2521" t="e">
        <f t="array" ref="G47">IF($C$5="Yes",VLOOKUP(G$12,$C$82:$K$104,2,FALSE()),VLOOKUP(G$12,$C$82:$K$104,3,FALSE()))</f>
      </c>
      <c r="H47" s="2521" t="e">
        <f t="array" ref="H47">IF($C$5="Yes",VLOOKUP(H$12,$C$82:$K$104,2,FALSE()),VLOOKUP(H$12,$C$82:$K$104,3,FALSE()))</f>
      </c>
      <c r="I47" s="2521" t="e">
        <f t="array" ref="I47">IF($C$5="Yes",VLOOKUP(I$12,$C$82:$K$104,2,FALSE()),VLOOKUP(I$12,$C$82:$K$104,3,FALSE()))</f>
      </c>
      <c r="J47" s="2521" t="e">
        <f t="array" ref="J47">IF($C$5="Yes",VLOOKUP(J$12,$C$82:$K$104,2,FALSE()),VLOOKUP(J$12,$C$82:$K$104,3,FALSE()))</f>
      </c>
      <c r="K47" s="2521" t="e">
        <f t="array" ref="K47">IF($C$5="Yes",VLOOKUP(K$12,$C$82:$K$104,2,FALSE()),VLOOKUP(K$12,$C$82:$K$104,3,FALSE()))</f>
      </c>
      <c r="L47" s="2521" t="e">
        <f t="array" ref="L47">IF($C$5="Yes",VLOOKUP(L$12,$C$82:$K$104,2,FALSE()),VLOOKUP(L$12,$C$82:$K$104,3,FALSE()))</f>
      </c>
      <c r="M47" s="2521" t="e">
        <f t="array" ref="M47">IF($C$5="Yes",VLOOKUP(M$12,$C$82:$K$104,2,FALSE()),VLOOKUP(M$12,$C$82:$K$104,3,FALSE()))</f>
      </c>
      <c r="N47" s="2521" t="e">
        <f t="array" ref="N47">IF($C$5="Yes",VLOOKUP(N$12,$C$82:$K$104,2,FALSE()),VLOOKUP(N$12,$C$82:$K$104,3,FALSE()))</f>
      </c>
      <c r="O47" s="2521" t="e">
        <f t="array" ref="O47">IF($C$5="Yes",VLOOKUP(O$12,$C$82:$K$104,2,FALSE()),VLOOKUP(O$12,$C$82:$K$104,3,FALSE()))</f>
      </c>
      <c r="P47" s="2521" t="e">
        <f t="array" ref="P47">IF($C$5="Yes",VLOOKUP(P$12,$C$82:$K$104,2,FALSE()),VLOOKUP(P$12,$C$82:$K$104,3,FALSE()))</f>
      </c>
      <c r="Q47" s="2521" t="e">
        <f t="array" ref="Q47">IF($C$5="Yes",VLOOKUP(Q$12,$C$82:$K$104,2,FALSE()),VLOOKUP(Q$12,$C$82:$K$104,3,FALSE()))</f>
      </c>
      <c r="R47" s="2521" t="e">
        <f t="array" ref="R47">IF($C$5="Yes",VLOOKUP(R$12,$C$82:$K$104,2,FALSE()),VLOOKUP(R$12,$C$82:$K$104,3,FALSE()))</f>
      </c>
      <c r="S47" s="2521" t="e">
        <f t="array" ref="S47">IF($C$5="Yes",VLOOKUP(S$12,$C$82:$K$104,2,FALSE()),VLOOKUP(S$12,$C$82:$K$104,3,FALSE()))</f>
      </c>
      <c r="T47" s="2521" t="e">
        <f t="array" ref="T47">IF($C$5="Yes",VLOOKUP(T$12,$C$82:$K$104,2,FALSE()),VLOOKUP(T$12,$C$82:$K$104,3,FALSE()))</f>
      </c>
      <c r="U47" s="2521" t="e">
        <f t="array" ref="U47">IF($C$5="Yes",VLOOKUP(U$12,$C$82:$K$104,2,FALSE()),VLOOKUP(U$12,$C$82:$K$104,3,FALSE()))</f>
      </c>
      <c r="V47" s="2521" t="e">
        <f t="array" ref="V47">IF($C$5="Yes",VLOOKUP(V$12,$C$82:$K$104,2,FALSE()),VLOOKUP(V$12,$C$82:$K$104,3,FALSE()))</f>
      </c>
      <c r="W47" s="2521" t="e">
        <f t="array" ref="W47">IF($C$5="Yes",VLOOKUP(W$12,$C$82:$K$104,2,FALSE()),VLOOKUP(W$12,$C$82:$K$104,3,FALSE()))</f>
      </c>
      <c r="X47" s="2521" t="e">
        <f t="array" ref="X47">IF($C$5="Yes",VLOOKUP(X$12,$C$82:$K$104,2,FALSE()),VLOOKUP(X$12,$C$82:$K$104,3,FALSE()))</f>
      </c>
      <c r="Y47" s="2521" t="e">
        <f t="array" ref="Y47">IF($C$5="Yes",VLOOKUP(Y$12,$C$82:$K$104,2,FALSE()),VLOOKUP(Y$12,$C$82:$K$104,3,FALSE()))</f>
      </c>
      <c r="Z47" s="2521" t="e">
        <f t="array" ref="Z47">IF($C$5="Yes",VLOOKUP(Z$12,$C$82:$K$104,2,FALSE()),VLOOKUP(Z$12,$C$82:$K$104,3,FALSE()))</f>
      </c>
      <c r="AA47" s="50" t="n"/>
      <c r="AB47" s="50" t="n"/>
      <c r="AC47" s="50" t="n"/>
    </row>
    <row r="48" s="3154" customFormat="1" ht="12.75" customHeight="1">
      <c r="A48" s="50" t="n"/>
      <c r="B48" s="2513" t="inlineStr">
        <is>
          <t xml:space="preserve">Franchise Fees</t>
        </is>
      </c>
      <c r="C48" s="2521" t="n">
        <f t="array" ref="C48">SUM(D48:S48)</f>
        <v>0.7500000000000001</v>
      </c>
      <c r="D48" s="2521" t="n"/>
      <c r="E48" s="2556" t="n">
        <f t="array" ref="E48">1/20</f>
        <v>0.05</v>
      </c>
      <c r="F48" s="2556" t="n">
        <f t="array" ref="F48">1/20</f>
        <v>0.05</v>
      </c>
      <c r="G48" s="2556" t="n">
        <f t="array" ref="G48">1/20</f>
        <v>0.05</v>
      </c>
      <c r="H48" s="2556" t="n">
        <f t="array" ref="H48">1/20</f>
        <v>0.05</v>
      </c>
      <c r="I48" s="2556" t="n">
        <f t="array" ref="I48">1/20</f>
        <v>0.05</v>
      </c>
      <c r="J48" s="2556" t="n">
        <f t="array" ref="J48">1/20</f>
        <v>0.05</v>
      </c>
      <c r="K48" s="2556" t="n">
        <f t="array" ref="K48">1/20</f>
        <v>0.05</v>
      </c>
      <c r="L48" s="2556" t="n">
        <f t="array" ref="L48">1/20</f>
        <v>0.05</v>
      </c>
      <c r="M48" s="2556" t="n">
        <f t="array" ref="M48">1/20</f>
        <v>0.05</v>
      </c>
      <c r="N48" s="2556" t="n">
        <f t="array" ref="N48">1/20</f>
        <v>0.05</v>
      </c>
      <c r="O48" s="2556" t="n">
        <f t="array" ref="O48">1/20</f>
        <v>0.05</v>
      </c>
      <c r="P48" s="2556" t="n">
        <f t="array" ref="P48">1/20</f>
        <v>0.05</v>
      </c>
      <c r="Q48" s="2556" t="n">
        <f t="array" ref="Q48">1/20</f>
        <v>0.05</v>
      </c>
      <c r="R48" s="2556" t="n">
        <f t="array" ref="R48">1/20</f>
        <v>0.05</v>
      </c>
      <c r="S48" s="2556" t="n">
        <f t="array" ref="S48">1/20</f>
        <v>0.05</v>
      </c>
      <c r="T48" s="2556" t="n">
        <f t="array" ref="T48">1/20</f>
        <v>0.05</v>
      </c>
      <c r="U48" s="2556" t="n">
        <f t="array" ref="U48">1/20</f>
        <v>0.05</v>
      </c>
      <c r="V48" s="2556" t="n">
        <f t="array" ref="V48">1/20</f>
        <v>0.05</v>
      </c>
      <c r="W48" s="2556" t="n">
        <f t="array" ref="W48">1/20</f>
        <v>0.05</v>
      </c>
      <c r="X48" s="2556" t="n">
        <f t="array" ref="X48">1/20</f>
        <v>0.05</v>
      </c>
      <c r="Y48" s="2521" t="n"/>
      <c r="Z48" s="2521" t="n"/>
      <c r="AA48" s="50" t="n"/>
      <c r="AB48" s="50" t="n"/>
      <c r="AC48" s="50" t="n"/>
    </row>
    <row r="49" s="3154" customFormat="1" ht="12.75" customHeight="1">
      <c r="A49" s="50" t="n"/>
      <c r="B49" s="2513" t="inlineStr">
        <is>
          <t xml:space="preserve">Financing Fees (ex Interest)</t>
        </is>
      </c>
      <c r="C49" s="2521" t="n">
        <f t="array" ref="C49">SUM(D49:S49)</f>
        <v>1</v>
      </c>
      <c r="D49" s="2521" t="n"/>
      <c r="E49" s="2556" t="n">
        <f t="array" ref="E49">1/5</f>
        <v>0.2</v>
      </c>
      <c r="F49" s="2556" t="n">
        <f t="array" ref="F49">1/5</f>
        <v>0.2</v>
      </c>
      <c r="G49" s="2556" t="n">
        <f t="array" ref="G49">1/5</f>
        <v>0.2</v>
      </c>
      <c r="H49" s="2556" t="n">
        <f t="array" ref="H49">1/5</f>
        <v>0.2</v>
      </c>
      <c r="I49" s="2556" t="n">
        <f t="array" ref="I49">1/5</f>
        <v>0.2</v>
      </c>
      <c r="J49" s="2521" t="n"/>
      <c r="K49" s="2521" t="n"/>
      <c r="L49" s="2521" t="n"/>
      <c r="M49" s="2521" t="n"/>
      <c r="N49" s="2521" t="n"/>
      <c r="O49" s="2521" t="n"/>
      <c r="P49" s="2521" t="n"/>
      <c r="Q49" s="2521" t="n"/>
      <c r="R49" s="2521" t="n"/>
      <c r="S49" s="2521" t="n"/>
      <c r="T49" s="2521" t="n"/>
      <c r="U49" s="2521" t="n"/>
      <c r="V49" s="2521" t="n"/>
      <c r="W49" s="2521" t="n"/>
      <c r="X49" s="2521" t="n"/>
      <c r="Y49" s="2521" t="n"/>
      <c r="Z49" s="2521" t="n"/>
      <c r="AA49" s="50" t="n"/>
      <c r="AB49" s="50" t="n"/>
      <c r="AC49" s="50" t="n"/>
    </row>
    <row r="50" s="3154" customFormat="1" ht="12.75" customHeight="1">
      <c r="A50" s="50" t="n"/>
      <c r="B50" s="2513" t="inlineStr">
        <is>
          <t xml:space="preserve">Personal Property</t>
        </is>
      </c>
      <c r="C50" s="2521" t="e">
        <f t="array" ref="C50">SUM(D50:S50)</f>
      </c>
      <c r="D50" s="2521" t="n"/>
      <c r="E50" s="2556" t="e">
        <f t="array" ref="E50">IF($C$5="Yes",VLOOKUP(E$12,$C$82:$K$104,2,FALSE()),VLOOKUP(E$12,$C$82:$K$104,3,FALSE()))</f>
      </c>
      <c r="F50" s="2521" t="e">
        <f t="array" ref="F50">IF($C$5="Yes",VLOOKUP(F$12,$C$82:$K$104,2,FALSE()),VLOOKUP(F$12,$C$82:$K$104,3,FALSE()))</f>
      </c>
      <c r="G50" s="2521" t="e">
        <f t="array" ref="G50">IF($C$5="Yes",VLOOKUP(G$12,$C$82:$K$104,2,FALSE()),VLOOKUP(G$12,$C$82:$K$104,3,FALSE()))</f>
      </c>
      <c r="H50" s="2521" t="e">
        <f t="array" ref="H50">IF($C$5="Yes",VLOOKUP(H$12,$C$82:$K$104,2,FALSE()),VLOOKUP(H$12,$C$82:$K$104,3,FALSE()))</f>
      </c>
      <c r="I50" s="2521" t="e">
        <f t="array" ref="I50">IF($C$5="Yes",VLOOKUP(I$12,$C$82:$K$104,2,FALSE()),VLOOKUP(I$12,$C$82:$K$104,3,FALSE()))</f>
      </c>
      <c r="J50" s="2521" t="e">
        <f t="array" ref="J50">IF($C$5="Yes",VLOOKUP(J$12,$C$82:$K$104,2,FALSE()),VLOOKUP(J$12,$C$82:$K$104,3,FALSE()))</f>
      </c>
      <c r="K50" s="2521" t="e">
        <f t="array" ref="K50">IF($C$5="Yes",VLOOKUP(K$12,$C$82:$K$104,2,FALSE()),VLOOKUP(K$12,$C$82:$K$104,3,FALSE()))</f>
      </c>
      <c r="L50" s="2521" t="e">
        <f t="array" ref="L50">IF($C$5="Yes",VLOOKUP(L$12,$C$82:$K$104,2,FALSE()),VLOOKUP(L$12,$C$82:$K$104,3,FALSE()))</f>
      </c>
      <c r="M50" s="2521" t="e">
        <f t="array" ref="M50">IF($C$5="Yes",VLOOKUP(M$12,$C$82:$K$104,2,FALSE()),VLOOKUP(M$12,$C$82:$K$104,3,FALSE()))</f>
      </c>
      <c r="N50" s="2521" t="e">
        <f t="array" ref="N50">IF($C$5="Yes",VLOOKUP(N$12,$C$82:$K$104,2,FALSE()),VLOOKUP(N$12,$C$82:$K$104,3,FALSE()))</f>
      </c>
      <c r="O50" s="2521" t="e">
        <f t="array" ref="O50">IF($C$5="Yes",VLOOKUP(O$12,$C$82:$K$104,2,FALSE()),VLOOKUP(O$12,$C$82:$K$104,3,FALSE()))</f>
      </c>
      <c r="P50" s="2521" t="e">
        <f t="array" ref="P50">IF($C$5="Yes",VLOOKUP(P$12,$C$82:$K$104,2,FALSE()),VLOOKUP(P$12,$C$82:$K$104,3,FALSE()))</f>
      </c>
      <c r="Q50" s="2521" t="e">
        <f t="array" ref="Q50">IF($C$5="Yes",VLOOKUP(Q$12,$C$82:$K$104,2,FALSE()),VLOOKUP(Q$12,$C$82:$K$104,3,FALSE()))</f>
      </c>
      <c r="R50" s="2521" t="e">
        <f t="array" ref="R50">IF($C$5="Yes",VLOOKUP(R$12,$C$82:$K$104,2,FALSE()),VLOOKUP(R$12,$C$82:$K$104,3,FALSE()))</f>
      </c>
      <c r="S50" s="2521" t="e">
        <f t="array" ref="S50">IF($C$5="Yes",VLOOKUP(S$12,$C$82:$K$104,2,FALSE()),VLOOKUP(S$12,$C$82:$K$104,3,FALSE()))</f>
      </c>
      <c r="T50" s="2521" t="e">
        <f t="array" ref="T50">IF($C$5="Yes",VLOOKUP(T$12,$C$82:$K$104,2,FALSE()),VLOOKUP(T$12,$C$82:$K$104,3,FALSE()))</f>
      </c>
      <c r="U50" s="2521" t="e">
        <f t="array" ref="U50">IF($C$5="Yes",VLOOKUP(U$12,$C$82:$K$104,2,FALSE()),VLOOKUP(U$12,$C$82:$K$104,3,FALSE()))</f>
      </c>
      <c r="V50" s="2521" t="e">
        <f t="array" ref="V50">IF($C$5="Yes",VLOOKUP(V$12,$C$82:$K$104,2,FALSE()),VLOOKUP(V$12,$C$82:$K$104,3,FALSE()))</f>
      </c>
      <c r="W50" s="2521" t="e">
        <f t="array" ref="W50">IF($C$5="Yes",VLOOKUP(W$12,$C$82:$K$104,2,FALSE()),VLOOKUP(W$12,$C$82:$K$104,3,FALSE()))</f>
      </c>
      <c r="X50" s="2521" t="e">
        <f t="array" ref="X50">IF($C$5="Yes",VLOOKUP(X$12,$C$82:$K$104,2,FALSE()),VLOOKUP(X$12,$C$82:$K$104,3,FALSE()))</f>
      </c>
      <c r="Y50" s="2521" t="e">
        <f t="array" ref="Y50">IF($C$5="Yes",VLOOKUP(Y$12,$C$82:$K$104,2,FALSE()),VLOOKUP(Y$12,$C$82:$K$104,3,FALSE()))</f>
      </c>
      <c r="Z50" s="2521" t="e">
        <f t="array" ref="Z50">IF($C$5="Yes",VLOOKUP(Z$12,$C$82:$K$104,2,FALSE()),VLOOKUP(Z$12,$C$82:$K$104,3,FALSE()))</f>
      </c>
      <c r="AA50" s="50" t="n"/>
      <c r="AB50" s="50" t="n"/>
      <c r="AC50" s="50" t="n"/>
    </row>
    <row r="51" s="3154" customFormat="1" ht="12.75" customHeight="1">
      <c r="A51" s="50" t="n"/>
      <c r="B51" s="2537" t="str">
        <f t="array" ref="B51">B37</f>
        <v>Land Improvements</v>
      </c>
      <c r="C51" s="2521" t="e">
        <f t="array" ref="C51">SUM(D51:S51)</f>
      </c>
      <c r="D51" s="2521" t="n"/>
      <c r="E51" s="2556" t="e">
        <f t="array" ref="E51">IF($C$5="Yes",VLOOKUP(E$12,$C$82:$K$104,4,FALSE()),VLOOKUP(E$12,$C$82:$K$104,5,FALSE()))</f>
      </c>
      <c r="F51" s="2521" t="e">
        <f t="array" ref="F51">IF($C$5="Yes",VLOOKUP(F$12,$C$82:$K$104,4,FALSE()),VLOOKUP(F$12,$C$82:$K$104,5,FALSE()))</f>
      </c>
      <c r="G51" s="2521" t="e">
        <f t="array" ref="G51">IF($C$5="Yes",VLOOKUP(G$12,$C$82:$K$104,4,FALSE()),VLOOKUP(G$12,$C$82:$K$104,5,FALSE()))</f>
      </c>
      <c r="H51" s="2521" t="e">
        <f t="array" ref="H51">IF($C$5="Yes",VLOOKUP(H$12,$C$82:$K$104,4,FALSE()),VLOOKUP(H$12,$C$82:$K$104,5,FALSE()))</f>
      </c>
      <c r="I51" s="2521" t="e">
        <f t="array" ref="I51">IF($C$5="Yes",VLOOKUP(I$12,$C$82:$K$104,4,FALSE()),VLOOKUP(I$12,$C$82:$K$104,5,FALSE()))</f>
      </c>
      <c r="J51" s="2521" t="e">
        <f t="array" ref="J51">IF($C$5="Yes",VLOOKUP(J$12,$C$82:$K$104,4,FALSE()),VLOOKUP(J$12,$C$82:$K$104,5,FALSE()))</f>
      </c>
      <c r="K51" s="2521" t="e">
        <f t="array" ref="K51">IF($C$5="Yes",VLOOKUP(K$12,$C$82:$K$104,4,FALSE()),VLOOKUP(K$12,$C$82:$K$104,5,FALSE()))</f>
      </c>
      <c r="L51" s="2521" t="e">
        <f t="array" ref="L51">IF($C$5="Yes",VLOOKUP(L$12,$C$82:$K$104,4,FALSE()),VLOOKUP(L$12,$C$82:$K$104,5,FALSE()))</f>
      </c>
      <c r="M51" s="2521" t="e">
        <f t="array" ref="M51">IF($C$5="Yes",VLOOKUP(M$12,$C$82:$K$104,4,FALSE()),VLOOKUP(M$12,$C$82:$K$104,5,FALSE()))</f>
      </c>
      <c r="N51" s="2521" t="e">
        <f t="array" ref="N51">IF($C$5="Yes",VLOOKUP(N$12,$C$82:$K$104,4,FALSE()),VLOOKUP(N$12,$C$82:$K$104,5,FALSE()))</f>
      </c>
      <c r="O51" s="2521" t="e">
        <f t="array" ref="O51">IF($C$5="Yes",VLOOKUP(O$12,$C$82:$K$104,4,FALSE()),VLOOKUP(O$12,$C$82:$K$104,5,FALSE()))</f>
      </c>
      <c r="P51" s="2521" t="e">
        <f t="array" ref="P51">IF($C$5="Yes",VLOOKUP(P$12,$C$82:$K$104,4,FALSE()),VLOOKUP(P$12,$C$82:$K$104,5,FALSE()))</f>
      </c>
      <c r="Q51" s="2521" t="e">
        <f t="array" ref="Q51">IF($C$5="Yes",VLOOKUP(Q$12,$C$82:$K$104,4,FALSE()),VLOOKUP(Q$12,$C$82:$K$104,5,FALSE()))</f>
      </c>
      <c r="R51" s="2521" t="e">
        <f t="array" ref="R51">IF($C$5="Yes",VLOOKUP(R$12,$C$82:$K$104,4,FALSE()),VLOOKUP(R$12,$C$82:$K$104,5,FALSE()))</f>
      </c>
      <c r="S51" s="2521" t="e">
        <f t="array" ref="S51">IF($C$5="Yes",VLOOKUP(S$12,$C$82:$K$104,4,FALSE()),VLOOKUP(S$12,$C$82:$K$104,5,FALSE()))</f>
      </c>
      <c r="T51" s="2521" t="e">
        <f t="array" ref="T51">IF($C$5="Yes",VLOOKUP(T$12,$C$82:$K$104,4,FALSE()),VLOOKUP(T$12,$C$82:$K$104,5,FALSE()))</f>
      </c>
      <c r="U51" s="2521" t="e">
        <f t="array" ref="U51">IF($C$5="Yes",VLOOKUP(U$12,$C$82:$K$104,4,FALSE()),VLOOKUP(U$12,$C$82:$K$104,5,FALSE()))</f>
      </c>
      <c r="V51" s="2521" t="e">
        <f t="array" ref="V51">IF($C$5="Yes",VLOOKUP(V$12,$C$82:$K$104,4,FALSE()),VLOOKUP(V$12,$C$82:$K$104,5,FALSE()))</f>
      </c>
      <c r="W51" s="2521" t="e">
        <f t="array" ref="W51">IF($C$5="Yes",VLOOKUP(W$12,$C$82:$K$104,4,FALSE()),VLOOKUP(W$12,$C$82:$K$104,5,FALSE()))</f>
      </c>
      <c r="X51" s="2521" t="e">
        <f t="array" ref="X51">IF($C$5="Yes",VLOOKUP(X$12,$C$82:$K$104,4,FALSE()),VLOOKUP(X$12,$C$82:$K$104,5,FALSE()))</f>
      </c>
      <c r="Y51" s="2521" t="e">
        <f t="array" ref="Y51">IF($C$5="Yes",VLOOKUP(Y$12,$C$82:$K$104,4,FALSE()),VLOOKUP(Y$12,$C$82:$K$104,5,FALSE()))</f>
      </c>
      <c r="Z51" s="2521" t="e">
        <f t="array" ref="Z51">IF($C$5="Yes",VLOOKUP(Z$12,$C$82:$K$104,4,FALSE()),VLOOKUP(Z$12,$C$82:$K$104,5,FALSE()))</f>
      </c>
      <c r="AA51" s="50" t="n"/>
      <c r="AB51" s="50" t="n"/>
      <c r="AC51" s="50" t="n"/>
    </row>
    <row r="52" s="3154" customFormat="1" ht="12.75" customHeight="1">
      <c r="A52" s="50" t="n"/>
      <c r="B52" s="2537" t="str">
        <f t="array" ref="B52">B38</f>
        <v>Building Improvements</v>
      </c>
      <c r="C52" s="2521" t="n">
        <f t="array" ref="C52">SUM(D52:S52)</f>
        <v>0.3846153846153847</v>
      </c>
      <c r="D52" s="2556" t="n"/>
      <c r="E52" s="2556" t="n">
        <f t="array" ref="E52">1/39</f>
        <v>0.02564102564102564</v>
      </c>
      <c r="F52" s="2521" t="n">
        <f t="array" ref="F52">E52</f>
        <v>0.02564102564102564</v>
      </c>
      <c r="G52" s="2521" t="n">
        <f t="array" ref="G52">F52</f>
        <v>0.02564102564102564</v>
      </c>
      <c r="H52" s="2521" t="n">
        <f t="array" ref="H52">G52</f>
        <v>0.02564102564102564</v>
      </c>
      <c r="I52" s="2521" t="n">
        <f t="array" ref="I52">H52</f>
        <v>0.02564102564102564</v>
      </c>
      <c r="J52" s="2521" t="n">
        <f t="array" ref="J52">I52</f>
        <v>0.02564102564102564</v>
      </c>
      <c r="K52" s="2521" t="n">
        <f t="array" ref="K52">J52</f>
        <v>0.02564102564102564</v>
      </c>
      <c r="L52" s="2521" t="n">
        <f t="array" ref="L52">K52</f>
        <v>0.02564102564102564</v>
      </c>
      <c r="M52" s="2521" t="n">
        <f t="array" ref="M52">L52</f>
        <v>0.02564102564102564</v>
      </c>
      <c r="N52" s="2521" t="n">
        <f t="array" ref="N52">M52</f>
        <v>0.02564102564102564</v>
      </c>
      <c r="O52" s="2521" t="n">
        <f t="array" ref="O52">N52</f>
        <v>0.02564102564102564</v>
      </c>
      <c r="P52" s="2521" t="n">
        <f t="array" ref="P52">O52</f>
        <v>0.02564102564102564</v>
      </c>
      <c r="Q52" s="2521" t="n">
        <f t="array" ref="Q52">P52</f>
        <v>0.02564102564102564</v>
      </c>
      <c r="R52" s="2521" t="n">
        <f t="array" ref="R52">Q52</f>
        <v>0.02564102564102564</v>
      </c>
      <c r="S52" s="2521" t="n">
        <f t="array" ref="S52">R52</f>
        <v>0.02564102564102564</v>
      </c>
      <c r="T52" s="2521" t="n">
        <f t="array" ref="T52">S52</f>
        <v>0.02564102564102564</v>
      </c>
      <c r="U52" s="2521" t="n">
        <f t="array" ref="U52">T52</f>
        <v>0.02564102564102564</v>
      </c>
      <c r="V52" s="2521" t="n">
        <f t="array" ref="V52">U52</f>
        <v>0.02564102564102564</v>
      </c>
      <c r="W52" s="2521" t="n">
        <f t="array" ref="W52">V52</f>
        <v>0.02564102564102564</v>
      </c>
      <c r="X52" s="2521" t="n">
        <f t="array" ref="X52">W52</f>
        <v>0.02564102564102564</v>
      </c>
      <c r="Y52" s="2521" t="n">
        <f t="array" ref="Y52">X52</f>
        <v>0.02564102564102564</v>
      </c>
      <c r="Z52" s="2521" t="n">
        <f t="array" ref="Z52">Y52</f>
        <v>0.02564102564102564</v>
      </c>
      <c r="AA52" s="50" t="n"/>
      <c r="AB52" s="50" t="n"/>
      <c r="AC52" s="50" t="n"/>
    </row>
    <row r="53" s="3154" customFormat="1" ht="12.75" customHeight="1">
      <c r="A53" s="50" t="n"/>
      <c r="B53" s="2332" t="n"/>
      <c r="C53" s="2332" t="n"/>
      <c r="D53" s="2332" t="n"/>
      <c r="E53" s="2332" t="n"/>
      <c r="F53" s="2332" t="n"/>
      <c r="G53" s="2332" t="n"/>
      <c r="H53" s="50" t="n"/>
      <c r="I53" s="50" t="n"/>
      <c r="J53" s="50" t="n"/>
      <c r="K53" s="50" t="n"/>
      <c r="L53" s="50" t="n"/>
      <c r="M53" s="50" t="n"/>
      <c r="N53" s="50" t="n"/>
      <c r="O53" s="50" t="n"/>
      <c r="P53" s="50" t="n"/>
      <c r="Q53" s="50" t="n"/>
      <c r="R53" s="50" t="n"/>
      <c r="S53" s="50" t="n"/>
      <c r="T53" s="50" t="n"/>
      <c r="U53" s="50" t="n"/>
      <c r="V53" s="50" t="n"/>
      <c r="W53" s="50" t="n"/>
      <c r="X53" s="50" t="n"/>
      <c r="Y53" s="50" t="n"/>
      <c r="Z53" s="50" t="n"/>
      <c r="AA53" s="50" t="n"/>
      <c r="AB53" s="50" t="n"/>
      <c r="AC53" s="50" t="n"/>
    </row>
    <row r="54" s="3154" customFormat="1" ht="15" customHeight="1">
      <c r="A54" s="2557" t="n"/>
      <c r="B54" s="2558" t="inlineStr">
        <is>
          <t xml:space="preserve">PHASE I - DEPRECIATION</t>
        </is>
      </c>
      <c r="C54" s="4193" t="n"/>
      <c r="D54" s="2560" t="inlineStr">
        <is>
          <t xml:space="preserve">Personal Property</t>
        </is>
      </c>
      <c r="E54" s="3498" t="n"/>
      <c r="F54" s="2560" t="inlineStr">
        <is>
          <t xml:space="preserve">Sitework</t>
        </is>
      </c>
      <c r="G54" s="3498" t="n"/>
      <c r="H54" s="2517" t="n"/>
      <c r="I54" s="50" t="n"/>
      <c r="J54" s="50" t="n"/>
      <c r="K54" s="50" t="n"/>
      <c r="L54" s="50" t="n"/>
      <c r="M54" s="50" t="n"/>
      <c r="N54" s="4171" t="e">
        <f t="array" ref="N54">C41-N41</f>
      </c>
      <c r="O54" s="50" t="n"/>
      <c r="P54" s="50" t="n"/>
      <c r="Q54" s="50" t="n"/>
      <c r="R54" s="4074" t="n"/>
      <c r="S54" s="4074" t="n"/>
      <c r="T54" s="4074" t="n"/>
      <c r="U54" s="4074" t="n"/>
      <c r="V54" s="4074" t="n"/>
      <c r="W54" s="4074" t="n"/>
      <c r="X54" s="4074" t="n"/>
      <c r="Y54" s="4074" t="n"/>
      <c r="Z54" s="4074" t="n"/>
      <c r="AA54" s="50" t="n"/>
      <c r="AB54" s="50" t="n"/>
      <c r="AC54" s="50" t="n"/>
    </row>
    <row r="55" s="3154" customFormat="1" ht="15" customHeight="1">
      <c r="A55" s="2557" t="n"/>
      <c r="B55" s="2562" t="inlineStr">
        <is>
          <t xml:space="preserve">Personal Property (5-Yr. 200% DB)</t>
        </is>
      </c>
      <c r="C55" s="4194" t="n"/>
      <c r="D55" s="2564" t="inlineStr">
        <is>
          <t xml:space="preserve">Q4</t>
        </is>
      </c>
      <c r="E55" s="2565" t="inlineStr">
        <is>
          <t xml:space="preserve">Half Year</t>
        </is>
      </c>
      <c r="F55" s="2564" t="inlineStr">
        <is>
          <t xml:space="preserve">Q4</t>
        </is>
      </c>
      <c r="G55" s="2565" t="inlineStr">
        <is>
          <t xml:space="preserve">Half Year</t>
        </is>
      </c>
      <c r="H55" s="2517" t="n"/>
      <c r="I55" s="50" t="n"/>
      <c r="J55" s="50" t="n"/>
      <c r="K55" s="113" t="inlineStr">
        <is>
          <t xml:space="preserve">Q4 2026 Table John sent on 2/14/2025</t>
        </is>
      </c>
      <c r="L55" s="50" t="n"/>
      <c r="M55" s="50" t="n"/>
      <c r="N55" s="50" t="n"/>
      <c r="O55" s="50" t="n"/>
      <c r="P55" s="50" t="n"/>
      <c r="Q55" s="50" t="n"/>
      <c r="R55" s="50" t="n"/>
      <c r="S55" s="50" t="n"/>
      <c r="T55" s="50" t="n"/>
      <c r="U55" s="50" t="n"/>
      <c r="V55" s="50" t="n"/>
      <c r="W55" s="50" t="n"/>
      <c r="X55" s="50" t="n"/>
      <c r="Y55" s="50" t="n"/>
      <c r="Z55" s="50" t="n"/>
      <c r="AA55" s="50" t="n"/>
      <c r="AB55" s="50" t="n"/>
      <c r="AC55" s="50" t="n"/>
    </row>
    <row r="56" s="3154" customFormat="1" ht="15.75" customHeight="1">
      <c r="A56" s="2557" t="n"/>
      <c r="B56" s="2566" t="n">
        <f t="array" ref="B56">D12</f>
        <v>2026</v>
      </c>
      <c r="C56" s="2566" t="n">
        <v>0</v>
      </c>
      <c r="D56" s="2567" t="n">
        <v>0</v>
      </c>
      <c r="E56" s="2568" t="n">
        <v>0</v>
      </c>
      <c r="F56" s="2568" t="n">
        <v>0</v>
      </c>
      <c r="G56" s="2568" t="n">
        <v>0</v>
      </c>
      <c r="H56" s="50" t="n"/>
      <c r="I56" s="50" t="n"/>
      <c r="J56" s="50" t="n"/>
      <c r="K56" s="2569" t="inlineStr">
        <is>
          <t xml:space="preserve">Year</t>
        </is>
      </c>
      <c r="L56" s="2569" t="inlineStr">
        <is>
          <t xml:space="preserve">3 years</t>
        </is>
      </c>
      <c r="M56" s="2569" t="inlineStr">
        <is>
          <t xml:space="preserve">5 years Adj</t>
        </is>
      </c>
      <c r="N56" s="2569" t="inlineStr">
        <is>
          <t xml:space="preserve">7 years</t>
        </is>
      </c>
      <c r="O56" s="2569" t="inlineStr">
        <is>
          <t xml:space="preserve">10 years</t>
        </is>
      </c>
      <c r="P56" s="2569" t="inlineStr">
        <is>
          <t xml:space="preserve">15 years Adj. </t>
        </is>
      </c>
      <c r="Q56" s="50" t="n"/>
      <c r="R56" s="2569" t="inlineStr">
        <is>
          <t xml:space="preserve">5 years</t>
        </is>
      </c>
      <c r="S56" s="2569" t="inlineStr">
        <is>
          <t xml:space="preserve">15 years</t>
        </is>
      </c>
      <c r="T56" s="50" t="n"/>
      <c r="U56" s="50" t="n"/>
      <c r="V56" s="50" t="n"/>
      <c r="W56" s="50" t="n"/>
      <c r="X56" s="50" t="n"/>
      <c r="Y56" s="50" t="n"/>
      <c r="Z56" s="50" t="n"/>
      <c r="AA56" s="50" t="n"/>
      <c r="AB56" s="50" t="n"/>
      <c r="AC56" s="50" t="n"/>
    </row>
    <row r="57" s="3154" customFormat="1" ht="15" customHeight="1">
      <c r="A57" s="2557" t="n"/>
      <c r="B57" s="2570" t="n">
        <f t="array" ref="B57">B56+1</f>
        <v>2027</v>
      </c>
      <c r="C57" s="2570" t="n">
        <f t="array" ref="C57">C56+1</f>
        <v>1</v>
      </c>
      <c r="D57" s="2571" t="n">
        <v>0.24</v>
      </c>
      <c r="E57" s="2556" t="n">
        <v>0.2</v>
      </c>
      <c r="F57" s="2556" t="n">
        <v>0.21</v>
      </c>
      <c r="G57" s="2556" t="n">
        <v>0.05</v>
      </c>
      <c r="H57" s="50" t="n"/>
      <c r="I57" s="50" t="n"/>
      <c r="J57" s="50" t="n"/>
      <c r="K57" s="2572" t="n">
        <v>1</v>
      </c>
      <c r="L57" s="2573" t="n">
        <v>0.0833</v>
      </c>
      <c r="M57" s="2573" t="n">
        <f t="array" ref="M57">0.2+R57*0.8</f>
        <v>0.24000000000000002</v>
      </c>
      <c r="N57" s="2572" t="n">
        <v>3.57</v>
      </c>
      <c r="O57" s="2573" t="n">
        <v>0.025</v>
      </c>
      <c r="P57" s="2573" t="n">
        <f t="array" ref="P57">0.2+S57*0.8</f>
        <v>0.21000000000000002</v>
      </c>
      <c r="Q57" s="50" t="n"/>
      <c r="R57" s="2573" t="n">
        <v>0.05</v>
      </c>
      <c r="S57" s="2573" t="n">
        <v>0.0125</v>
      </c>
      <c r="T57" s="50" t="n"/>
      <c r="U57" s="50" t="n"/>
      <c r="V57" s="50" t="n"/>
      <c r="W57" s="50" t="n"/>
      <c r="X57" s="50" t="n"/>
      <c r="Y57" s="50" t="n"/>
      <c r="Z57" s="50" t="n"/>
      <c r="AA57" s="50" t="n"/>
      <c r="AB57" s="50" t="n"/>
      <c r="AC57" s="50" t="n"/>
    </row>
    <row r="58" s="3154" customFormat="1" ht="15" customHeight="1">
      <c r="A58" s="2557" t="n"/>
      <c r="B58" s="2570" t="n">
        <f t="array" ref="B58">B57+1</f>
        <v>2028</v>
      </c>
      <c r="C58" s="2570" t="n">
        <f t="array" ref="C58">C57+1</f>
        <v>2</v>
      </c>
      <c r="D58" s="2571" t="n">
        <v>0.304</v>
      </c>
      <c r="E58" s="2556" t="n">
        <v>0.32</v>
      </c>
      <c r="F58" s="2556" t="n">
        <v>0.07904</v>
      </c>
      <c r="G58" s="2556" t="n">
        <v>0.095</v>
      </c>
      <c r="H58" s="50" t="n"/>
      <c r="I58" s="50" t="n"/>
      <c r="J58" s="50" t="n"/>
      <c r="K58" s="2574" t="n">
        <v>2</v>
      </c>
      <c r="L58" s="2575" t="n">
        <v>0.6111</v>
      </c>
      <c r="M58" s="2575" t="n">
        <f t="array" ref="M58">R58*0.8</f>
        <v>0.30400000000000005</v>
      </c>
      <c r="N58" s="2575" t="n">
        <v>0.2755</v>
      </c>
      <c r="O58" s="2575" t="n">
        <v>0.195</v>
      </c>
      <c r="P58" s="2575" t="n">
        <f t="array" ref="P58">S58*0.8</f>
        <v>0.07904</v>
      </c>
      <c r="Q58" s="50" t="n"/>
      <c r="R58" s="2575" t="n">
        <v>0.38</v>
      </c>
      <c r="S58" s="2575" t="n">
        <v>0.0988</v>
      </c>
      <c r="T58" s="50" t="n"/>
      <c r="U58" s="50" t="n"/>
      <c r="V58" s="50" t="n"/>
      <c r="W58" s="50" t="n"/>
      <c r="X58" s="50" t="n"/>
      <c r="Y58" s="50" t="n"/>
      <c r="Z58" s="50" t="n"/>
      <c r="AA58" s="50" t="n"/>
      <c r="AB58" s="50" t="n"/>
      <c r="AC58" s="50" t="n"/>
    </row>
    <row r="59" s="3154" customFormat="1" ht="15" customHeight="1">
      <c r="A59" s="2557" t="n"/>
      <c r="B59" s="2570" t="n">
        <f t="array" ref="B59">B58+1</f>
        <v>2029</v>
      </c>
      <c r="C59" s="2570" t="n">
        <f t="array" ref="C59">C58+1</f>
        <v>3</v>
      </c>
      <c r="D59" s="2571" t="n">
        <v>0.1824</v>
      </c>
      <c r="E59" s="2556" t="n">
        <v>0.192</v>
      </c>
      <c r="F59" s="2556" t="n">
        <v>0.07112</v>
      </c>
      <c r="G59" s="2556" t="n">
        <v>0.08550000000000001</v>
      </c>
      <c r="H59" s="50" t="n"/>
      <c r="I59" s="50" t="n"/>
      <c r="J59" s="50" t="n"/>
      <c r="K59" s="2574" t="n">
        <v>3</v>
      </c>
      <c r="L59" s="2574" t="n">
        <v>20.37</v>
      </c>
      <c r="M59" s="2575" t="n">
        <f t="array" ref="M59">R59*0.8</f>
        <v>0.1824</v>
      </c>
      <c r="N59" s="2575" t="n">
        <v>0.1968</v>
      </c>
      <c r="O59" s="2575" t="n">
        <v>0.156</v>
      </c>
      <c r="P59" s="2575" t="n">
        <f t="array" ref="P59">S59*0.8</f>
        <v>0.07112</v>
      </c>
      <c r="Q59" s="50" t="n"/>
      <c r="R59" s="2575" t="n">
        <v>0.228</v>
      </c>
      <c r="S59" s="2575" t="n">
        <v>0.08890000000000001</v>
      </c>
      <c r="T59" s="50" t="n"/>
      <c r="U59" s="50" t="n"/>
      <c r="V59" s="50" t="n"/>
      <c r="W59" s="50" t="n"/>
      <c r="X59" s="50" t="n"/>
      <c r="Y59" s="50" t="n"/>
      <c r="Z59" s="50" t="n"/>
      <c r="AA59" s="50" t="n"/>
      <c r="AB59" s="50" t="n"/>
      <c r="AC59" s="50" t="n"/>
    </row>
    <row r="60" s="3154" customFormat="1" ht="15" customHeight="1">
      <c r="A60" s="2557" t="n"/>
      <c r="B60" s="2570" t="n">
        <f t="array" ref="B60">B59+1</f>
        <v>2030</v>
      </c>
      <c r="C60" s="2570" t="n">
        <f t="array" ref="C60">C59+1</f>
        <v>4</v>
      </c>
      <c r="D60" s="2571" t="n">
        <v>0.10944</v>
      </c>
      <c r="E60" s="2556" t="n">
        <v>0.1152</v>
      </c>
      <c r="F60" s="2556" t="n">
        <v>0.064</v>
      </c>
      <c r="G60" s="2556" t="n">
        <v>0.077</v>
      </c>
      <c r="H60" s="50" t="n"/>
      <c r="I60" s="50" t="n"/>
      <c r="J60" s="50" t="n"/>
      <c r="K60" s="2574" t="n">
        <v>4</v>
      </c>
      <c r="L60" s="2575" t="n">
        <v>0.1019</v>
      </c>
      <c r="M60" s="2575" t="n">
        <f t="array" ref="M60">R60*0.8</f>
        <v>0.10944000000000001</v>
      </c>
      <c r="N60" s="2575" t="n">
        <v>0.1406</v>
      </c>
      <c r="O60" s="2575" t="n">
        <v>0.1248</v>
      </c>
      <c r="P60" s="2575" t="n">
        <f t="array" ref="P60">S60*0.8</f>
        <v>0.064</v>
      </c>
      <c r="Q60" s="50" t="n"/>
      <c r="R60" s="2575" t="n">
        <v>0.1368</v>
      </c>
      <c r="S60" s="2575" t="n">
        <v>0.08</v>
      </c>
      <c r="T60" s="50" t="n"/>
      <c r="U60" s="50" t="n"/>
      <c r="V60" s="50" t="n"/>
      <c r="W60" s="50" t="n"/>
      <c r="X60" s="50" t="n"/>
      <c r="Y60" s="50" t="n"/>
      <c r="Z60" s="50" t="n"/>
      <c r="AA60" s="50" t="n"/>
      <c r="AB60" s="50" t="n"/>
      <c r="AC60" s="50" t="n"/>
    </row>
    <row r="61" s="3154" customFormat="1" ht="15" customHeight="1">
      <c r="A61" s="2557" t="n"/>
      <c r="B61" s="2570" t="n">
        <f t="array" ref="B61">B60+1</f>
        <v>2031</v>
      </c>
      <c r="C61" s="2570" t="n">
        <f t="array" ref="C61">C60+1</f>
        <v>5</v>
      </c>
      <c r="D61" s="2571" t="n">
        <v>0.08752</v>
      </c>
      <c r="E61" s="2556" t="n">
        <v>0.1152</v>
      </c>
      <c r="F61" s="2556" t="n">
        <v>0.0576</v>
      </c>
      <c r="G61" s="2556" t="n">
        <v>0.0693</v>
      </c>
      <c r="H61" s="50" t="n"/>
      <c r="I61" s="50" t="n"/>
      <c r="J61" s="50" t="n"/>
      <c r="K61" s="2574" t="n">
        <v>5</v>
      </c>
      <c r="L61" s="2574" t="n"/>
      <c r="M61" s="2575" t="n">
        <f t="array" ref="M61">R61*0.8</f>
        <v>0.08752</v>
      </c>
      <c r="N61" s="2575" t="n">
        <v>0.1004</v>
      </c>
      <c r="O61" s="2575" t="n">
        <v>0.0998</v>
      </c>
      <c r="P61" s="2575" t="n">
        <f t="array" ref="P61">S61*0.8</f>
        <v>0.0576</v>
      </c>
      <c r="Q61" s="50" t="n"/>
      <c r="R61" s="2575" t="n">
        <v>0.1094</v>
      </c>
      <c r="S61" s="2575" t="n">
        <v>0.07199999999999999</v>
      </c>
      <c r="T61" s="50" t="n"/>
      <c r="U61" s="50" t="n"/>
      <c r="V61" s="50" t="n"/>
      <c r="W61" s="50" t="n"/>
      <c r="X61" s="50" t="n"/>
      <c r="Y61" s="50" t="n"/>
      <c r="Z61" s="50" t="n"/>
      <c r="AA61" s="50" t="n"/>
      <c r="AB61" s="50" t="n"/>
      <c r="AC61" s="50" t="n"/>
    </row>
    <row r="62" s="3154" customFormat="1" ht="15" customHeight="1">
      <c r="A62" s="2557" t="n"/>
      <c r="B62" s="2570" t="n">
        <f t="array" ref="B62">B61+1</f>
        <v>2032</v>
      </c>
      <c r="C62" s="2570" t="n">
        <f t="array" ref="C62">C61+1</f>
        <v>6</v>
      </c>
      <c r="D62" s="2571" t="n">
        <v>0.07664</v>
      </c>
      <c r="E62" s="2556" t="n">
        <v>0.0576</v>
      </c>
      <c r="F62" s="2556" t="n">
        <v>0.05184</v>
      </c>
      <c r="G62" s="2556" t="n">
        <v>0.0623</v>
      </c>
      <c r="H62" s="50" t="n"/>
      <c r="I62" s="50" t="n"/>
      <c r="J62" s="50" t="n"/>
      <c r="K62" s="2574" t="n">
        <v>6</v>
      </c>
      <c r="L62" s="2574" t="n"/>
      <c r="M62" s="2575" t="n">
        <f t="array" ref="M62">R62*0.8</f>
        <v>0.07664</v>
      </c>
      <c r="N62" s="2575" t="n">
        <v>0.0873</v>
      </c>
      <c r="O62" s="2575" t="n">
        <v>0.0799</v>
      </c>
      <c r="P62" s="2575" t="n">
        <f t="array" ref="P62">S62*0.8</f>
        <v>0.05184</v>
      </c>
      <c r="Q62" s="50" t="n"/>
      <c r="R62" s="2575" t="n">
        <v>0.0958</v>
      </c>
      <c r="S62" s="2575" t="n">
        <v>0.0648</v>
      </c>
      <c r="T62" s="50" t="n"/>
      <c r="U62" s="50" t="n"/>
      <c r="V62" s="50" t="n"/>
      <c r="W62" s="50" t="n"/>
      <c r="X62" s="50" t="n"/>
      <c r="Y62" s="50" t="n"/>
      <c r="Z62" s="50" t="n"/>
      <c r="AA62" s="50" t="n"/>
      <c r="AB62" s="50" t="n"/>
      <c r="AC62" s="50" t="n"/>
    </row>
    <row r="63" s="3154" customFormat="1" ht="15" customHeight="1">
      <c r="A63" s="2557" t="n"/>
      <c r="B63" s="2570" t="n">
        <f t="array" ref="B63">B62+1</f>
        <v>2033</v>
      </c>
      <c r="C63" s="2570" t="n">
        <f t="array" ref="C63">C62+1</f>
        <v>7</v>
      </c>
      <c r="D63" s="2571" t="n">
        <v>0</v>
      </c>
      <c r="E63" s="2556" t="n">
        <v>0</v>
      </c>
      <c r="F63" s="2556" t="n">
        <v>0.0472</v>
      </c>
      <c r="G63" s="2556" t="n">
        <v>0.059</v>
      </c>
      <c r="H63" s="50" t="n"/>
      <c r="I63" s="50" t="n"/>
      <c r="J63" s="50" t="n"/>
      <c r="K63" s="2574" t="n">
        <v>7</v>
      </c>
      <c r="L63" s="2574" t="n"/>
      <c r="M63" s="2574" t="n"/>
      <c r="N63" s="2575" t="n">
        <v>0.0873</v>
      </c>
      <c r="O63" s="2575" t="n">
        <v>0.0655</v>
      </c>
      <c r="P63" s="2575" t="n">
        <f t="array" ref="P63">S63*0.8</f>
        <v>0.0472</v>
      </c>
      <c r="Q63" s="50" t="n"/>
      <c r="R63" s="50" t="n"/>
      <c r="S63" s="2575" t="n">
        <v>0.059</v>
      </c>
      <c r="T63" s="50" t="n"/>
      <c r="U63" s="50" t="n"/>
      <c r="V63" s="50" t="n"/>
      <c r="W63" s="50" t="n"/>
      <c r="X63" s="50" t="n"/>
      <c r="Y63" s="50" t="n"/>
      <c r="Z63" s="50" t="n"/>
      <c r="AA63" s="50" t="n"/>
      <c r="AB63" s="50" t="n"/>
      <c r="AC63" s="50" t="n"/>
    </row>
    <row r="64" s="3154" customFormat="1" ht="15" customHeight="1">
      <c r="A64" s="2557" t="n"/>
      <c r="B64" s="2570" t="n">
        <f t="array" ref="B64">B63+1</f>
        <v>2034</v>
      </c>
      <c r="C64" s="2570" t="n">
        <f t="array" ref="C64">C63+1</f>
        <v>8</v>
      </c>
      <c r="D64" s="2571" t="n">
        <v>0</v>
      </c>
      <c r="E64" s="2556" t="n">
        <v>0</v>
      </c>
      <c r="F64" s="2556" t="n">
        <v>0.0472</v>
      </c>
      <c r="G64" s="2556" t="n">
        <v>0.059</v>
      </c>
      <c r="H64" s="50" t="n"/>
      <c r="I64" s="50" t="n"/>
      <c r="J64" s="50" t="n"/>
      <c r="K64" s="2574" t="n">
        <v>8</v>
      </c>
      <c r="L64" s="2574" t="n"/>
      <c r="M64" s="2574" t="n"/>
      <c r="N64" s="2575" t="n">
        <v>0.0764</v>
      </c>
      <c r="O64" s="2575" t="n">
        <v>0.0655</v>
      </c>
      <c r="P64" s="2575" t="n">
        <f t="array" ref="P64">S64*0.8</f>
        <v>0.0472</v>
      </c>
      <c r="Q64" s="50" t="n"/>
      <c r="R64" s="50" t="n"/>
      <c r="S64" s="2575" t="n">
        <v>0.059</v>
      </c>
      <c r="T64" s="50" t="n"/>
      <c r="U64" s="50" t="n"/>
      <c r="V64" s="50" t="n"/>
      <c r="W64" s="50" t="n"/>
      <c r="X64" s="50" t="n"/>
      <c r="Y64" s="50" t="n"/>
      <c r="Z64" s="50" t="n"/>
      <c r="AA64" s="50" t="n"/>
      <c r="AB64" s="50" t="n"/>
      <c r="AC64" s="50" t="n"/>
    </row>
    <row r="65" s="3154" customFormat="1" ht="15" customHeight="1">
      <c r="A65" s="2557" t="n"/>
      <c r="B65" s="2570" t="n">
        <f t="array" ref="B65">B64+1</f>
        <v>2035</v>
      </c>
      <c r="C65" s="2570" t="n">
        <f t="array" ref="C65">C64+1</f>
        <v>9</v>
      </c>
      <c r="D65" s="2571" t="n">
        <v>0</v>
      </c>
      <c r="E65" s="2556" t="n">
        <v>0</v>
      </c>
      <c r="F65" s="2556" t="n">
        <v>0.0472</v>
      </c>
      <c r="G65" s="2556" t="n">
        <v>0.059</v>
      </c>
      <c r="H65" s="50" t="n"/>
      <c r="I65" s="50" t="n"/>
      <c r="J65" s="50" t="n"/>
      <c r="K65" s="2574" t="n">
        <v>9</v>
      </c>
      <c r="L65" s="2574" t="n"/>
      <c r="M65" s="2574" t="n"/>
      <c r="N65" s="2574" t="n"/>
      <c r="O65" s="2575" t="n">
        <v>0.06560000000000001</v>
      </c>
      <c r="P65" s="2575" t="n">
        <f t="array" ref="P65">S65*0.8</f>
        <v>0.0472</v>
      </c>
      <c r="Q65" s="50" t="n"/>
      <c r="R65" s="50" t="n"/>
      <c r="S65" s="2575" t="n">
        <v>0.059</v>
      </c>
      <c r="T65" s="50" t="n"/>
      <c r="U65" s="50" t="n"/>
      <c r="V65" s="50" t="n"/>
      <c r="W65" s="50" t="n"/>
      <c r="X65" s="50" t="n"/>
      <c r="Y65" s="50" t="n"/>
      <c r="Z65" s="50" t="n"/>
      <c r="AA65" s="50" t="n"/>
      <c r="AB65" s="50" t="n"/>
      <c r="AC65" s="50" t="n"/>
    </row>
    <row r="66" s="3154" customFormat="1" ht="15" customHeight="1">
      <c r="A66" s="2557" t="n"/>
      <c r="B66" s="2570" t="n">
        <f t="array" ref="B66">B65+1</f>
        <v>2036</v>
      </c>
      <c r="C66" s="2570" t="n">
        <f t="array" ref="C66">C65+1</f>
        <v>10</v>
      </c>
      <c r="D66" s="2571" t="n">
        <v>0</v>
      </c>
      <c r="E66" s="2556" t="n">
        <v>0</v>
      </c>
      <c r="F66" s="2556" t="n">
        <v>0.04728</v>
      </c>
      <c r="G66" s="2556" t="n">
        <v>0.0591</v>
      </c>
      <c r="H66" s="50" t="n"/>
      <c r="I66" s="50" t="n"/>
      <c r="J66" s="50" t="n"/>
      <c r="K66" s="2574" t="n">
        <v>10</v>
      </c>
      <c r="L66" s="2574" t="n"/>
      <c r="M66" s="2574" t="n"/>
      <c r="N66" s="2574" t="n"/>
      <c r="O66" s="2575" t="n">
        <v>0.0655</v>
      </c>
      <c r="P66" s="2575" t="n">
        <f t="array" ref="P66">S66*0.8</f>
        <v>0.04728</v>
      </c>
      <c r="Q66" s="50" t="n"/>
      <c r="R66" s="50" t="n"/>
      <c r="S66" s="2575" t="n">
        <v>0.0591</v>
      </c>
      <c r="T66" s="50" t="n"/>
      <c r="U66" s="50" t="n"/>
      <c r="V66" s="50" t="n"/>
      <c r="W66" s="50" t="n"/>
      <c r="X66" s="50" t="n"/>
      <c r="Y66" s="50" t="n"/>
      <c r="Z66" s="50" t="n"/>
      <c r="AA66" s="50" t="n"/>
      <c r="AB66" s="50" t="n"/>
      <c r="AC66" s="50" t="n"/>
    </row>
    <row r="67" s="3154" customFormat="1" ht="15" customHeight="1">
      <c r="A67" s="2557" t="n"/>
      <c r="B67" s="2570" t="n">
        <f t="array" ref="B67">B66+1</f>
        <v>2037</v>
      </c>
      <c r="C67" s="2570" t="n">
        <f t="array" ref="C67">C66+1</f>
        <v>11</v>
      </c>
      <c r="D67" s="2571" t="n">
        <v>0</v>
      </c>
      <c r="E67" s="2556" t="n">
        <v>0</v>
      </c>
      <c r="F67" s="2556" t="n">
        <v>0.0472</v>
      </c>
      <c r="G67" s="2556" t="n">
        <v>0.059</v>
      </c>
      <c r="H67" s="50" t="n"/>
      <c r="I67" s="50" t="n"/>
      <c r="J67" s="50" t="n"/>
      <c r="K67" s="2574" t="n">
        <v>11</v>
      </c>
      <c r="L67" s="2574" t="n"/>
      <c r="M67" s="2574" t="n"/>
      <c r="N67" s="2574" t="n"/>
      <c r="O67" s="2575" t="n">
        <v>0.0574</v>
      </c>
      <c r="P67" s="2575" t="n">
        <f t="array" ref="P67">S67*0.8</f>
        <v>0.0472</v>
      </c>
      <c r="Q67" s="50" t="n"/>
      <c r="R67" s="50" t="n"/>
      <c r="S67" s="2575" t="n">
        <v>0.059</v>
      </c>
      <c r="T67" s="50" t="n"/>
      <c r="U67" s="50" t="n"/>
      <c r="V67" s="50" t="n"/>
      <c r="W67" s="50" t="n"/>
      <c r="X67" s="50" t="n"/>
      <c r="Y67" s="50" t="n"/>
      <c r="Z67" s="50" t="n"/>
      <c r="AA67" s="50" t="n"/>
      <c r="AB67" s="50" t="n"/>
      <c r="AC67" s="50" t="n"/>
    </row>
    <row r="68" s="3154" customFormat="1" ht="15" customHeight="1">
      <c r="A68" s="2557" t="n"/>
      <c r="B68" s="2570" t="n">
        <f t="array" ref="B68">B67+1</f>
        <v>2038</v>
      </c>
      <c r="C68" s="2570" t="n">
        <f t="array" ref="C68">C67+1</f>
        <v>12</v>
      </c>
      <c r="D68" s="2571" t="n">
        <v>0</v>
      </c>
      <c r="E68" s="2556" t="n">
        <v>0</v>
      </c>
      <c r="F68" s="2556" t="n">
        <v>0.04728</v>
      </c>
      <c r="G68" s="2556" t="n">
        <v>0.0591</v>
      </c>
      <c r="H68" s="50" t="n"/>
      <c r="I68" s="50" t="n"/>
      <c r="J68" s="50" t="n"/>
      <c r="K68" s="2574" t="n">
        <v>12</v>
      </c>
      <c r="L68" s="2574" t="n"/>
      <c r="M68" s="2574" t="n"/>
      <c r="N68" s="2574" t="n"/>
      <c r="O68" s="2574" t="n"/>
      <c r="P68" s="2575" t="n">
        <f t="array" ref="P68">S68*0.8</f>
        <v>0.04728</v>
      </c>
      <c r="Q68" s="50" t="n"/>
      <c r="R68" s="50" t="n"/>
      <c r="S68" s="2575" t="n">
        <v>0.0591</v>
      </c>
      <c r="T68" s="50" t="n"/>
      <c r="U68" s="50" t="n"/>
      <c r="V68" s="50" t="n"/>
      <c r="W68" s="50" t="n"/>
      <c r="X68" s="50" t="n"/>
      <c r="Y68" s="50" t="n"/>
      <c r="Z68" s="50" t="n"/>
      <c r="AA68" s="50" t="n"/>
      <c r="AB68" s="50" t="n"/>
      <c r="AC68" s="50" t="n"/>
    </row>
    <row r="69" s="3154" customFormat="1" ht="15" customHeight="1">
      <c r="A69" s="2557" t="n"/>
      <c r="B69" s="2570" t="n">
        <f t="array" ref="B69">B68+1</f>
        <v>2039</v>
      </c>
      <c r="C69" s="2570" t="n">
        <f t="array" ref="C69">C68+1</f>
        <v>13</v>
      </c>
      <c r="D69" s="2571" t="n">
        <v>0</v>
      </c>
      <c r="E69" s="2556" t="n">
        <v>0</v>
      </c>
      <c r="F69" s="2556" t="n">
        <v>0.0472</v>
      </c>
      <c r="G69" s="2556" t="n">
        <v>0.059</v>
      </c>
      <c r="H69" s="50" t="n"/>
      <c r="I69" s="50" t="n"/>
      <c r="J69" s="50" t="n"/>
      <c r="K69" s="2574" t="n">
        <v>13</v>
      </c>
      <c r="L69" s="2574" t="n"/>
      <c r="M69" s="2574" t="n"/>
      <c r="N69" s="2574" t="n"/>
      <c r="O69" s="2574" t="n"/>
      <c r="P69" s="2575" t="n">
        <f t="array" ref="P69">S69*0.8</f>
        <v>0.0472</v>
      </c>
      <c r="Q69" s="50" t="n"/>
      <c r="R69" s="50" t="n"/>
      <c r="S69" s="2575" t="n">
        <v>0.059</v>
      </c>
      <c r="T69" s="50" t="n"/>
      <c r="U69" s="50" t="n"/>
      <c r="V69" s="50" t="n"/>
      <c r="W69" s="50" t="n"/>
      <c r="X69" s="50" t="n"/>
      <c r="Y69" s="50" t="n"/>
      <c r="Z69" s="50" t="n"/>
      <c r="AA69" s="50" t="n"/>
      <c r="AB69" s="50" t="n"/>
      <c r="AC69" s="50" t="n"/>
    </row>
    <row r="70" s="3154" customFormat="1" ht="15" customHeight="1">
      <c r="A70" s="2557" t="n"/>
      <c r="B70" s="2570" t="n">
        <f t="array" ref="B70">B69+1</f>
        <v>2040</v>
      </c>
      <c r="C70" s="2570" t="n">
        <f t="array" ref="C70">C69+1</f>
        <v>14</v>
      </c>
      <c r="D70" s="2571" t="n">
        <v>0</v>
      </c>
      <c r="E70" s="2556" t="n">
        <v>0</v>
      </c>
      <c r="F70" s="2556" t="n">
        <v>0.04728</v>
      </c>
      <c r="G70" s="2556" t="n">
        <v>0.0591</v>
      </c>
      <c r="H70" s="50" t="n"/>
      <c r="I70" s="50" t="n"/>
      <c r="J70" s="50" t="n"/>
      <c r="K70" s="2574" t="n">
        <v>14</v>
      </c>
      <c r="L70" s="2574" t="n"/>
      <c r="M70" s="2574" t="n"/>
      <c r="N70" s="2574" t="n"/>
      <c r="O70" s="2574" t="n"/>
      <c r="P70" s="2575" t="n">
        <f t="array" ref="P70">S70*0.8</f>
        <v>0.04728</v>
      </c>
      <c r="Q70" s="50" t="n"/>
      <c r="R70" s="50" t="n"/>
      <c r="S70" s="2575" t="n">
        <v>0.0591</v>
      </c>
      <c r="T70" s="50" t="n"/>
      <c r="U70" s="50" t="n"/>
      <c r="V70" s="50" t="n"/>
      <c r="W70" s="50" t="n"/>
      <c r="X70" s="50" t="n"/>
      <c r="Y70" s="50" t="n"/>
      <c r="Z70" s="50" t="n"/>
      <c r="AA70" s="50" t="n"/>
      <c r="AB70" s="50" t="n"/>
      <c r="AC70" s="50" t="n"/>
    </row>
    <row r="71" s="3154" customFormat="1" ht="15" customHeight="1">
      <c r="A71" s="2557" t="n"/>
      <c r="B71" s="2570" t="n">
        <f t="array" ref="B71">B70+1</f>
        <v>2041</v>
      </c>
      <c r="C71" s="2570" t="n">
        <f t="array" ref="C71">C70+1</f>
        <v>15</v>
      </c>
      <c r="D71" s="2571" t="n">
        <v>0</v>
      </c>
      <c r="E71" s="2556" t="n">
        <v>0</v>
      </c>
      <c r="F71" s="2556" t="n">
        <v>0.0472</v>
      </c>
      <c r="G71" s="2556" t="n">
        <v>0.0590333333333333</v>
      </c>
      <c r="H71" s="50" t="n"/>
      <c r="I71" s="50" t="n"/>
      <c r="J71" s="50" t="n"/>
      <c r="K71" s="2574" t="n">
        <v>15</v>
      </c>
      <c r="L71" s="2574" t="n"/>
      <c r="M71" s="2574" t="n"/>
      <c r="N71" s="2574" t="n"/>
      <c r="O71" s="2574" t="n"/>
      <c r="P71" s="2575" t="n">
        <f t="array" ref="P71">S71*0.8</f>
        <v>0.0472</v>
      </c>
      <c r="Q71" s="50" t="n"/>
      <c r="R71" s="50" t="n"/>
      <c r="S71" s="2575" t="n">
        <v>0.059</v>
      </c>
      <c r="T71" s="50" t="n"/>
      <c r="U71" s="50" t="n"/>
      <c r="V71" s="50" t="n"/>
      <c r="W71" s="50" t="n"/>
      <c r="X71" s="50" t="n"/>
      <c r="Y71" s="50" t="n"/>
      <c r="Z71" s="50" t="n"/>
      <c r="AA71" s="50" t="n"/>
      <c r="AB71" s="50" t="n"/>
      <c r="AC71" s="50" t="n"/>
    </row>
    <row r="72" s="3154" customFormat="1" ht="15" customHeight="1">
      <c r="A72" s="2557" t="n"/>
      <c r="B72" s="2570" t="n">
        <f t="array" ref="B72">B71+1</f>
        <v>2042</v>
      </c>
      <c r="C72" s="2570" t="n">
        <f t="array" ref="C72">C71+1</f>
        <v>16</v>
      </c>
      <c r="D72" s="2571" t="n">
        <v>0</v>
      </c>
      <c r="E72" s="2556" t="n">
        <v>0</v>
      </c>
      <c r="F72" s="2521" t="n">
        <v>0.04136</v>
      </c>
      <c r="G72" s="2521" t="n">
        <f t="array" ref="G72">1-SUM($G$56:G71)</f>
        <v>0.029566666666666408</v>
      </c>
      <c r="H72" s="2521" t="n"/>
      <c r="I72" s="50" t="n"/>
      <c r="J72" s="50" t="n"/>
      <c r="K72" s="2574" t="n">
        <v>16</v>
      </c>
      <c r="L72" s="2574" t="n"/>
      <c r="M72" s="2574" t="n"/>
      <c r="N72" s="2574" t="n"/>
      <c r="O72" s="2574" t="n"/>
      <c r="P72" s="2575" t="n">
        <f t="array" ref="P72">S72*0.8</f>
        <v>0.04136000000000001</v>
      </c>
      <c r="Q72" s="50" t="n"/>
      <c r="R72" s="50" t="n"/>
      <c r="S72" s="2575" t="n">
        <v>0.0517</v>
      </c>
      <c r="T72" s="50" t="n"/>
      <c r="U72" s="50" t="n"/>
      <c r="V72" s="50" t="n"/>
      <c r="W72" s="50" t="n"/>
      <c r="X72" s="50" t="n"/>
      <c r="Y72" s="50" t="n"/>
      <c r="Z72" s="50" t="n"/>
      <c r="AA72" s="50" t="n"/>
      <c r="AB72" s="50" t="n"/>
      <c r="AC72" s="50" t="n"/>
    </row>
    <row r="73" s="3154" customFormat="1" ht="15" customHeight="1">
      <c r="A73" s="2557" t="n"/>
      <c r="B73" s="2570" t="n">
        <f t="array" ref="B73">B72+1</f>
        <v>2043</v>
      </c>
      <c r="C73" s="2570" t="n">
        <f t="array" ref="C73">C72+1</f>
        <v>17</v>
      </c>
      <c r="D73" s="2571" t="n">
        <v>0</v>
      </c>
      <c r="E73" s="2556" t="n">
        <v>0</v>
      </c>
      <c r="F73" s="2521" t="n">
        <f t="array" ref="F73">1-SUM($F$56:F72)</f>
        <v>0</v>
      </c>
      <c r="G73" s="2521" t="n">
        <f t="array" ref="G73">1-SUM($G$56:G72)</f>
        <v>0</v>
      </c>
      <c r="H73" s="50" t="n"/>
      <c r="I73" s="50" t="n"/>
      <c r="J73" s="50" t="n"/>
      <c r="K73" s="50" t="n"/>
      <c r="L73" s="50" t="n"/>
      <c r="M73" s="50" t="n"/>
      <c r="N73" s="50" t="n"/>
      <c r="O73" s="50" t="n"/>
      <c r="P73" s="50" t="n"/>
      <c r="Q73" s="50" t="n"/>
      <c r="R73" s="50" t="n"/>
      <c r="S73" s="50" t="n"/>
      <c r="T73" s="50" t="n"/>
      <c r="U73" s="50" t="n"/>
      <c r="V73" s="50" t="n"/>
      <c r="W73" s="50" t="n"/>
      <c r="X73" s="50" t="n"/>
      <c r="Y73" s="50" t="n"/>
      <c r="Z73" s="50" t="n"/>
      <c r="AA73" s="50" t="n"/>
      <c r="AB73" s="50" t="n"/>
      <c r="AC73" s="50" t="n"/>
    </row>
    <row r="74" s="3154" customFormat="1" ht="15" customHeight="1">
      <c r="A74" s="2557" t="n"/>
      <c r="B74" s="2570" t="n">
        <f t="array" ref="B74">B73+1</f>
        <v>2044</v>
      </c>
      <c r="C74" s="2570" t="n">
        <f t="array" ref="C74">C73+1</f>
        <v>18</v>
      </c>
      <c r="D74" s="2571" t="n">
        <v>0</v>
      </c>
      <c r="E74" s="2556" t="n">
        <v>0</v>
      </c>
      <c r="F74" s="2521" t="n">
        <f t="array" ref="F74">1-SUM($F$56:F73)</f>
        <v>0</v>
      </c>
      <c r="G74" s="2521" t="n">
        <f t="array" ref="G74">1-SUM($G$56:G73)</f>
        <v>0</v>
      </c>
      <c r="H74" s="50" t="n"/>
      <c r="I74" s="50" t="n"/>
      <c r="J74" s="50" t="n"/>
      <c r="K74" s="50" t="n"/>
      <c r="L74" s="50" t="n"/>
      <c r="M74" s="4171" t="n">
        <f t="array" ref="M74">SUM(M57:M73)</f>
        <v>1</v>
      </c>
      <c r="N74" s="50" t="n"/>
      <c r="O74" s="50" t="n"/>
      <c r="P74" s="50" t="n"/>
      <c r="Q74" s="50" t="n"/>
      <c r="R74" s="50" t="n"/>
      <c r="S74" s="50" t="n"/>
      <c r="T74" s="50" t="n"/>
      <c r="U74" s="50" t="n"/>
      <c r="V74" s="50" t="n"/>
      <c r="W74" s="50" t="n"/>
      <c r="X74" s="50" t="n"/>
      <c r="Y74" s="50" t="n"/>
      <c r="Z74" s="50" t="n"/>
      <c r="AA74" s="50" t="n"/>
      <c r="AB74" s="50" t="n"/>
      <c r="AC74" s="50" t="n"/>
    </row>
    <row r="75" s="3154" customFormat="1" ht="15" customHeight="1">
      <c r="A75" s="2557" t="n"/>
      <c r="B75" s="2570" t="n">
        <f t="array" ref="B75">B74+1</f>
        <v>2045</v>
      </c>
      <c r="C75" s="2570" t="n">
        <f t="array" ref="C75">C74+1</f>
        <v>19</v>
      </c>
      <c r="D75" s="2571" t="n">
        <v>0</v>
      </c>
      <c r="E75" s="2556" t="n">
        <v>0</v>
      </c>
      <c r="F75" s="2521" t="n">
        <f t="array" ref="F75">1-SUM($F$56:F74)</f>
        <v>0</v>
      </c>
      <c r="G75" s="2521" t="n">
        <f t="array" ref="G75">1-SUM($G$56:G74)</f>
        <v>0</v>
      </c>
      <c r="H75" s="50" t="n"/>
      <c r="I75" s="50" t="n"/>
      <c r="J75" s="50" t="n"/>
      <c r="K75" s="50" t="n"/>
      <c r="L75" s="50" t="n"/>
      <c r="M75" s="50" t="n"/>
      <c r="N75" s="50" t="n"/>
      <c r="O75" s="50" t="n"/>
      <c r="P75" s="50" t="n"/>
      <c r="Q75" s="50" t="n"/>
      <c r="R75" s="50" t="n"/>
      <c r="S75" s="50" t="n"/>
      <c r="T75" s="50" t="n"/>
      <c r="U75" s="50" t="n"/>
      <c r="V75" s="50" t="n"/>
      <c r="W75" s="50" t="n"/>
      <c r="X75" s="50" t="n"/>
      <c r="Y75" s="50" t="n"/>
      <c r="Z75" s="50" t="n"/>
      <c r="AA75" s="50" t="n"/>
      <c r="AB75" s="50" t="n"/>
      <c r="AC75" s="50" t="n"/>
    </row>
    <row r="76" s="3154" customFormat="1" ht="15" customHeight="1">
      <c r="A76" s="2557" t="n"/>
      <c r="B76" s="2570" t="n">
        <f t="array" ref="B76">B75+1</f>
        <v>2046</v>
      </c>
      <c r="C76" s="2570" t="n">
        <f t="array" ref="C76">C75+1</f>
        <v>20</v>
      </c>
      <c r="D76" s="2571" t="n">
        <v>0</v>
      </c>
      <c r="E76" s="2556" t="n">
        <v>0</v>
      </c>
      <c r="F76" s="2521" t="n">
        <f t="array" ref="F76">1-SUM($F$56:F75)</f>
        <v>0</v>
      </c>
      <c r="G76" s="2521" t="n">
        <f t="array" ref="G76">1-SUM($G$56:G75)</f>
        <v>0</v>
      </c>
      <c r="H76" s="50" t="n"/>
      <c r="I76" s="50" t="n"/>
      <c r="J76" s="50" t="n"/>
      <c r="K76" s="50" t="n"/>
      <c r="L76" s="50" t="n"/>
      <c r="M76" s="50" t="n"/>
      <c r="N76" s="50" t="n"/>
      <c r="O76" s="50" t="n"/>
      <c r="P76" s="50" t="n"/>
      <c r="Q76" s="50" t="n"/>
      <c r="R76" s="50" t="n"/>
      <c r="S76" s="50" t="n"/>
      <c r="T76" s="50" t="n"/>
      <c r="U76" s="50" t="n"/>
      <c r="V76" s="50" t="n"/>
      <c r="W76" s="50" t="n"/>
      <c r="X76" s="50" t="n"/>
      <c r="Y76" s="50" t="n"/>
      <c r="Z76" s="50" t="n"/>
      <c r="AA76" s="50" t="n"/>
      <c r="AB76" s="50" t="n"/>
      <c r="AC76" s="50" t="n"/>
    </row>
    <row r="77" s="3154" customFormat="1" ht="15" customHeight="1">
      <c r="A77" s="2557" t="n"/>
      <c r="B77" s="2570" t="n">
        <f t="array" ref="B77">B76+1</f>
        <v>2047</v>
      </c>
      <c r="C77" s="2570" t="n">
        <f t="array" ref="C77">C76+1</f>
        <v>21</v>
      </c>
      <c r="D77" s="2571" t="n">
        <v>0</v>
      </c>
      <c r="E77" s="2556" t="n">
        <v>0</v>
      </c>
      <c r="F77" s="2521" t="n">
        <f t="array" ref="F77">1-SUM($F$56:F76)</f>
        <v>0</v>
      </c>
      <c r="G77" s="2521" t="n">
        <f t="array" ref="G77">1-SUM($G$56:G76)</f>
        <v>0</v>
      </c>
      <c r="H77" s="50" t="n"/>
      <c r="I77" s="50" t="n"/>
      <c r="J77" s="50" t="n"/>
      <c r="K77" s="50" t="n"/>
      <c r="L77" s="50" t="n"/>
      <c r="M77" s="50" t="n"/>
      <c r="N77" s="50" t="n"/>
      <c r="O77" s="50" t="n"/>
      <c r="P77" s="50" t="n"/>
      <c r="Q77" s="50" t="n"/>
      <c r="R77" s="50" t="n"/>
      <c r="S77" s="50" t="n"/>
      <c r="T77" s="50" t="n"/>
      <c r="U77" s="50" t="n"/>
      <c r="V77" s="50" t="n"/>
      <c r="W77" s="50" t="n"/>
      <c r="X77" s="50" t="n"/>
      <c r="Y77" s="50" t="n"/>
      <c r="Z77" s="50" t="n"/>
      <c r="AA77" s="50" t="n"/>
      <c r="AB77" s="50" t="n"/>
      <c r="AC77" s="50" t="n"/>
    </row>
    <row r="78" s="3154" customFormat="1" ht="15" customHeight="1">
      <c r="A78" s="2557" t="n"/>
      <c r="B78" s="2570" t="n">
        <f t="array" ref="B78">B77+1</f>
        <v>2048</v>
      </c>
      <c r="C78" s="2570" t="n">
        <f t="array" ref="C78">C77+1</f>
        <v>22</v>
      </c>
      <c r="D78" s="2571" t="n">
        <v>0</v>
      </c>
      <c r="E78" s="2556" t="n">
        <v>0</v>
      </c>
      <c r="F78" s="2521" t="n">
        <f t="array" ref="F78">1-SUM($F$56:F77)</f>
        <v>0</v>
      </c>
      <c r="G78" s="2521" t="n">
        <f t="array" ref="G78">1-SUM($G$56:G77)</f>
        <v>0</v>
      </c>
      <c r="H78" s="50" t="n"/>
      <c r="I78" s="50" t="n"/>
      <c r="J78" s="50" t="n"/>
      <c r="K78" s="50" t="n"/>
      <c r="L78" s="50" t="n"/>
      <c r="M78" s="50" t="n"/>
      <c r="N78" s="50" t="n"/>
      <c r="O78" s="50" t="n"/>
      <c r="P78" s="50" t="n"/>
      <c r="Q78" s="50" t="n"/>
      <c r="R78" s="50" t="n"/>
      <c r="S78" s="50" t="n"/>
      <c r="T78" s="50" t="n"/>
      <c r="U78" s="50" t="n"/>
      <c r="V78" s="50" t="n"/>
      <c r="W78" s="50" t="n"/>
      <c r="X78" s="50" t="n"/>
      <c r="Y78" s="50" t="n"/>
      <c r="Z78" s="50" t="n"/>
      <c r="AA78" s="50" t="n"/>
      <c r="AB78" s="50" t="n"/>
      <c r="AC78" s="50" t="n"/>
    </row>
    <row r="79" s="3154" customFormat="1" ht="12.75" customHeight="1">
      <c r="A79" s="50" t="n"/>
      <c r="B79" s="2576" t="n"/>
      <c r="C79" s="2576" t="n"/>
      <c r="D79" s="2332" t="n"/>
      <c r="E79" s="2577" t="n"/>
      <c r="F79" s="2332" t="n"/>
      <c r="G79" s="2332" t="n"/>
      <c r="H79" s="2332" t="n"/>
      <c r="I79" s="2332" t="n"/>
      <c r="J79" s="2332" t="n"/>
      <c r="K79" s="2332" t="n"/>
      <c r="L79" s="50" t="n"/>
      <c r="M79" s="50" t="n"/>
      <c r="N79" s="50" t="n"/>
      <c r="O79" s="50" t="n"/>
      <c r="P79" s="50" t="n"/>
      <c r="Q79" s="50" t="n"/>
      <c r="R79" s="50" t="n"/>
      <c r="S79" s="50" t="n"/>
      <c r="T79" s="50" t="n"/>
      <c r="U79" s="50" t="n"/>
      <c r="V79" s="50" t="n"/>
      <c r="W79" s="50" t="n"/>
      <c r="X79" s="50" t="n"/>
      <c r="Y79" s="50" t="n"/>
      <c r="Z79" s="50" t="n"/>
      <c r="AA79" s="50" t="n"/>
      <c r="AB79" s="50" t="n"/>
      <c r="AC79" s="50" t="n"/>
    </row>
    <row r="80" s="3154" customFormat="1" ht="15" customHeight="1">
      <c r="A80" s="2557" t="n"/>
      <c r="B80" s="2578" t="inlineStr">
        <is>
          <t xml:space="preserve">PHASE I</t>
        </is>
      </c>
      <c r="C80" s="2566" t="n"/>
      <c r="D80" s="2579" t="inlineStr">
        <is>
          <t xml:space="preserve">Personal</t>
        </is>
      </c>
      <c r="E80" s="4017" t="n"/>
      <c r="F80" s="2579" t="inlineStr">
        <is>
          <t xml:space="preserve">Sitework</t>
        </is>
      </c>
      <c r="G80" s="4017" t="n"/>
      <c r="H80" s="2579" t="inlineStr">
        <is>
          <t xml:space="preserve">Acquis</t>
        </is>
      </c>
      <c r="I80" s="4017" t="n"/>
      <c r="J80" s="2579" t="inlineStr">
        <is>
          <t xml:space="preserve">New Build</t>
        </is>
      </c>
      <c r="K80" s="4017" t="n"/>
      <c r="L80" s="2517" t="n"/>
      <c r="M80" s="50" t="n"/>
      <c r="N80" s="50" t="n"/>
      <c r="O80" s="50" t="n"/>
      <c r="P80" s="50" t="n"/>
      <c r="Q80" s="50" t="n"/>
      <c r="R80" s="50" t="n"/>
      <c r="S80" s="50" t="n"/>
      <c r="T80" s="50" t="n"/>
      <c r="U80" s="50" t="n"/>
      <c r="V80" s="50" t="n"/>
      <c r="W80" s="50" t="n"/>
      <c r="X80" s="50" t="n"/>
      <c r="Y80" s="50" t="n"/>
      <c r="Z80" s="50" t="n"/>
      <c r="AA80" s="50" t="n"/>
      <c r="AB80" s="50" t="n"/>
      <c r="AC80" s="50" t="n"/>
    </row>
    <row r="81" s="3154" customFormat="1" ht="15" customHeight="1">
      <c r="A81" s="2557" t="n"/>
      <c r="B81" s="2581" t="inlineStr">
        <is>
          <t xml:space="preserve">Year #</t>
        </is>
      </c>
      <c r="C81" s="2581" t="inlineStr">
        <is>
          <t xml:space="preserve">Year</t>
        </is>
      </c>
      <c r="D81" s="2582" t="inlineStr">
        <is>
          <t xml:space="preserve">SL</t>
        </is>
      </c>
      <c r="E81" s="2583" t="inlineStr">
        <is>
          <t xml:space="preserve">MACRS</t>
        </is>
      </c>
      <c r="F81" s="2582" t="inlineStr">
        <is>
          <t xml:space="preserve">SL</t>
        </is>
      </c>
      <c r="G81" s="2583" t="inlineStr">
        <is>
          <t xml:space="preserve">MACRS</t>
        </is>
      </c>
      <c r="H81" s="2582" t="inlineStr">
        <is>
          <t xml:space="preserve">40 Yr</t>
        </is>
      </c>
      <c r="I81" s="2583" t="inlineStr">
        <is>
          <t xml:space="preserve">27.5 yr</t>
        </is>
      </c>
      <c r="J81" s="2582" t="inlineStr">
        <is>
          <t xml:space="preserve">40 Yr</t>
        </is>
      </c>
      <c r="K81" s="2583" t="inlineStr">
        <is>
          <t xml:space="preserve">30 yr</t>
        </is>
      </c>
      <c r="L81" s="2517" t="n"/>
      <c r="M81" s="50" t="n"/>
      <c r="N81" s="50" t="n"/>
      <c r="O81" s="50" t="n"/>
      <c r="P81" s="50" t="n"/>
      <c r="Q81" s="50" t="n"/>
      <c r="R81" s="50" t="n"/>
      <c r="S81" s="50" t="n"/>
      <c r="T81" s="50" t="n"/>
      <c r="U81" s="50" t="n"/>
      <c r="V81" s="50" t="n"/>
      <c r="W81" s="50" t="n"/>
      <c r="X81" s="50" t="n"/>
      <c r="Y81" s="50" t="n"/>
      <c r="Z81" s="50" t="n"/>
      <c r="AA81" s="50" t="n"/>
      <c r="AB81" s="50" t="n"/>
      <c r="AC81" s="50" t="n"/>
    </row>
    <row r="82" s="3154" customFormat="1" ht="15" customHeight="1">
      <c r="A82" s="2557" t="n"/>
      <c r="B82" s="2566" t="e">
        <f t="array" ref="B82">IF($D$6=C82,1,IF(C82&gt;$D$6,B81+1,0))</f>
      </c>
      <c r="C82" s="2566" t="n">
        <f t="array" ref="C82">D12</f>
        <v>2026</v>
      </c>
      <c r="D82" s="2584" t="n">
        <v>0</v>
      </c>
      <c r="E82" s="2585" t="e">
        <f t="array" ref="E82">IF($C$6&gt;9,VLOOKUP(B82,$C$56:$G$78,2,FALSE()),VLOOKUP(B82,$C$56:$G$78,3,FALSE()))</f>
      </c>
      <c r="F82" s="2584" t="n">
        <v>0</v>
      </c>
      <c r="G82" s="2585" t="e">
        <f t="array" ref="G82">IF($C$6&gt;9,VLOOKUP(B82,$C$56:$G$79,4,FALSE()),VLOOKUP(B82,$C$56:$G$79,5,FALSE()))</f>
      </c>
      <c r="H82" s="2584" t="n">
        <v>0</v>
      </c>
      <c r="I82" s="2585" t="n">
        <v>0</v>
      </c>
      <c r="J82" s="2584" t="n">
        <v>0</v>
      </c>
      <c r="K82" s="2585" t="n">
        <v>0</v>
      </c>
      <c r="L82" s="2517" t="n"/>
      <c r="M82" s="50" t="n"/>
      <c r="N82" s="50" t="n"/>
      <c r="O82" s="50" t="n"/>
      <c r="P82" s="50" t="n"/>
      <c r="Q82" s="50" t="n"/>
      <c r="R82" s="50" t="n"/>
      <c r="S82" s="50" t="n"/>
      <c r="T82" s="50" t="n"/>
      <c r="U82" s="50" t="n"/>
      <c r="V82" s="50" t="n"/>
      <c r="W82" s="50" t="n"/>
      <c r="X82" s="50" t="n"/>
      <c r="Y82" s="50" t="n"/>
      <c r="Z82" s="50" t="n"/>
      <c r="AA82" s="50" t="n"/>
      <c r="AB82" s="50" t="n"/>
      <c r="AC82" s="50" t="n"/>
    </row>
    <row r="83" s="3154" customFormat="1" ht="15" customHeight="1">
      <c r="A83" s="2557" t="n"/>
      <c r="B83" s="2570" t="e">
        <f t="array" ref="B83">IF($D$6=C83,1,IF(C83&gt;$D$6,B82+1,0))</f>
      </c>
      <c r="C83" s="2570" t="n">
        <f t="array" ref="C83">C82+1</f>
        <v>2027</v>
      </c>
      <c r="D83" s="2586" t="n">
        <v>0.0277777777777778</v>
      </c>
      <c r="E83" s="2587" t="e">
        <f t="array" ref="E83">IF($C$6&gt;9,VLOOKUP(B83,$C$56:$G$78,2,FALSE()),VLOOKUP(B83,$C$56:$G$78,3,FALSE()))</f>
      </c>
      <c r="F83" s="2586" t="n">
        <v>0.0125</v>
      </c>
      <c r="G83" s="2587" t="e">
        <f t="array" ref="G83">IF($C$6&gt;9,VLOOKUP(B83,$C$56:$G$79,4,FALSE()),VLOOKUP(B83,$C$56:$G$79,5,FALSE()))</f>
      </c>
      <c r="H83" s="2586" t="n">
        <v>0.00625</v>
      </c>
      <c r="I83" s="2587" t="n">
        <v>0.00909090909090909</v>
      </c>
      <c r="J83" s="2586" t="n">
        <v>0.00625</v>
      </c>
      <c r="K83" s="2587" t="n">
        <v>0.00833333333333333</v>
      </c>
      <c r="L83" s="2517" t="n"/>
      <c r="M83" s="50" t="n"/>
      <c r="N83" s="50" t="n"/>
      <c r="O83" s="50" t="n"/>
      <c r="P83" s="50" t="n"/>
      <c r="Q83" s="50" t="n"/>
      <c r="R83" s="50" t="n"/>
      <c r="S83" s="50" t="n"/>
      <c r="T83" s="50" t="n"/>
      <c r="U83" s="50" t="n"/>
      <c r="V83" s="50" t="n"/>
      <c r="W83" s="50" t="n"/>
      <c r="X83" s="50" t="n"/>
      <c r="Y83" s="50" t="n"/>
      <c r="Z83" s="50" t="n"/>
      <c r="AA83" s="50" t="n"/>
      <c r="AB83" s="50" t="n"/>
      <c r="AC83" s="50" t="n"/>
    </row>
    <row r="84" s="3154" customFormat="1" ht="15" customHeight="1">
      <c r="A84" s="2557" t="n"/>
      <c r="B84" s="2570" t="e">
        <f t="array" ref="B84">IF($D$6=C84,1,IF(C84&gt;$D$6,B83+1,0))</f>
      </c>
      <c r="C84" s="2570" t="n">
        <f t="array" ref="C84">C83+1</f>
        <v>2028</v>
      </c>
      <c r="D84" s="2586" t="n">
        <v>0.111111111111111</v>
      </c>
      <c r="E84" s="2587" t="e">
        <f t="array" ref="E84">IF($C$6&gt;9,VLOOKUP(B84,$C$56:$G$78,2,FALSE()),VLOOKUP(B84,$C$56:$G$78,3,FALSE()))</f>
      </c>
      <c r="F84" s="2586" t="n">
        <v>0.05</v>
      </c>
      <c r="G84" s="2587" t="e">
        <f t="array" ref="G84">IF($C$6&gt;9,VLOOKUP(B84,$C$56:$G$79,4,FALSE()),VLOOKUP(B84,$C$56:$G$79,5,FALSE()))</f>
      </c>
      <c r="H84" s="2586" t="n">
        <v>0.025</v>
      </c>
      <c r="I84" s="2587" t="n">
        <v>0.0363636363636364</v>
      </c>
      <c r="J84" s="2586" t="n">
        <v>0.025</v>
      </c>
      <c r="K84" s="2587" t="n">
        <v>0.0333333333333333</v>
      </c>
      <c r="L84" s="2517" t="n"/>
      <c r="M84" s="50" t="n"/>
      <c r="N84" s="50" t="n"/>
      <c r="O84" s="50" t="n"/>
      <c r="P84" s="50" t="n"/>
      <c r="Q84" s="50" t="n"/>
      <c r="R84" s="50" t="n"/>
      <c r="S84" s="50" t="n"/>
      <c r="T84" s="50" t="n"/>
      <c r="U84" s="50" t="n"/>
      <c r="V84" s="50" t="n"/>
      <c r="W84" s="50" t="n"/>
      <c r="X84" s="50" t="n"/>
      <c r="Y84" s="50" t="n"/>
      <c r="Z84" s="50" t="n"/>
      <c r="AA84" s="50" t="n"/>
      <c r="AB84" s="50" t="n"/>
      <c r="AC84" s="50" t="n"/>
    </row>
    <row r="85" s="3154" customFormat="1" ht="15" customHeight="1">
      <c r="A85" s="2557" t="n"/>
      <c r="B85" s="2570" t="e">
        <f t="array" ref="B85">IF($D$6=C85,1,IF(C85&gt;$D$6,B84+1,0))</f>
      </c>
      <c r="C85" s="2570" t="n">
        <f t="array" ref="C85">C84+1</f>
        <v>2029</v>
      </c>
      <c r="D85" s="2586" t="n">
        <v>0.111111111111111</v>
      </c>
      <c r="E85" s="2587" t="e">
        <f t="array" ref="E85">IF($C$6&gt;9,VLOOKUP(B85,$C$56:$G$78,2,FALSE()),VLOOKUP(B85,$C$56:$G$78,3,FALSE()))</f>
      </c>
      <c r="F85" s="2586" t="n">
        <v>0.05</v>
      </c>
      <c r="G85" s="2587" t="e">
        <f t="array" ref="G85">IF($C$6&gt;9,VLOOKUP(B85,$C$56:$G$79,4,FALSE()),VLOOKUP(B85,$C$56:$G$79,5,FALSE()))</f>
      </c>
      <c r="H85" s="2586" t="n">
        <v>0.025</v>
      </c>
      <c r="I85" s="2587" t="n">
        <v>0.0363636363636364</v>
      </c>
      <c r="J85" s="2586" t="n">
        <v>0.025</v>
      </c>
      <c r="K85" s="2587" t="n">
        <v>0.0333333333333333</v>
      </c>
      <c r="L85" s="2517" t="n"/>
      <c r="M85" s="50" t="n"/>
      <c r="N85" s="50" t="n"/>
      <c r="O85" s="50" t="n"/>
      <c r="P85" s="50" t="n"/>
      <c r="Q85" s="50" t="n"/>
      <c r="R85" s="50" t="n"/>
      <c r="S85" s="50" t="n"/>
      <c r="T85" s="50" t="n"/>
      <c r="U85" s="50" t="n"/>
      <c r="V85" s="50" t="n"/>
      <c r="W85" s="50" t="n"/>
      <c r="X85" s="50" t="n"/>
      <c r="Y85" s="50" t="n"/>
      <c r="Z85" s="50" t="n"/>
      <c r="AA85" s="50" t="n"/>
      <c r="AB85" s="50" t="n"/>
      <c r="AC85" s="50" t="n"/>
    </row>
    <row r="86" s="3154" customFormat="1" ht="15" customHeight="1">
      <c r="A86" s="2557" t="n"/>
      <c r="B86" s="2570" t="e">
        <f t="array" ref="B86">IF($D$6=C86,1,IF(C86&gt;$D$6,B85+1,0))</f>
      </c>
      <c r="C86" s="2570" t="n">
        <f t="array" ref="C86">C85+1</f>
        <v>2030</v>
      </c>
      <c r="D86" s="2586" t="n">
        <v>0.111111111111111</v>
      </c>
      <c r="E86" s="2587" t="e">
        <f t="array" ref="E86">IF($C$6&gt;9,VLOOKUP(B86,$C$56:$G$78,2,FALSE()),VLOOKUP(B86,$C$56:$G$78,3,FALSE()))</f>
      </c>
      <c r="F86" s="2586" t="n">
        <v>0.05</v>
      </c>
      <c r="G86" s="2587" t="e">
        <f t="array" ref="G86">IF($C$6&gt;9,VLOOKUP(B86,$C$56:$G$79,4,FALSE()),VLOOKUP(B86,$C$56:$G$79,5,FALSE()))</f>
      </c>
      <c r="H86" s="2586" t="n">
        <v>0.025</v>
      </c>
      <c r="I86" s="2587" t="n">
        <v>0.0363636363636364</v>
      </c>
      <c r="J86" s="2586" t="n">
        <v>0.025</v>
      </c>
      <c r="K86" s="2587" t="n">
        <v>0.0333333333333333</v>
      </c>
      <c r="L86" s="2517" t="n"/>
      <c r="M86" s="50" t="n"/>
      <c r="N86" s="50" t="n"/>
      <c r="O86" s="50" t="n"/>
      <c r="P86" s="50" t="n"/>
      <c r="Q86" s="50" t="n"/>
      <c r="R86" s="50" t="n"/>
      <c r="S86" s="50" t="n"/>
      <c r="T86" s="50" t="n"/>
      <c r="U86" s="50" t="n"/>
      <c r="V86" s="50" t="n"/>
      <c r="W86" s="50" t="n"/>
      <c r="X86" s="50" t="n"/>
      <c r="Y86" s="50" t="n"/>
      <c r="Z86" s="50" t="n"/>
      <c r="AA86" s="50" t="n"/>
      <c r="AB86" s="50" t="n"/>
      <c r="AC86" s="50" t="n"/>
    </row>
    <row r="87" s="3154" customFormat="1" ht="15" customHeight="1">
      <c r="A87" s="2557" t="n"/>
      <c r="B87" s="2570" t="e">
        <f t="array" ref="B87">IF($D$6=C87,1,IF(C87&gt;$D$6,B86+1,0))</f>
      </c>
      <c r="C87" s="2570" t="n">
        <f t="array" ref="C87">C86+1</f>
        <v>2031</v>
      </c>
      <c r="D87" s="2586" t="n">
        <v>0.111111111111111</v>
      </c>
      <c r="E87" s="2587" t="e">
        <f t="array" ref="E87">IF($C$6&gt;9,VLOOKUP(B87,$C$56:$G$78,2,FALSE()),VLOOKUP(B87,$C$56:$G$78,3,FALSE()))</f>
      </c>
      <c r="F87" s="2586" t="n">
        <v>0.05</v>
      </c>
      <c r="G87" s="2587" t="e">
        <f t="array" ref="G87">IF($C$6&gt;9,VLOOKUP(B87,$C$56:$G$79,4,FALSE()),VLOOKUP(B87,$C$56:$G$79,5,FALSE()))</f>
      </c>
      <c r="H87" s="2586" t="n">
        <v>0.025</v>
      </c>
      <c r="I87" s="2587" t="n">
        <v>0.0363636363636364</v>
      </c>
      <c r="J87" s="2586" t="n">
        <v>0.025</v>
      </c>
      <c r="K87" s="2587" t="n">
        <v>0.0333333333333333</v>
      </c>
      <c r="L87" s="2517" t="n"/>
      <c r="M87" s="50" t="n"/>
      <c r="N87" s="50" t="n"/>
      <c r="O87" s="50" t="n"/>
      <c r="P87" s="50" t="n"/>
      <c r="Q87" s="50" t="n"/>
      <c r="R87" s="50" t="n"/>
      <c r="S87" s="50" t="n"/>
      <c r="T87" s="50" t="n"/>
      <c r="U87" s="50" t="n"/>
      <c r="V87" s="50" t="n"/>
      <c r="W87" s="50" t="n"/>
      <c r="X87" s="50" t="n"/>
      <c r="Y87" s="50" t="n"/>
      <c r="Z87" s="50" t="n"/>
      <c r="AA87" s="50" t="n"/>
      <c r="AB87" s="50" t="n"/>
      <c r="AC87" s="50" t="n"/>
    </row>
    <row r="88" s="3154" customFormat="1" ht="15" customHeight="1">
      <c r="A88" s="2557" t="n"/>
      <c r="B88" s="2570" t="e">
        <f t="array" ref="B88">IF($D$6=C88,1,IF(C88&gt;$D$6,B87+1,0))</f>
      </c>
      <c r="C88" s="2570" t="n">
        <f t="array" ref="C88">C87+1</f>
        <v>2032</v>
      </c>
      <c r="D88" s="2586" t="n">
        <v>0.111111111111111</v>
      </c>
      <c r="E88" s="2587" t="e">
        <f t="array" ref="E88">IF($C$6&gt;9,VLOOKUP(B88,$C$56:$G$78,2,FALSE()),VLOOKUP(B88,$C$56:$G$78,3,FALSE()))</f>
      </c>
      <c r="F88" s="2586" t="n">
        <v>0.05</v>
      </c>
      <c r="G88" s="2587" t="e">
        <f t="array" ref="G88">IF($C$6&gt;9,VLOOKUP(B88,$C$56:$G$79,4,FALSE()),VLOOKUP(B88,$C$56:$G$79,5,FALSE()))</f>
      </c>
      <c r="H88" s="2586" t="n">
        <v>0.025</v>
      </c>
      <c r="I88" s="2587" t="n">
        <v>0.0363636363636364</v>
      </c>
      <c r="J88" s="2586" t="n">
        <v>0.025</v>
      </c>
      <c r="K88" s="2587" t="n">
        <v>0.0333333333333333</v>
      </c>
      <c r="L88" s="2517" t="n"/>
      <c r="M88" s="50" t="n"/>
      <c r="N88" s="50" t="n"/>
      <c r="O88" s="50" t="n"/>
      <c r="P88" s="50" t="n"/>
      <c r="Q88" s="50" t="n"/>
      <c r="R88" s="50" t="n"/>
      <c r="S88" s="50" t="n"/>
      <c r="T88" s="50" t="n"/>
      <c r="U88" s="50" t="n"/>
      <c r="V88" s="50" t="n"/>
      <c r="W88" s="50" t="n"/>
      <c r="X88" s="50" t="n"/>
      <c r="Y88" s="50" t="n"/>
      <c r="Z88" s="50" t="n"/>
      <c r="AA88" s="50" t="n"/>
      <c r="AB88" s="50" t="n"/>
      <c r="AC88" s="50" t="n"/>
    </row>
    <row r="89" s="3154" customFormat="1" ht="15" customHeight="1">
      <c r="A89" s="2557" t="n"/>
      <c r="B89" s="2570" t="e">
        <f t="array" ref="B89">IF($D$6=C89,1,IF(C89&gt;$D$6,B88+1,0))</f>
      </c>
      <c r="C89" s="2570" t="n">
        <f t="array" ref="C89">C88+1</f>
        <v>2033</v>
      </c>
      <c r="D89" s="2586" t="n">
        <v>0.111111111111111</v>
      </c>
      <c r="E89" s="2587" t="e">
        <f t="array" ref="E89">IF($C$6&gt;9,VLOOKUP(B89,$C$56:$G$78,2,FALSE()),VLOOKUP(B89,$C$56:$G$78,3,FALSE()))</f>
      </c>
      <c r="F89" s="2586" t="n">
        <v>0.05</v>
      </c>
      <c r="G89" s="2587" t="e">
        <f t="array" ref="G89">IF($C$6&gt;9,VLOOKUP(B89,$C$56:$G$79,4,FALSE()),VLOOKUP(B89,$C$56:$G$79,5,FALSE()))</f>
      </c>
      <c r="H89" s="2586" t="n">
        <v>0.025</v>
      </c>
      <c r="I89" s="2587" t="n">
        <v>0.0363636363636364</v>
      </c>
      <c r="J89" s="2586" t="n">
        <v>0.025</v>
      </c>
      <c r="K89" s="2587" t="n">
        <v>0.0333333333333333</v>
      </c>
      <c r="L89" s="2517" t="n"/>
      <c r="M89" s="50" t="n"/>
      <c r="N89" s="50" t="n"/>
      <c r="O89" s="50" t="n"/>
      <c r="P89" s="50" t="n"/>
      <c r="Q89" s="50" t="n"/>
      <c r="R89" s="50" t="n"/>
      <c r="S89" s="50" t="n"/>
      <c r="T89" s="50" t="n"/>
      <c r="U89" s="50" t="n"/>
      <c r="V89" s="50" t="n"/>
      <c r="W89" s="50" t="n"/>
      <c r="X89" s="50" t="n"/>
      <c r="Y89" s="50" t="n"/>
      <c r="Z89" s="50" t="n"/>
      <c r="AA89" s="50" t="n"/>
      <c r="AB89" s="50" t="n"/>
      <c r="AC89" s="50" t="n"/>
    </row>
    <row r="90" s="3154" customFormat="1" ht="15" customHeight="1">
      <c r="A90" s="2557" t="n"/>
      <c r="B90" s="2570" t="e">
        <f t="array" ref="B90">IF($D$6=C90,1,IF(C90&gt;$D$6,B89+1,0))</f>
      </c>
      <c r="C90" s="2570" t="n">
        <f t="array" ref="C90">C89+1</f>
        <v>2034</v>
      </c>
      <c r="D90" s="2586" t="n">
        <v>0.111111111111111</v>
      </c>
      <c r="E90" s="2587" t="e">
        <f t="array" ref="E90">IF($C$6&gt;9,VLOOKUP(B90,$C$56:$G$78,2,FALSE()),VLOOKUP(B90,$C$56:$G$78,3,FALSE()))</f>
      </c>
      <c r="F90" s="2586" t="n">
        <v>0.05</v>
      </c>
      <c r="G90" s="2587" t="e">
        <f t="array" ref="G90">IF($C$6&gt;9,VLOOKUP(B90,$C$56:$G$79,4,FALSE()),VLOOKUP(B90,$C$56:$G$79,5,FALSE()))</f>
      </c>
      <c r="H90" s="2586" t="n">
        <v>0.025</v>
      </c>
      <c r="I90" s="2587" t="n">
        <v>0.0363636363636364</v>
      </c>
      <c r="J90" s="2586" t="n">
        <v>0.025</v>
      </c>
      <c r="K90" s="2587" t="n">
        <v>0.0333333333333333</v>
      </c>
      <c r="L90" s="2517" t="n"/>
      <c r="M90" s="50" t="n"/>
      <c r="N90" s="50" t="n"/>
      <c r="O90" s="50" t="n"/>
      <c r="P90" s="50" t="n"/>
      <c r="Q90" s="50" t="n"/>
      <c r="R90" s="50" t="n"/>
      <c r="S90" s="50" t="n"/>
      <c r="T90" s="50" t="n"/>
      <c r="U90" s="50" t="n"/>
      <c r="V90" s="50" t="n"/>
      <c r="W90" s="50" t="n"/>
      <c r="X90" s="50" t="n"/>
      <c r="Y90" s="50" t="n"/>
      <c r="Z90" s="50" t="n"/>
      <c r="AA90" s="50" t="n"/>
      <c r="AB90" s="50" t="n"/>
      <c r="AC90" s="50" t="n"/>
    </row>
    <row r="91" s="3154" customFormat="1" ht="15" customHeight="1">
      <c r="A91" s="2557" t="n"/>
      <c r="B91" s="2570" t="e">
        <f t="array" ref="B91">IF($D$6=C91,1,IF(C91&gt;$D$6,B90+1,0))</f>
      </c>
      <c r="C91" s="2570" t="n">
        <f t="array" ref="C91">C90+1</f>
        <v>2035</v>
      </c>
      <c r="D91" s="2586" t="n">
        <v>0.111111111111111</v>
      </c>
      <c r="E91" s="2587" t="e">
        <f t="array" ref="E91">IF($C$6&gt;9,VLOOKUP(B91,$C$56:$G$78,2,FALSE()),VLOOKUP(B91,$C$56:$G$78,3,FALSE()))</f>
      </c>
      <c r="F91" s="2586" t="n">
        <v>0.05</v>
      </c>
      <c r="G91" s="2587" t="e">
        <f t="array" ref="G91">IF($C$6&gt;9,VLOOKUP(B91,$C$56:$G$79,4,FALSE()),VLOOKUP(B91,$C$56:$G$79,5,FALSE()))</f>
      </c>
      <c r="H91" s="2586" t="n">
        <v>0.025</v>
      </c>
      <c r="I91" s="2587" t="n">
        <v>0.0363636363636364</v>
      </c>
      <c r="J91" s="2586" t="n">
        <v>0.025</v>
      </c>
      <c r="K91" s="2587" t="n">
        <v>0.0333333333333333</v>
      </c>
      <c r="L91" s="2517" t="n"/>
      <c r="M91" s="50" t="n"/>
      <c r="N91" s="50" t="n"/>
      <c r="O91" s="50" t="n"/>
      <c r="P91" s="50" t="n"/>
      <c r="Q91" s="50" t="n"/>
      <c r="R91" s="50" t="n"/>
      <c r="S91" s="50" t="n"/>
      <c r="T91" s="50" t="n"/>
      <c r="U91" s="50" t="n"/>
      <c r="V91" s="50" t="n"/>
      <c r="W91" s="50" t="n"/>
      <c r="X91" s="50" t="n"/>
      <c r="Y91" s="50" t="n"/>
      <c r="Z91" s="50" t="n"/>
      <c r="AA91" s="50" t="n"/>
      <c r="AB91" s="50" t="n"/>
      <c r="AC91" s="50" t="n"/>
    </row>
    <row r="92" s="3154" customFormat="1" ht="15" customHeight="1">
      <c r="A92" s="2557" t="n"/>
      <c r="B92" s="2570" t="e">
        <f t="array" ref="B92">IF($D$6=C92,1,IF(C92&gt;$D$6,B91+1,0))</f>
      </c>
      <c r="C92" s="2570" t="n">
        <f t="array" ref="C92">C91+1</f>
        <v>2036</v>
      </c>
      <c r="D92" s="2586" t="n">
        <v>0.0833333333333342</v>
      </c>
      <c r="E92" s="2587" t="e">
        <f t="array" ref="E92">IF($C$6&gt;9,VLOOKUP(B92,$C$56:$G$78,2,FALSE()),VLOOKUP(B92,$C$56:$G$78,3,FALSE()))</f>
      </c>
      <c r="F92" s="2586" t="n">
        <v>0.05</v>
      </c>
      <c r="G92" s="2587" t="e">
        <f t="array" ref="G92">IF($C$6&gt;9,VLOOKUP(B92,$C$56:$G$79,4,FALSE()),VLOOKUP(B92,$C$56:$G$79,5,FALSE()))</f>
      </c>
      <c r="H92" s="2586" t="n">
        <v>0.025</v>
      </c>
      <c r="I92" s="2587" t="n">
        <v>0.0363636363636364</v>
      </c>
      <c r="J92" s="2586" t="n">
        <v>0.025</v>
      </c>
      <c r="K92" s="2587" t="n">
        <v>0.0333333333333333</v>
      </c>
      <c r="L92" s="2517" t="n"/>
      <c r="M92" s="50" t="n"/>
      <c r="N92" s="50" t="n"/>
      <c r="O92" s="50" t="n"/>
      <c r="P92" s="50" t="n"/>
      <c r="Q92" s="50" t="n"/>
      <c r="R92" s="50" t="n"/>
      <c r="S92" s="50" t="n"/>
      <c r="T92" s="50" t="n"/>
      <c r="U92" s="50" t="n"/>
      <c r="V92" s="50" t="n"/>
      <c r="W92" s="50" t="n"/>
      <c r="X92" s="50" t="n"/>
      <c r="Y92" s="50" t="n"/>
      <c r="Z92" s="50" t="n"/>
      <c r="AA92" s="50" t="n"/>
      <c r="AB92" s="50" t="n"/>
      <c r="AC92" s="50" t="n"/>
    </row>
    <row r="93" s="3154" customFormat="1" ht="15" customHeight="1">
      <c r="A93" s="2557" t="n"/>
      <c r="B93" s="2570" t="e">
        <f t="array" ref="B93">IF($D$6=C93,1,IF(C93&gt;$D$6,B92+1,0))</f>
      </c>
      <c r="C93" s="2570" t="n">
        <f t="array" ref="C93">C92+1</f>
        <v>2037</v>
      </c>
      <c r="D93" s="2586" t="n">
        <v>0</v>
      </c>
      <c r="E93" s="2587" t="e">
        <f t="array" ref="E93">IF($C$6&gt;9,VLOOKUP(B93,$C$56:$G$78,2,FALSE()),VLOOKUP(B93,$C$56:$G$78,3,FALSE()))</f>
      </c>
      <c r="F93" s="2586" t="n">
        <v>0.05</v>
      </c>
      <c r="G93" s="2587" t="e">
        <f t="array" ref="G93">IF($C$6&gt;9,VLOOKUP(B93,$C$56:$G$79,4,FALSE()),VLOOKUP(B93,$C$56:$G$79,5,FALSE()))</f>
      </c>
      <c r="H93" s="2586" t="n">
        <v>0.025</v>
      </c>
      <c r="I93" s="2587" t="n">
        <v>0.0363636363636364</v>
      </c>
      <c r="J93" s="2586" t="n">
        <v>0.025</v>
      </c>
      <c r="K93" s="2587" t="n">
        <v>0.0333333333333333</v>
      </c>
      <c r="L93" s="2517" t="n"/>
      <c r="M93" s="50" t="n"/>
      <c r="N93" s="50" t="n"/>
      <c r="O93" s="50" t="n"/>
      <c r="P93" s="50" t="n"/>
      <c r="Q93" s="50" t="n"/>
      <c r="R93" s="50" t="n"/>
      <c r="S93" s="50" t="n"/>
      <c r="T93" s="50" t="n"/>
      <c r="U93" s="50" t="n"/>
      <c r="V93" s="50" t="n"/>
      <c r="W93" s="50" t="n"/>
      <c r="X93" s="50" t="n"/>
      <c r="Y93" s="50" t="n"/>
      <c r="Z93" s="50" t="n"/>
      <c r="AA93" s="50" t="n"/>
      <c r="AB93" s="50" t="n"/>
      <c r="AC93" s="50" t="n"/>
    </row>
    <row r="94" s="3154" customFormat="1" ht="15" customHeight="1">
      <c r="A94" s="2557" t="n"/>
      <c r="B94" s="2570" t="e">
        <f t="array" ref="B94">IF($D$6=C94,1,IF(C94&gt;$D$6,B93+1,0))</f>
      </c>
      <c r="C94" s="2570" t="n">
        <f t="array" ref="C94">C93+1</f>
        <v>2038</v>
      </c>
      <c r="D94" s="2586" t="n">
        <v>0</v>
      </c>
      <c r="E94" s="2587" t="e">
        <f t="array" ref="E94">IF($C$6&gt;9,VLOOKUP(B94,$C$56:$G$78,2,FALSE()),VLOOKUP(B94,$C$56:$G$78,3,FALSE()))</f>
      </c>
      <c r="F94" s="2586" t="n">
        <v>0.05</v>
      </c>
      <c r="G94" s="2587" t="e">
        <f t="array" ref="G94">IF($C$6&gt;9,VLOOKUP(B94,$C$56:$G$79,4,FALSE()),VLOOKUP(B94,$C$56:$G$79,5,FALSE()))</f>
      </c>
      <c r="H94" s="2586" t="n">
        <v>0.025</v>
      </c>
      <c r="I94" s="2587" t="n">
        <v>0.0363636363636364</v>
      </c>
      <c r="J94" s="2586" t="n">
        <v>0.025</v>
      </c>
      <c r="K94" s="2587" t="n">
        <v>0.0333333333333333</v>
      </c>
      <c r="L94" s="2517" t="n"/>
      <c r="M94" s="50" t="n"/>
      <c r="N94" s="50" t="n"/>
      <c r="O94" s="50" t="n"/>
      <c r="P94" s="50" t="n"/>
      <c r="Q94" s="50" t="n"/>
      <c r="R94" s="50" t="n"/>
      <c r="S94" s="50" t="n"/>
      <c r="T94" s="50" t="n"/>
      <c r="U94" s="50" t="n"/>
      <c r="V94" s="50" t="n"/>
      <c r="W94" s="50" t="n"/>
      <c r="X94" s="50" t="n"/>
      <c r="Y94" s="50" t="n"/>
      <c r="Z94" s="50" t="n"/>
      <c r="AA94" s="50" t="n"/>
      <c r="AB94" s="50" t="n"/>
      <c r="AC94" s="50" t="n"/>
    </row>
    <row r="95" s="3154" customFormat="1" ht="15" customHeight="1">
      <c r="A95" s="2557" t="n"/>
      <c r="B95" s="2570" t="e">
        <f t="array" ref="B95">IF($D$6=C95,1,IF(C95&gt;$D$6,B94+1,0))</f>
      </c>
      <c r="C95" s="2570" t="n">
        <f t="array" ref="C95">C94+1</f>
        <v>2039</v>
      </c>
      <c r="D95" s="2586" t="n">
        <v>0</v>
      </c>
      <c r="E95" s="2587" t="e">
        <f t="array" ref="E95">IF($C$6&gt;9,VLOOKUP(B95,$C$56:$G$78,2,FALSE()),VLOOKUP(B95,$C$56:$G$78,3,FALSE()))</f>
      </c>
      <c r="F95" s="2586" t="n">
        <v>0.05</v>
      </c>
      <c r="G95" s="2587" t="e">
        <f t="array" ref="G95">IF($C$6&gt;9,VLOOKUP(B95,$C$56:$G$79,4,FALSE()),VLOOKUP(B95,$C$56:$G$79,5,FALSE()))</f>
      </c>
      <c r="H95" s="2586" t="n">
        <v>0.025</v>
      </c>
      <c r="I95" s="2587" t="n">
        <v>0.0363636363636364</v>
      </c>
      <c r="J95" s="2586" t="n">
        <v>0.025</v>
      </c>
      <c r="K95" s="2587" t="n">
        <v>0.0333333333333333</v>
      </c>
      <c r="L95" s="2517" t="n"/>
      <c r="M95" s="50" t="n"/>
      <c r="N95" s="50" t="n"/>
      <c r="O95" s="50" t="n"/>
      <c r="P95" s="50" t="n"/>
      <c r="Q95" s="50" t="n"/>
      <c r="R95" s="50" t="n"/>
      <c r="S95" s="50" t="n"/>
      <c r="T95" s="50" t="n"/>
      <c r="U95" s="50" t="n"/>
      <c r="V95" s="50" t="n"/>
      <c r="W95" s="50" t="n"/>
      <c r="X95" s="50" t="n"/>
      <c r="Y95" s="50" t="n"/>
      <c r="Z95" s="50" t="n"/>
      <c r="AA95" s="50" t="n"/>
      <c r="AB95" s="50" t="n"/>
      <c r="AC95" s="50" t="n"/>
    </row>
    <row r="96" s="3154" customFormat="1" ht="15" customHeight="1">
      <c r="A96" s="2557" t="n"/>
      <c r="B96" s="2570" t="e">
        <f t="array" ref="B96">IF($D$6=C96,1,IF(C96&gt;$D$6,B95+1,0))</f>
      </c>
      <c r="C96" s="2570" t="n">
        <f t="array" ref="C96">C95+1</f>
        <v>2040</v>
      </c>
      <c r="D96" s="2586" t="n">
        <v>0</v>
      </c>
      <c r="E96" s="2587" t="e">
        <f t="array" ref="E96">IF($C$6&gt;9,VLOOKUP(B96,$C$56:$G$78,2,FALSE()),VLOOKUP(B96,$C$56:$G$78,3,FALSE()))</f>
      </c>
      <c r="F96" s="2586" t="n">
        <v>0.05</v>
      </c>
      <c r="G96" s="2587" t="e">
        <f t="array" ref="G96">IF($C$6&gt;9,VLOOKUP(B96,$C$56:$G$79,4,FALSE()),VLOOKUP(B96,$C$56:$G$79,5,FALSE()))</f>
      </c>
      <c r="H96" s="2586" t="n">
        <v>0.025</v>
      </c>
      <c r="I96" s="2587" t="n">
        <v>0.0363636363636364</v>
      </c>
      <c r="J96" s="2586" t="n">
        <v>0.025</v>
      </c>
      <c r="K96" s="2587" t="n">
        <v>0.0333333333333333</v>
      </c>
      <c r="L96" s="2517" t="n"/>
      <c r="M96" s="50" t="n"/>
      <c r="N96" s="50" t="n"/>
      <c r="O96" s="50" t="n"/>
      <c r="P96" s="50" t="n"/>
      <c r="Q96" s="50" t="n"/>
      <c r="R96" s="50" t="n"/>
      <c r="S96" s="50" t="n"/>
      <c r="T96" s="50" t="n"/>
      <c r="U96" s="50" t="n"/>
      <c r="V96" s="50" t="n"/>
      <c r="W96" s="50" t="n"/>
      <c r="X96" s="50" t="n"/>
      <c r="Y96" s="50" t="n"/>
      <c r="Z96" s="50" t="n"/>
      <c r="AA96" s="50" t="n"/>
      <c r="AB96" s="50" t="n"/>
      <c r="AC96" s="50" t="n"/>
    </row>
    <row r="97" s="3154" customFormat="1" ht="15" customHeight="1">
      <c r="A97" s="2557" t="n"/>
      <c r="B97" s="2570" t="e">
        <f t="array" ref="B97">IF($D$6=C97,1,IF(C97&gt;$D$6,B96+1,0))</f>
      </c>
      <c r="C97" s="2570" t="n">
        <f t="array" ref="C97">C96+1</f>
        <v>2041</v>
      </c>
      <c r="D97" s="2586" t="n">
        <v>0</v>
      </c>
      <c r="E97" s="2587" t="e">
        <f t="array" ref="E97">IF($C$6&gt;9,VLOOKUP(B97,$C$56:$G$78,2,FALSE()),VLOOKUP(B97,$C$56:$G$78,3,FALSE()))</f>
      </c>
      <c r="F97" s="2586" t="n">
        <v>0.05</v>
      </c>
      <c r="G97" s="2587" t="e">
        <f t="array" ref="G97">IF($C$6&gt;9,VLOOKUP(B97,$C$56:$G$79,4,FALSE()),VLOOKUP(B97,$C$56:$G$79,5,FALSE()))</f>
      </c>
      <c r="H97" s="2586" t="n">
        <v>0.025</v>
      </c>
      <c r="I97" s="2587" t="n">
        <v>0.0363636363636364</v>
      </c>
      <c r="J97" s="2586" t="n">
        <v>0.025</v>
      </c>
      <c r="K97" s="2587" t="n">
        <v>0.0333333333333333</v>
      </c>
      <c r="L97" s="2517" t="n"/>
      <c r="M97" s="50" t="n"/>
      <c r="N97" s="50" t="n"/>
      <c r="O97" s="50" t="n"/>
      <c r="P97" s="50" t="n"/>
      <c r="Q97" s="50" t="n"/>
      <c r="R97" s="50" t="n"/>
      <c r="S97" s="50" t="n"/>
      <c r="T97" s="50" t="n"/>
      <c r="U97" s="50" t="n"/>
      <c r="V97" s="50" t="n"/>
      <c r="W97" s="50" t="n"/>
      <c r="X97" s="50" t="n"/>
      <c r="Y97" s="50" t="n"/>
      <c r="Z97" s="50" t="n"/>
      <c r="AA97" s="50" t="n"/>
      <c r="AB97" s="50" t="n"/>
      <c r="AC97" s="50" t="n"/>
    </row>
    <row r="98" s="3154" customFormat="1" ht="15" customHeight="1">
      <c r="A98" s="2557" t="n"/>
      <c r="B98" s="2570" t="e">
        <f t="array" ref="B98">IF($D$6=C98,1,IF(C98&gt;$D$6,B97+1,0))</f>
      </c>
      <c r="C98" s="2570" t="n">
        <f t="array" ref="C98">C97+1</f>
        <v>2042</v>
      </c>
      <c r="D98" s="2586" t="n">
        <v>0</v>
      </c>
      <c r="E98" s="2587" t="e">
        <f t="array" ref="E98">IF($C$6&gt;9,VLOOKUP(B98,$C$56:$G$78,2,FALSE()),VLOOKUP(B98,$C$56:$G$78,3,FALSE()))</f>
      </c>
      <c r="F98" s="2586" t="n">
        <v>0.05</v>
      </c>
      <c r="G98" s="2587" t="e">
        <f t="array" ref="G98">IF($C$6&gt;9,VLOOKUP(B98,$C$56:$G$79,4,FALSE()),VLOOKUP(B98,$C$56:$G$79,5,FALSE()))</f>
      </c>
      <c r="H98" s="2586" t="n">
        <v>0.025</v>
      </c>
      <c r="I98" s="2587" t="n">
        <v>0.0363636363636364</v>
      </c>
      <c r="J98" s="2586" t="n">
        <v>0.025</v>
      </c>
      <c r="K98" s="2587" t="n">
        <v>0.0333333333333333</v>
      </c>
      <c r="L98" s="2517" t="n"/>
      <c r="M98" s="50" t="n"/>
      <c r="N98" s="50" t="n"/>
      <c r="O98" s="50" t="n"/>
      <c r="P98" s="50" t="n"/>
      <c r="Q98" s="50" t="n"/>
      <c r="R98" s="50" t="n"/>
      <c r="S98" s="50" t="n"/>
      <c r="T98" s="50" t="n"/>
      <c r="U98" s="50" t="n"/>
      <c r="V98" s="50" t="n"/>
      <c r="W98" s="50" t="n"/>
      <c r="X98" s="50" t="n"/>
      <c r="Y98" s="50" t="n"/>
      <c r="Z98" s="50" t="n"/>
      <c r="AA98" s="50" t="n"/>
      <c r="AB98" s="50" t="n"/>
      <c r="AC98" s="50" t="n"/>
    </row>
    <row r="99" s="3154" customFormat="1" ht="15" customHeight="1">
      <c r="A99" s="2557" t="n"/>
      <c r="B99" s="2570" t="e">
        <f t="array" ref="B99">IF($D$6=C99,1,IF(C99&gt;$D$6,B98+1,0))</f>
      </c>
      <c r="C99" s="2570" t="n">
        <f t="array" ref="C99">C98+1</f>
        <v>2043</v>
      </c>
      <c r="D99" s="2586" t="n">
        <v>0</v>
      </c>
      <c r="E99" s="2587" t="e">
        <f t="array" ref="E99">IF($C$6&gt;9,VLOOKUP(B99,$C$56:$G$78,2,FALSE()),VLOOKUP(B99,$C$56:$G$78,3,FALSE()))</f>
      </c>
      <c r="F99" s="2586" t="n">
        <v>0.05</v>
      </c>
      <c r="G99" s="2587" t="e">
        <f t="array" ref="G99">IF($C$6&gt;9,VLOOKUP(B99,$C$56:$G$79,4,FALSE()),VLOOKUP(B99,$C$56:$G$79,5,FALSE()))</f>
      </c>
      <c r="H99" s="2586" t="n">
        <v>0.025</v>
      </c>
      <c r="I99" s="2587" t="n">
        <v>0.0363636363636364</v>
      </c>
      <c r="J99" s="2586" t="n">
        <v>0.025</v>
      </c>
      <c r="K99" s="2587" t="n">
        <v>0.0333333333333333</v>
      </c>
      <c r="L99" s="2517" t="n"/>
      <c r="M99" s="50" t="n"/>
      <c r="N99" s="50" t="n"/>
      <c r="O99" s="50" t="n"/>
      <c r="P99" s="50" t="n"/>
      <c r="Q99" s="50" t="n"/>
      <c r="R99" s="50" t="n"/>
      <c r="S99" s="50" t="n"/>
      <c r="T99" s="50" t="n"/>
      <c r="U99" s="50" t="n"/>
      <c r="V99" s="50" t="n"/>
      <c r="W99" s="50" t="n"/>
      <c r="X99" s="50" t="n"/>
      <c r="Y99" s="50" t="n"/>
      <c r="Z99" s="50" t="n"/>
      <c r="AA99" s="50" t="n"/>
      <c r="AB99" s="50" t="n"/>
      <c r="AC99" s="50" t="n"/>
    </row>
    <row r="100" s="3154" customFormat="1" ht="15" customHeight="1">
      <c r="A100" s="2557" t="n"/>
      <c r="B100" s="2570" t="e">
        <f t="array" ref="B100">IF($D$6=C100,1,IF(C100&gt;$D$6,B99+1,0))</f>
      </c>
      <c r="C100" s="2570" t="n">
        <f t="array" ref="C100">C99+1</f>
        <v>2044</v>
      </c>
      <c r="D100" s="2586" t="n">
        <v>0</v>
      </c>
      <c r="E100" s="2587" t="e">
        <f t="array" ref="E100">IF($C$6&gt;9,VLOOKUP(B100,$C$56:$G$78,2,FALSE()),VLOOKUP(B100,$C$56:$G$78,3,FALSE()))</f>
      </c>
      <c r="F100" s="2586" t="n">
        <v>0.05</v>
      </c>
      <c r="G100" s="2587" t="e">
        <f t="array" ref="G100">IF($C$6&gt;9,VLOOKUP(B100,$C$56:$G$79,4,FALSE()),VLOOKUP(B100,$C$56:$G$79,5,FALSE()))</f>
      </c>
      <c r="H100" s="2586" t="n">
        <v>0.025</v>
      </c>
      <c r="I100" s="2587" t="n">
        <v>0.0363636363636364</v>
      </c>
      <c r="J100" s="2586" t="n">
        <v>0.025</v>
      </c>
      <c r="K100" s="2587" t="n">
        <v>0.0333333333333333</v>
      </c>
      <c r="L100" s="2517" t="n"/>
      <c r="M100" s="50" t="n"/>
      <c r="N100" s="50" t="n"/>
      <c r="O100" s="50" t="n"/>
      <c r="P100" s="50" t="n"/>
      <c r="Q100" s="50" t="n"/>
      <c r="R100" s="50" t="n"/>
      <c r="S100" s="50" t="n"/>
      <c r="T100" s="50" t="n"/>
      <c r="U100" s="50" t="n"/>
      <c r="V100" s="50" t="n"/>
      <c r="W100" s="50" t="n"/>
      <c r="X100" s="50" t="n"/>
      <c r="Y100" s="50" t="n"/>
      <c r="Z100" s="50" t="n"/>
      <c r="AA100" s="50" t="n"/>
      <c r="AB100" s="50" t="n"/>
      <c r="AC100" s="50" t="n"/>
    </row>
    <row r="101" s="3154" customFormat="1" ht="15" customHeight="1">
      <c r="A101" s="2557" t="n"/>
      <c r="B101" s="2570" t="e">
        <f t="array" ref="B101">IF($D$6=C101,1,IF(C101&gt;$D$6,B100+1,0))</f>
      </c>
      <c r="C101" s="2570" t="n">
        <f t="array" ref="C101">C100+1</f>
        <v>2045</v>
      </c>
      <c r="D101" s="2586" t="n">
        <v>0</v>
      </c>
      <c r="E101" s="2587" t="e">
        <f t="array" ref="E101">IF($C$6&gt;9,VLOOKUP(B101,$C$56:$G$78,2,FALSE()),VLOOKUP(B101,$C$56:$G$78,3,FALSE()))</f>
      </c>
      <c r="F101" s="2586" t="n">
        <v>0.05</v>
      </c>
      <c r="G101" s="2587" t="e">
        <f t="array" ref="G101">IF($C$6&gt;9,VLOOKUP(B101,$C$56:$G$79,4,FALSE()),VLOOKUP(B101,$C$56:$G$79,5,FALSE()))</f>
      </c>
      <c r="H101" s="2586" t="n">
        <v>0.025</v>
      </c>
      <c r="I101" s="2587" t="n">
        <v>0.0363636363636364</v>
      </c>
      <c r="J101" s="2586" t="n">
        <v>0.025</v>
      </c>
      <c r="K101" s="2587" t="n">
        <v>0.0333333333333333</v>
      </c>
      <c r="L101" s="2517" t="n"/>
      <c r="M101" s="50" t="n"/>
      <c r="N101" s="50" t="n"/>
      <c r="O101" s="50" t="n"/>
      <c r="P101" s="50" t="n"/>
      <c r="Q101" s="50" t="n"/>
      <c r="R101" s="50" t="n"/>
      <c r="S101" s="50" t="n"/>
      <c r="T101" s="50" t="n"/>
      <c r="U101" s="50" t="n"/>
      <c r="V101" s="50" t="n"/>
      <c r="W101" s="50" t="n"/>
      <c r="X101" s="50" t="n"/>
      <c r="Y101" s="50" t="n"/>
      <c r="Z101" s="50" t="n"/>
      <c r="AA101" s="50" t="n"/>
      <c r="AB101" s="50" t="n"/>
      <c r="AC101" s="50" t="n"/>
    </row>
    <row r="102" s="3154" customFormat="1" ht="15" customHeight="1">
      <c r="A102" s="2557" t="n"/>
      <c r="B102" s="2570" t="e">
        <f t="array" ref="B102">IF($D$6=C102,1,IF(C102&gt;$D$6,B101+1,0))</f>
      </c>
      <c r="C102" s="2570" t="n">
        <f t="array" ref="C102">C101+1</f>
        <v>2046</v>
      </c>
      <c r="D102" s="2586" t="n">
        <v>0</v>
      </c>
      <c r="E102" s="2587" t="e">
        <f t="array" ref="E102">IF($C$6&gt;9,VLOOKUP(B102,$C$56:$G$78,2,FALSE()),VLOOKUP(B102,$C$56:$G$78,3,FALSE()))</f>
      </c>
      <c r="F102" s="2586" t="n">
        <v>0.05</v>
      </c>
      <c r="G102" s="2587" t="e">
        <f t="array" ref="G102">IF($C$6&gt;9,VLOOKUP(B102,$C$56:$G$79,4,FALSE()),VLOOKUP(B102,$C$56:$G$79,5,FALSE()))</f>
      </c>
      <c r="H102" s="2586" t="n">
        <v>0.025</v>
      </c>
      <c r="I102" s="2587" t="n">
        <v>0.0363636363636364</v>
      </c>
      <c r="J102" s="2586" t="n">
        <v>0.025</v>
      </c>
      <c r="K102" s="2587" t="n">
        <v>0.0333333333333333</v>
      </c>
      <c r="L102" s="2517" t="n"/>
      <c r="M102" s="50" t="n"/>
      <c r="N102" s="50" t="n"/>
      <c r="O102" s="50" t="n"/>
      <c r="P102" s="50" t="n"/>
      <c r="Q102" s="50" t="n"/>
      <c r="R102" s="50" t="n"/>
      <c r="S102" s="50" t="n"/>
      <c r="T102" s="50" t="n"/>
      <c r="U102" s="50" t="n"/>
      <c r="V102" s="50" t="n"/>
      <c r="W102" s="50" t="n"/>
      <c r="X102" s="50" t="n"/>
      <c r="Y102" s="50" t="n"/>
      <c r="Z102" s="50" t="n"/>
      <c r="AA102" s="50" t="n"/>
      <c r="AB102" s="50" t="n"/>
      <c r="AC102" s="50" t="n"/>
    </row>
    <row r="103" s="3154" customFormat="1" ht="15" customHeight="1">
      <c r="A103" s="2557" t="n"/>
      <c r="B103" s="2570" t="e">
        <f t="array" ref="B103">IF($D$6=C103,1,IF(C103&gt;$D$6,B102+1,0))</f>
      </c>
      <c r="C103" s="2570" t="n">
        <f t="array" ref="C103">C102+1</f>
        <v>2047</v>
      </c>
      <c r="D103" s="2586" t="n">
        <v>0</v>
      </c>
      <c r="E103" s="2587" t="e">
        <f t="array" ref="E103">IF($C$6&gt;9,VLOOKUP(B103,$C$56:$G$78,2,FALSE()),VLOOKUP(B103,$C$56:$G$78,3,FALSE()))</f>
      </c>
      <c r="F103" s="2586" t="n">
        <v>0.0375</v>
      </c>
      <c r="G103" s="2587" t="e">
        <f t="array" ref="G103">IF($C$6&gt;9,VLOOKUP(B103,$C$56:$G$79,4,FALSE()),VLOOKUP(B103,$C$56:$G$79,5,FALSE()))</f>
      </c>
      <c r="H103" s="2586" t="n">
        <v>0.025</v>
      </c>
      <c r="I103" s="2587" t="n">
        <v>0.0363636363636364</v>
      </c>
      <c r="J103" s="2586" t="n">
        <v>0.025</v>
      </c>
      <c r="K103" s="2587" t="n">
        <v>0.0333333333333333</v>
      </c>
      <c r="L103" s="2517" t="n"/>
      <c r="M103" s="50" t="n"/>
      <c r="N103" s="50" t="n"/>
      <c r="O103" s="50" t="n"/>
      <c r="P103" s="50" t="n"/>
      <c r="Q103" s="50" t="n"/>
      <c r="R103" s="50" t="n"/>
      <c r="S103" s="50" t="n"/>
      <c r="T103" s="50" t="n"/>
      <c r="U103" s="50" t="n"/>
      <c r="V103" s="50" t="n"/>
      <c r="W103" s="50" t="n"/>
      <c r="X103" s="50" t="n"/>
      <c r="Y103" s="50" t="n"/>
      <c r="Z103" s="50" t="n"/>
      <c r="AA103" s="50" t="n"/>
      <c r="AB103" s="50" t="n"/>
      <c r="AC103" s="50" t="n"/>
    </row>
    <row r="104" s="3154" customFormat="1" ht="15" customHeight="1">
      <c r="A104" s="2557" t="n"/>
      <c r="B104" s="2570" t="e">
        <f t="array" ref="B104">IF($D$6=C104,1,IF(C104&gt;$D$6,B103+1,0))</f>
      </c>
      <c r="C104" s="2570" t="n">
        <f t="array" ref="C104">C103+1</f>
        <v>2048</v>
      </c>
      <c r="D104" s="2588" t="n">
        <v>0</v>
      </c>
      <c r="E104" s="2589" t="e">
        <f t="array" ref="E104">IF($C$6&gt;9,VLOOKUP(B104,$C$56:$G$78,2,FALSE()),VLOOKUP(B104,$C$56:$G$78,3,FALSE()))</f>
      </c>
      <c r="F104" s="2588" t="n">
        <v>0</v>
      </c>
      <c r="G104" s="2589" t="e">
        <f t="array" ref="G104">IF($C$6&gt;9,VLOOKUP(B104,$C$56:$G$79,4,FALSE()),VLOOKUP(B104,$C$56:$G$79,5,FALSE()))</f>
      </c>
      <c r="H104" s="2588" t="n">
        <v>0.025</v>
      </c>
      <c r="I104" s="2589" t="n">
        <v>0.0363636363636364</v>
      </c>
      <c r="J104" s="2588" t="n">
        <v>0.025</v>
      </c>
      <c r="K104" s="2589" t="n">
        <v>0.0333333333333333</v>
      </c>
      <c r="L104" s="2517" t="n"/>
      <c r="M104" s="50" t="n"/>
      <c r="N104" s="50" t="n"/>
      <c r="O104" s="50" t="n"/>
      <c r="P104" s="50" t="n"/>
      <c r="Q104" s="50" t="n"/>
      <c r="R104" s="50" t="n"/>
      <c r="S104" s="50" t="n"/>
      <c r="T104" s="50" t="n"/>
      <c r="U104" s="50" t="n"/>
      <c r="V104" s="50" t="n"/>
      <c r="W104" s="50" t="n"/>
      <c r="X104" s="50" t="n"/>
      <c r="Y104" s="50" t="n"/>
      <c r="Z104" s="50" t="n"/>
      <c r="AA104" s="50" t="n"/>
      <c r="AB104" s="50" t="n"/>
      <c r="AC104" s="50" t="n"/>
    </row>
    <row r="105" s="3154" customFormat="1" ht="15.75" customHeight="1">
      <c r="A105" s="2557" t="n"/>
      <c r="B105" s="2590" t="n"/>
      <c r="C105" s="2590" t="n"/>
      <c r="D105" s="2591" t="n">
        <f t="array" ref="D105">SUM(D82:D104)</f>
        <v>0.9999999999999998</v>
      </c>
      <c r="E105" s="2592" t="e">
        <f t="array" ref="E105">SUM(E82:E104)</f>
      </c>
      <c r="F105" s="2591" t="n">
        <f t="array" ref="F105">SUM(F82:F104)</f>
        <v>1.0000000000000004</v>
      </c>
      <c r="G105" s="2592" t="e">
        <f t="array" ref="G105">SUM(G82:G104)</f>
      </c>
      <c r="H105" s="2591" t="n">
        <f t="array" ref="H105">SUM(H82:H104)</f>
        <v>0.5312500000000002</v>
      </c>
      <c r="I105" s="2592" t="n">
        <f t="array" ref="I105">SUM(I82:I104)</f>
        <v>0.7727272727272732</v>
      </c>
      <c r="J105" s="2591" t="n">
        <f t="array" ref="J105">SUM(J82:J104)</f>
        <v>0.5312500000000002</v>
      </c>
      <c r="K105" s="2592" t="n">
        <f t="array" ref="K105">SUM(K82:K104)</f>
        <v>0.7083333333333329</v>
      </c>
      <c r="L105" s="2593" t="n"/>
      <c r="M105" s="2594" t="n"/>
      <c r="N105" s="2594" t="n"/>
      <c r="O105" s="2594" t="n"/>
      <c r="P105" s="2594" t="n"/>
      <c r="Q105" s="2594" t="n"/>
      <c r="R105" s="2594" t="n"/>
      <c r="S105" s="2594" t="n"/>
      <c r="T105" s="2594" t="n"/>
      <c r="U105" s="50" t="n"/>
      <c r="V105" s="50" t="n"/>
      <c r="W105" s="50" t="n"/>
      <c r="X105" s="50" t="n"/>
      <c r="Y105" s="50" t="n"/>
      <c r="Z105" s="50" t="n"/>
      <c r="AA105" s="50" t="n"/>
      <c r="AB105" s="50" t="n"/>
      <c r="AC105" s="50" t="n"/>
    </row>
    <row r="106" s="3154" customFormat="1" ht="12.75" customHeight="1">
      <c r="A106" s="50" t="n"/>
      <c r="B106" s="4195" t="n"/>
      <c r="C106" s="4195" t="n"/>
      <c r="D106" s="4195" t="n"/>
      <c r="E106" s="4195" t="n"/>
      <c r="F106" s="4195" t="n"/>
      <c r="G106" s="4195" t="n"/>
      <c r="H106" s="4195" t="n"/>
      <c r="I106" s="4195" t="n"/>
      <c r="J106" s="4195" t="n"/>
      <c r="K106" s="4195" t="n"/>
      <c r="L106" s="4195" t="n"/>
      <c r="M106" s="4195" t="n"/>
      <c r="N106" s="4195" t="n"/>
      <c r="O106" s="4195" t="n"/>
      <c r="P106" s="4195" t="n"/>
      <c r="Q106" s="4195" t="n"/>
      <c r="R106" s="4195" t="n"/>
      <c r="S106" s="4195" t="n"/>
      <c r="T106" s="4195" t="n"/>
      <c r="U106" s="50" t="n"/>
      <c r="V106" s="50" t="n"/>
      <c r="W106" s="50" t="n"/>
      <c r="X106" s="50" t="n"/>
      <c r="Y106" s="50" t="n"/>
      <c r="Z106" s="50" t="n"/>
      <c r="AA106" s="50" t="n"/>
      <c r="AB106" s="50" t="n"/>
      <c r="AC106" s="50" t="n"/>
    </row>
  </sheetData>
  <mergeCells>
    <mergeCell ref="G4:H4"/>
    <mergeCell ref="F54:G54"/>
    <mergeCell ref="F80:G80"/>
    <mergeCell ref="J80:K80"/>
    <mergeCell ref="D54:E54"/>
    <mergeCell ref="D80:E80"/>
    <mergeCell ref="H80:I80"/>
  </mergeCells>
  <dataValidations count="1">
    <dataValidation type="list" allowBlank="1" showDropDown="0" showInputMessage="1" showErrorMessage="1" sqref="C5">
      <formula1>"Yes,No"</formula1>
    </dataValidation>
  </dataValidations>
  <pageMargins left="0.7" right="0.7" top="0.75" bottom="0.75" header="0.3" footer="0.3"/>
  <legacyDrawing r:id="Rc9beda8d87ad4d69"/>
</worksheet>
</file>

<file path=xl/worksheets/sheet24.xml><?xml version="1.0" encoding="utf-8"?>
<worksheet xmlns="http://schemas.openxmlformats.org/spreadsheetml/2006/main">
  <sheetViews>
    <sheetView showGridLines="0" workbookViewId="0"/>
  </sheetViews>
  <sheetFormatPr baseColWidth="8" defaultColWidth="9" defaultRowHeight="15"/>
  <cols>
    <col min="1" max="1" width="9" style="3136" customWidth="1"/>
    <col min="2" max="2" width="22.171899795532227" style="3136" customWidth="1"/>
    <col min="3" max="3" width="7.351560115814209" style="3136" customWidth="1"/>
    <col min="4" max="4" width="10.35159969329834" style="3136" customWidth="1"/>
    <col min="5" max="5" width="12.85159969329834" style="3136" customWidth="1"/>
    <col min="6" max="6" width="13.671899795532227" style="3136" customWidth="1"/>
    <col min="7" max="7" width="14.35159969329834" style="3136" customWidth="1"/>
    <col min="8" max="8" width="23" style="3136" customWidth="1"/>
    <col min="9" max="11" width="9.85155963897705" style="3136" customWidth="1"/>
    <col min="12" max="12" width="14" style="3136" customWidth="1"/>
    <col min="13" max="13" width="2.351560115814209" style="3136" customWidth="1"/>
    <col min="14" max="14" width="30.351600646972656" style="3136" customWidth="1"/>
    <col min="15" max="23" width="11.85159969329834" style="3136" customWidth="1"/>
    <col min="24" max="24" width="2.671880006790161" style="3136" customWidth="1"/>
    <col min="25" max="25" width="18.351600646972656" style="3136" customWidth="1"/>
    <col min="26" max="26" width="27" style="3136" customWidth="1"/>
    <col min="27" max="27" width="11.171899795532227" style="3136" customWidth="1"/>
    <col min="28" max="30" width="12.35159969329834" style="3136" customWidth="1"/>
    <col min="31" max="31" width="10.171899795532227" style="3136" customWidth="1"/>
    <col min="32" max="34" width="11.35159969329834" style="3136" customWidth="1"/>
    <col min="35" max="35" width="23.171899795532227" style="3136" customWidth="1"/>
    <col min="36" max="36" width="7.171879768371582" style="3136" customWidth="1"/>
    <col min="37" max="37" width="10.85159969329834" style="3136" customWidth="1"/>
    <col min="38" max="39" width="9" style="3136" customWidth="1"/>
    <col min="40" max="40" width="36.351600646972656" style="3136" customWidth="1"/>
    <col min="41" max="41" width="14.171899795532227" style="3136" customWidth="1"/>
    <col min="42" max="42" width="16.351600646972656" style="3136" customWidth="1"/>
    <col min="43" max="43" width="14" style="3136" customWidth="1"/>
    <col min="44" max="44" width="9" style="3136" customWidth="1"/>
    <col min="45" max="16384" width="9" style="3136" customWidth="1"/>
  </cols>
  <sheetData>
    <row r="1" s="3154" customFormat="1" ht="15" customHeight="1">
      <c r="A1" s="2597" t="n"/>
      <c r="B1" s="11" t="n"/>
      <c r="C1" s="11" t="n"/>
      <c r="D1" s="11" t="n"/>
      <c r="E1" s="11" t="n"/>
      <c r="F1" s="11" t="n"/>
      <c r="G1" s="11" t="n"/>
      <c r="H1" s="11" t="n"/>
      <c r="I1" s="11" t="n"/>
      <c r="J1" s="11" t="n"/>
      <c r="K1" s="11" t="n"/>
      <c r="L1" s="11" t="n"/>
      <c r="M1" s="11" t="n"/>
      <c r="N1" s="11" t="n"/>
      <c r="O1" s="11" t="n"/>
      <c r="P1" s="11" t="n"/>
      <c r="Q1" s="11" t="n"/>
      <c r="R1" s="11" t="n"/>
      <c r="S1" s="11" t="n"/>
      <c r="T1" s="11" t="n"/>
      <c r="U1" s="11" t="n"/>
      <c r="V1" s="11" t="n"/>
      <c r="W1" s="11" t="n"/>
      <c r="X1" s="11" t="n"/>
      <c r="Y1" s="11" t="n"/>
      <c r="Z1" s="11" t="n"/>
      <c r="AA1" s="11" t="n"/>
      <c r="AB1" s="11" t="n"/>
      <c r="AC1" s="11" t="n"/>
      <c r="AD1" s="11" t="n"/>
      <c r="AE1" s="11" t="n"/>
      <c r="AF1" s="11" t="n"/>
      <c r="AG1" s="11" t="n"/>
      <c r="AH1" s="11" t="n"/>
      <c r="AI1" s="11" t="n"/>
      <c r="AJ1" s="11" t="n"/>
      <c r="AK1" s="11" t="n"/>
      <c r="AL1" s="11" t="n"/>
      <c r="AM1" s="11" t="n"/>
      <c r="AN1" s="11" t="n"/>
      <c r="AO1" s="11" t="n"/>
      <c r="AP1" s="11" t="n"/>
      <c r="AQ1" s="11" t="n"/>
      <c r="AR1" s="13" t="n"/>
    </row>
    <row r="2" s="3154" customFormat="1" ht="15" customHeight="1">
      <c r="A2" s="627" t="n"/>
      <c r="B2" s="26" t="n"/>
      <c r="C2" s="26" t="n"/>
      <c r="D2" s="26" t="n"/>
      <c r="E2" s="26" t="n"/>
      <c r="F2" s="26" t="n"/>
      <c r="G2" s="26" t="n"/>
      <c r="H2" s="26" t="n"/>
      <c r="I2" s="26" t="n"/>
      <c r="J2" s="26" t="n"/>
      <c r="K2" s="26" t="n"/>
      <c r="L2" s="26" t="n"/>
      <c r="M2" s="26" t="n"/>
      <c r="N2" s="26" t="n"/>
      <c r="O2" s="26" t="n"/>
      <c r="P2" s="26" t="n"/>
      <c r="Q2" s="26" t="n"/>
      <c r="R2" s="26" t="n"/>
      <c r="S2" s="26" t="n"/>
      <c r="T2" s="26" t="n"/>
      <c r="U2" s="26" t="n"/>
      <c r="V2" s="26" t="n"/>
      <c r="W2" s="26" t="n"/>
      <c r="X2" s="26" t="n"/>
      <c r="Y2" s="26" t="n"/>
      <c r="Z2" s="26" t="n"/>
      <c r="AA2" s="26" t="n"/>
      <c r="AB2" s="26" t="n"/>
      <c r="AC2" s="26" t="n"/>
      <c r="AD2" s="26" t="n"/>
      <c r="AE2" s="26" t="n"/>
      <c r="AF2" s="26" t="n"/>
      <c r="AG2" s="26" t="n"/>
      <c r="AH2" s="26" t="n"/>
      <c r="AI2" s="26" t="n"/>
      <c r="AJ2" s="26" t="n"/>
      <c r="AK2" s="26" t="n"/>
      <c r="AL2" s="26" t="n"/>
      <c r="AM2" s="26" t="n"/>
      <c r="AN2" s="26" t="n"/>
      <c r="AO2" s="26" t="n"/>
      <c r="AP2" s="26" t="n"/>
      <c r="AQ2" s="26" t="n"/>
      <c r="AR2" s="27" t="n"/>
    </row>
    <row r="3" s="3154" customFormat="1" ht="15" customHeight="1">
      <c r="A3" s="627" t="n"/>
      <c r="B3" s="2598" t="inlineStr">
        <is>
          <t xml:space="preserve">Sources of Funds</t>
        </is>
      </c>
      <c r="C3" s="2599" t="inlineStr">
        <is>
          <t xml:space="preserve">%</t>
        </is>
      </c>
      <c r="D3" s="2599" t="inlineStr">
        <is>
          <t xml:space="preserve">$ / Key</t>
        </is>
      </c>
      <c r="E3" s="2599" t="inlineStr">
        <is>
          <t xml:space="preserve">Total</t>
        </is>
      </c>
      <c r="F3" s="26" t="n"/>
      <c r="G3" s="26" t="n"/>
      <c r="H3" s="2600" t="inlineStr">
        <is>
          <t xml:space="preserve">Returns Summary</t>
        </is>
      </c>
      <c r="I3" s="2601" t="inlineStr">
        <is>
          <t xml:space="preserve">Levered IRR</t>
        </is>
      </c>
      <c r="J3" s="2601" t="inlineStr">
        <is>
          <t xml:space="preserve">MOIC</t>
        </is>
      </c>
      <c r="K3" s="26" t="n"/>
      <c r="L3" s="26" t="n"/>
      <c r="M3" s="26" t="n"/>
      <c r="N3" s="26" t="n"/>
      <c r="O3" s="26" t="n"/>
      <c r="P3" s="26" t="n"/>
      <c r="Q3" s="26" t="n"/>
      <c r="R3" s="26" t="n"/>
      <c r="S3" s="26" t="n"/>
      <c r="T3" s="26" t="n"/>
      <c r="U3" s="26" t="n"/>
      <c r="V3" s="26" t="n"/>
      <c r="W3" s="26" t="n"/>
      <c r="X3" s="26" t="n"/>
      <c r="Y3" s="26" t="n"/>
      <c r="Z3" s="26" t="n"/>
      <c r="AA3" s="26" t="n"/>
      <c r="AB3" s="26" t="n"/>
      <c r="AC3" s="26" t="n"/>
      <c r="AD3" s="26" t="n"/>
      <c r="AE3" s="26" t="n"/>
      <c r="AF3" s="26" t="n"/>
      <c r="AG3" s="26" t="n"/>
      <c r="AH3" s="26" t="n"/>
      <c r="AI3" s="26" t="n"/>
      <c r="AJ3" s="26" t="n"/>
      <c r="AK3" s="26" t="n"/>
      <c r="AL3" s="26" t="n"/>
      <c r="AM3" s="26" t="n"/>
      <c r="AN3" s="26" t="n"/>
      <c r="AO3" s="26" t="n"/>
      <c r="AP3" s="26" t="n"/>
      <c r="AQ3" s="26" t="n"/>
      <c r="AR3" s="27" t="n"/>
    </row>
    <row r="4" s="3154" customFormat="1" ht="15" customHeight="1">
      <c r="A4" s="627" t="n"/>
      <c r="B4" s="429" t="inlineStr">
        <is>
          <t xml:space="preserve">Project Equity</t>
        </is>
      </c>
      <c r="C4" s="4196" t="n">
        <f t="array" ref="C4">E4/E6</f>
        <v>0.30000000000000004</v>
      </c>
      <c r="D4" s="4043" t="n">
        <f t="array" ref="D4">E4/'Project Summary'!$I$7</f>
        <v>21442.733268253774</v>
      </c>
      <c r="E4" s="4043" t="n">
        <f t="array" ref="E4">'Project Summary'!C6</f>
        <v>2144273.3268253775</v>
      </c>
      <c r="F4" s="26" t="n"/>
      <c r="G4" s="26" t="n"/>
      <c r="H4" s="2603" t="inlineStr">
        <is>
          <t xml:space="preserve">Project Level</t>
        </is>
      </c>
      <c r="I4" s="4197" t="e">
        <f t="array" ref="I4">'Project Summary'!M18</f>
      </c>
      <c r="J4" s="4198" t="e">
        <f t="array" ref="J4">'Promote'!M19</f>
      </c>
      <c r="K4" s="26" t="n"/>
      <c r="L4" s="26" t="n"/>
      <c r="M4" s="26" t="n"/>
      <c r="N4" s="26" t="n"/>
      <c r="O4" s="26" t="n"/>
      <c r="P4" s="26" t="n"/>
      <c r="Q4" s="26" t="n"/>
      <c r="R4" s="26" t="n"/>
      <c r="S4" s="26" t="n"/>
      <c r="T4" s="26" t="n"/>
      <c r="U4" s="26" t="n"/>
      <c r="V4" s="26" t="n"/>
      <c r="W4" s="26" t="n"/>
      <c r="X4" s="26" t="n"/>
      <c r="Y4" s="26" t="n"/>
      <c r="Z4" s="26" t="n"/>
      <c r="AA4" s="26" t="n"/>
      <c r="AB4" s="26" t="n"/>
      <c r="AC4" s="26" t="n"/>
      <c r="AD4" s="26" t="n"/>
      <c r="AE4" s="26" t="n"/>
      <c r="AF4" s="26" t="n"/>
      <c r="AG4" s="26" t="n"/>
      <c r="AH4" s="26" t="n"/>
      <c r="AI4" s="26" t="n"/>
      <c r="AJ4" s="26" t="n"/>
      <c r="AK4" s="26" t="n"/>
      <c r="AL4" s="26" t="n"/>
      <c r="AM4" s="26" t="n"/>
      <c r="AN4" s="26" t="n"/>
      <c r="AO4" s="26" t="n"/>
      <c r="AP4" s="26" t="n"/>
      <c r="AQ4" s="26" t="n"/>
      <c r="AR4" s="27" t="n"/>
    </row>
    <row r="5" s="3154" customFormat="1" ht="15" customHeight="1">
      <c r="A5" s="627" t="n"/>
      <c r="B5" s="429" t="inlineStr">
        <is>
          <t xml:space="preserve">Construction Debt</t>
        </is>
      </c>
      <c r="C5" s="4199" t="n">
        <f t="array" ref="C5">E5/E6</f>
        <v>0.7</v>
      </c>
      <c r="D5" s="2607" t="n">
        <f t="array" ref="D5">E5/'Project Summary'!$I$7</f>
        <v>50033.04429259212</v>
      </c>
      <c r="E5" s="2607" t="n">
        <f t="array" ref="E5">'Project Summary'!C8</f>
        <v>5003304.429259213</v>
      </c>
      <c r="F5" s="26" t="n"/>
      <c r="G5" s="26" t="n"/>
      <c r="H5" s="2603" t="inlineStr">
        <is>
          <t xml:space="preserve">LP Investors</t>
        </is>
      </c>
      <c r="I5" s="4197" t="e">
        <f t="array" ref="I5">'Promote'!K7</f>
      </c>
      <c r="J5" s="4198" t="e">
        <f t="array" ref="J5">'Promote'!K19</f>
      </c>
      <c r="K5" s="26" t="n"/>
      <c r="L5" s="26" t="n"/>
      <c r="M5" s="26" t="n"/>
      <c r="N5" s="26" t="n"/>
      <c r="O5" s="26" t="n"/>
      <c r="P5" s="26" t="n"/>
      <c r="Q5" s="26" t="n"/>
      <c r="R5" s="26" t="n"/>
      <c r="S5" s="26" t="n"/>
      <c r="T5" s="26" t="n"/>
      <c r="U5" s="26" t="n"/>
      <c r="V5" s="26" t="n"/>
      <c r="W5" s="26" t="n"/>
      <c r="X5" s="26" t="n"/>
      <c r="Y5" s="2608" t="n"/>
      <c r="Z5" s="26" t="n"/>
      <c r="AA5" s="26" t="n"/>
      <c r="AB5" s="26" t="n"/>
      <c r="AC5" s="26" t="n"/>
      <c r="AD5" s="26" t="n"/>
      <c r="AE5" s="26" t="n"/>
      <c r="AF5" s="26" t="n"/>
      <c r="AG5" s="26" t="n"/>
      <c r="AH5" s="26" t="n"/>
      <c r="AI5" s="26" t="n"/>
      <c r="AJ5" s="26" t="n"/>
      <c r="AK5" s="26" t="n"/>
      <c r="AL5" s="26" t="n"/>
      <c r="AM5" s="26" t="n"/>
      <c r="AN5" s="26" t="n"/>
      <c r="AO5" s="26" t="n"/>
      <c r="AP5" s="26" t="n"/>
      <c r="AQ5" s="26" t="n"/>
      <c r="AR5" s="27" t="n"/>
    </row>
    <row r="6" s="3154" customFormat="1" ht="15" customHeight="1">
      <c r="A6" s="627" t="n"/>
      <c r="B6" s="2609" t="inlineStr">
        <is>
          <t xml:space="preserve">Total Sources</t>
        </is>
      </c>
      <c r="C6" s="4200" t="n">
        <f t="array" ref="C6">SUM(C4:C5)</f>
        <v>1</v>
      </c>
      <c r="D6" s="4046" t="n">
        <f t="array" ref="D6">SUM(D4:D5)</f>
        <v>71475.77756084589</v>
      </c>
      <c r="E6" s="4046" t="n">
        <f t="array" ref="E6">SUM(E4:E5)</f>
        <v>7147577.75608459</v>
      </c>
      <c r="F6" s="26" t="n"/>
      <c r="G6" s="26" t="n"/>
      <c r="H6" s="26" t="n"/>
      <c r="I6" s="26" t="n"/>
      <c r="J6" s="26" t="n"/>
      <c r="K6" s="26" t="n"/>
      <c r="L6" s="26" t="n"/>
      <c r="M6" s="26" t="n"/>
      <c r="N6" s="26" t="n"/>
      <c r="O6" s="26" t="n"/>
      <c r="P6" s="26" t="n"/>
      <c r="Q6" s="26" t="n"/>
      <c r="R6" s="26" t="n"/>
      <c r="S6" s="26" t="n"/>
      <c r="T6" s="26" t="n"/>
      <c r="U6" s="26" t="n"/>
      <c r="V6" s="26" t="n"/>
      <c r="W6" s="26" t="n"/>
      <c r="X6" s="26" t="n"/>
      <c r="Y6" s="4201" t="n"/>
      <c r="Z6" s="26" t="n"/>
      <c r="AA6" s="26" t="n"/>
      <c r="AB6" s="26" t="n"/>
      <c r="AC6" s="26" t="n"/>
      <c r="AD6" s="26" t="n"/>
      <c r="AE6" s="26" t="n"/>
      <c r="AF6" s="26" t="n"/>
      <c r="AG6" s="26" t="n"/>
      <c r="AH6" s="26" t="n"/>
      <c r="AI6" s="26" t="n"/>
      <c r="AJ6" s="26" t="n"/>
      <c r="AK6" s="26" t="n"/>
      <c r="AL6" s="26" t="n"/>
      <c r="AM6" s="26" t="n"/>
      <c r="AN6" s="26" t="n"/>
      <c r="AO6" s="26" t="n"/>
      <c r="AP6" s="26" t="n"/>
      <c r="AQ6" s="26" t="n"/>
      <c r="AR6" s="27" t="n"/>
    </row>
    <row r="7" s="3154" customFormat="1" ht="8" customHeight="1">
      <c r="A7" s="627" t="n"/>
      <c r="B7" s="26" t="n"/>
      <c r="C7" s="4202" t="n"/>
      <c r="D7" s="3322" t="n"/>
      <c r="E7" s="4203" t="n"/>
      <c r="F7" s="26" t="n"/>
      <c r="G7" s="26" t="n"/>
      <c r="H7" s="26" t="n"/>
      <c r="I7" s="26" t="n"/>
      <c r="J7" s="26" t="n"/>
      <c r="K7" s="26" t="n"/>
      <c r="L7" s="26" t="n"/>
      <c r="M7" s="26" t="n"/>
      <c r="N7" s="26" t="n"/>
      <c r="O7" s="26" t="n"/>
      <c r="P7" s="26" t="n"/>
      <c r="Q7" s="26" t="n"/>
      <c r="R7" s="26" t="n"/>
      <c r="S7" s="26" t="n"/>
      <c r="T7" s="4048" t="n"/>
      <c r="U7" s="4048" t="n"/>
      <c r="V7" s="26" t="n"/>
      <c r="W7" s="26" t="n"/>
      <c r="X7" s="26" t="n"/>
      <c r="Y7" s="4204" t="n"/>
      <c r="Z7" s="26" t="n"/>
      <c r="AA7" s="26" t="n"/>
      <c r="AB7" s="26" t="n"/>
      <c r="AC7" s="26" t="n"/>
      <c r="AD7" s="26" t="n"/>
      <c r="AE7" s="26" t="n"/>
      <c r="AF7" s="26" t="n"/>
      <c r="AG7" s="26" t="n"/>
      <c r="AH7" s="26" t="n"/>
      <c r="AI7" s="26" t="n"/>
      <c r="AJ7" s="26" t="n"/>
      <c r="AK7" s="26" t="n"/>
      <c r="AL7" s="26" t="n"/>
      <c r="AM7" s="26" t="n"/>
      <c r="AN7" s="26" t="n"/>
      <c r="AO7" s="26" t="n"/>
      <c r="AP7" s="26" t="n"/>
      <c r="AQ7" s="26" t="n"/>
      <c r="AR7" s="27" t="n"/>
    </row>
    <row r="8" s="3154" customFormat="1" ht="15" customHeight="1">
      <c r="A8" s="627" t="n"/>
      <c r="B8" s="2598" t="inlineStr">
        <is>
          <t xml:space="preserve">Uses of Funds</t>
        </is>
      </c>
      <c r="C8" s="2599" t="inlineStr">
        <is>
          <t xml:space="preserve">%</t>
        </is>
      </c>
      <c r="D8" s="2599" t="inlineStr">
        <is>
          <t xml:space="preserve">$ / Key</t>
        </is>
      </c>
      <c r="E8" s="2599" t="inlineStr">
        <is>
          <t xml:space="preserve">Total</t>
        </is>
      </c>
      <c r="F8" s="26" t="n"/>
      <c r="G8" s="26" t="n"/>
      <c r="H8" s="2615" t="inlineStr">
        <is>
          <t xml:space="preserve">  Task</t>
        </is>
      </c>
      <c r="I8" s="2616" t="inlineStr">
        <is>
          <t xml:space="preserve">Start</t>
        </is>
      </c>
      <c r="J8" s="2616" t="inlineStr">
        <is>
          <t xml:space="preserve">End</t>
        </is>
      </c>
      <c r="K8" s="2616" t="inlineStr">
        <is>
          <t xml:space="preserve">Duration</t>
        </is>
      </c>
      <c r="L8" s="26" t="n"/>
      <c r="M8" s="26" t="n"/>
      <c r="N8" s="26" t="n"/>
      <c r="O8" s="26" t="n"/>
      <c r="P8" s="26" t="n"/>
      <c r="Q8" s="26" t="n"/>
      <c r="R8" s="26" t="n"/>
      <c r="S8" s="26" t="n"/>
      <c r="T8" s="4020" t="n"/>
      <c r="U8" s="4020" t="n"/>
      <c r="V8" s="26" t="n"/>
      <c r="W8" s="26" t="n"/>
      <c r="X8" s="26" t="n"/>
      <c r="Y8" s="4205" t="n"/>
      <c r="Z8" s="26" t="n"/>
      <c r="AA8" s="26" t="n"/>
      <c r="AB8" s="26" t="n"/>
      <c r="AC8" s="26" t="n"/>
      <c r="AD8" s="26" t="n"/>
      <c r="AE8" s="26" t="n"/>
      <c r="AF8" s="26" t="n"/>
      <c r="AG8" s="26" t="n"/>
      <c r="AH8" s="26" t="n"/>
      <c r="AI8" s="26" t="n"/>
      <c r="AJ8" s="26" t="n"/>
      <c r="AK8" s="26" t="n"/>
      <c r="AL8" s="26" t="n"/>
      <c r="AM8" s="26" t="n"/>
      <c r="AN8" s="26" t="n"/>
      <c r="AO8" s="26" t="n"/>
      <c r="AP8" s="26" t="n"/>
      <c r="AQ8" s="26" t="n"/>
      <c r="AR8" s="27" t="n"/>
    </row>
    <row r="9" s="3154" customFormat="1" ht="15" customHeight="1">
      <c r="A9" s="627" t="n"/>
      <c r="B9" s="429" t="inlineStr">
        <is>
          <t xml:space="preserve">Land &amp; Acquistion</t>
        </is>
      </c>
      <c r="C9" s="4196" t="n">
        <f t="array" ref="C9">E9/$E$17</f>
        <v>0.16788904450580674</v>
      </c>
      <c r="D9" s="4043" t="n">
        <f t="array" ref="D9">E9/'Project Summary'!$I$7</f>
        <v>12000</v>
      </c>
      <c r="E9" s="4043" t="n">
        <f t="array" ref="E9">'Project Summary'!C12</f>
        <v>1200000</v>
      </c>
      <c r="F9" s="4020" t="n"/>
      <c r="G9" s="26" t="n"/>
      <c r="H9" s="2618" t="inlineStr">
        <is>
          <t xml:space="preserve">  Land Acquisition</t>
        </is>
      </c>
      <c r="I9" s="4206" t="n">
        <v>45139</v>
      </c>
      <c r="J9" s="4206" t="n">
        <v>45291</v>
      </c>
      <c r="K9" s="2620" t="inlineStr">
        <is>
          <t xml:space="preserve">4 mths</t>
        </is>
      </c>
      <c r="L9" s="26" t="n"/>
      <c r="M9" s="26" t="n"/>
      <c r="N9" s="26" t="n"/>
      <c r="O9" s="26" t="n"/>
      <c r="P9" s="26" t="n"/>
      <c r="Q9" s="26" t="n"/>
      <c r="R9" s="26" t="n"/>
      <c r="S9" s="26" t="n"/>
      <c r="T9" s="2621" t="n"/>
      <c r="U9" s="2621" t="n"/>
      <c r="V9" s="26" t="n"/>
      <c r="W9" s="26" t="n"/>
      <c r="X9" s="26" t="n"/>
      <c r="Y9" s="4205" t="n"/>
      <c r="Z9" s="26" t="n"/>
      <c r="AA9" s="26" t="n"/>
      <c r="AB9" s="26" t="n"/>
      <c r="AC9" s="26" t="n"/>
      <c r="AD9" s="26" t="n"/>
      <c r="AE9" s="26" t="n"/>
      <c r="AF9" s="26" t="n"/>
      <c r="AG9" s="26" t="n"/>
      <c r="AH9" s="26" t="n"/>
      <c r="AI9" s="26" t="n"/>
      <c r="AJ9" s="26" t="n"/>
      <c r="AK9" s="26" t="n"/>
      <c r="AL9" s="26" t="n"/>
      <c r="AM9" s="26" t="n"/>
      <c r="AN9" s="26" t="n"/>
      <c r="AO9" s="26" t="n"/>
      <c r="AP9" s="26" t="n"/>
      <c r="AQ9" s="26" t="n"/>
      <c r="AR9" s="27" t="n"/>
    </row>
    <row r="10" s="3154" customFormat="1" ht="15" customHeight="1">
      <c r="A10" s="627" t="n"/>
      <c r="B10" s="429" t="inlineStr">
        <is>
          <t xml:space="preserve">Development &amp; Planning</t>
        </is>
      </c>
      <c r="C10" s="4196" t="n">
        <f t="array" ref="C10">E10/$E$17</f>
        <v>0</v>
      </c>
      <c r="D10" s="2622" t="n">
        <f t="array" ref="D10">E10/'Project Summary'!$I$7</f>
        <v>0</v>
      </c>
      <c r="E10" s="2622" t="n">
        <f t="array" ref="E10">'Project Summary'!C13</f>
        <v>0</v>
      </c>
      <c r="F10" s="4020" t="n"/>
      <c r="G10" s="26" t="n"/>
      <c r="H10" s="2623" t="inlineStr">
        <is>
          <t xml:space="preserve">  Approvals</t>
        </is>
      </c>
      <c r="I10" s="4207" t="n">
        <f t="array" ref="I10">'Assumptions'!D17</f>
        <v>46113</v>
      </c>
      <c r="J10" s="4207" t="n">
        <f t="array" ref="J10">'Assumptions'!G17</f>
        <v>46113</v>
      </c>
      <c r="K10" s="2625" t="inlineStr">
        <is>
          <t xml:space="preserve">0 mths</t>
        </is>
      </c>
      <c r="L10" s="26" t="n"/>
      <c r="M10" s="26" t="n"/>
      <c r="N10" s="26" t="n"/>
      <c r="O10" s="26" t="n"/>
      <c r="P10" s="26" t="n"/>
      <c r="Q10" s="26" t="n"/>
      <c r="R10" s="26" t="n"/>
      <c r="S10" s="26" t="n"/>
      <c r="T10" s="2621" t="n"/>
      <c r="U10" s="2621" t="n"/>
      <c r="V10" s="26" t="n"/>
      <c r="W10" s="26" t="n"/>
      <c r="X10" s="26" t="n"/>
      <c r="Y10" s="4205" t="n"/>
      <c r="Z10" s="26" t="n"/>
      <c r="AA10" s="26" t="n"/>
      <c r="AB10" s="26" t="n"/>
      <c r="AC10" s="26" t="n"/>
      <c r="AD10" s="26" t="n"/>
      <c r="AE10" s="26" t="n"/>
      <c r="AF10" s="26" t="n"/>
      <c r="AG10" s="26" t="n"/>
      <c r="AH10" s="26" t="n"/>
      <c r="AI10" s="26" t="n"/>
      <c r="AJ10" s="26" t="n"/>
      <c r="AK10" s="26" t="n"/>
      <c r="AL10" s="26" t="n"/>
      <c r="AM10" s="26" t="n"/>
      <c r="AN10" s="26" t="n"/>
      <c r="AO10" s="26" t="n"/>
      <c r="AP10" s="26" t="n"/>
      <c r="AQ10" s="26" t="n"/>
      <c r="AR10" s="27" t="n"/>
    </row>
    <row r="11" s="3154" customFormat="1" ht="15" customHeight="1">
      <c r="A11" s="627" t="n"/>
      <c r="B11" s="429" t="inlineStr">
        <is>
          <t xml:space="preserve">Design &amp; Engineering</t>
        </is>
      </c>
      <c r="C11" s="4196" t="n">
        <f t="array" ref="C11">E11/$E$17</f>
        <v>0.027981507417634457</v>
      </c>
      <c r="D11" s="2622" t="n">
        <f t="array" ref="D11">E11/'Project Summary'!$I$7</f>
        <v>2000</v>
      </c>
      <c r="E11" s="2622" t="n">
        <f t="array" ref="E11">'Project Summary'!C14</f>
        <v>200000</v>
      </c>
      <c r="F11" s="4020" t="n"/>
      <c r="G11" s="26" t="n"/>
      <c r="H11" s="2623" t="inlineStr">
        <is>
          <t xml:space="preserve">  Design</t>
        </is>
      </c>
      <c r="I11" s="4207" t="n">
        <f t="array" ref="I11">'Assumptions'!D18</f>
        <v>46113</v>
      </c>
      <c r="J11" s="4207" t="e">
        <f t="array" ref="J11">'Assumptions'!G18</f>
      </c>
      <c r="K11" s="2625" t="inlineStr">
        <is>
          <t xml:space="preserve">3 mths</t>
        </is>
      </c>
      <c r="L11" s="26" t="n"/>
      <c r="M11" s="26" t="n"/>
      <c r="N11" s="26" t="n"/>
      <c r="O11" s="26" t="n"/>
      <c r="P11" s="26" t="n"/>
      <c r="Q11" s="26" t="n"/>
      <c r="R11" s="26" t="n"/>
      <c r="S11" s="26" t="n"/>
      <c r="T11" s="4020" t="n"/>
      <c r="U11" s="4020" t="n"/>
      <c r="V11" s="26" t="n"/>
      <c r="W11" s="26" t="n"/>
      <c r="X11" s="26" t="n"/>
      <c r="Y11" s="4205" t="n"/>
      <c r="Z11" s="26" t="n"/>
      <c r="AA11" s="26" t="n"/>
      <c r="AB11" s="26" t="n"/>
      <c r="AC11" s="26" t="n"/>
      <c r="AD11" s="26" t="n"/>
      <c r="AE11" s="26" t="n"/>
      <c r="AF11" s="26" t="n"/>
      <c r="AG11" s="26" t="n"/>
      <c r="AH11" s="26" t="n"/>
      <c r="AI11" s="26" t="n"/>
      <c r="AJ11" s="26" t="n"/>
      <c r="AK11" s="26" t="n"/>
      <c r="AL11" s="26" t="n"/>
      <c r="AM11" s="26" t="n"/>
      <c r="AN11" s="26" t="n"/>
      <c r="AO11" s="26" t="n"/>
      <c r="AP11" s="26" t="n"/>
      <c r="AQ11" s="26" t="n"/>
      <c r="AR11" s="27" t="n"/>
    </row>
    <row r="12" s="3154" customFormat="1" ht="15" customHeight="1">
      <c r="A12" s="627" t="n"/>
      <c r="B12" s="429" t="inlineStr">
        <is>
          <t xml:space="preserve">Marketing &amp; Pre-Opening</t>
        </is>
      </c>
      <c r="C12" s="4196" t="n">
        <f t="array" ref="C12">E12/$E$17</f>
        <v>0.03777503501380652</v>
      </c>
      <c r="D12" s="2622" t="n">
        <f t="array" ref="D12">E12/'Project Summary'!$I$7</f>
        <v>2700</v>
      </c>
      <c r="E12" s="2622" t="n">
        <f t="array" ref="E12">'Project Summary'!C15</f>
        <v>270000</v>
      </c>
      <c r="F12" s="4020" t="n"/>
      <c r="G12" s="26" t="n"/>
      <c r="H12" s="2623" t="inlineStr">
        <is>
          <t xml:space="preserve">  Permitting</t>
        </is>
      </c>
      <c r="I12" s="4207" t="e">
        <f t="array" ref="I12">'Assumptions'!D19</f>
      </c>
      <c r="J12" s="4207" t="e">
        <f t="array" ref="J12">'Assumptions'!G19</f>
      </c>
      <c r="K12" s="2625" t="inlineStr">
        <is>
          <t xml:space="preserve">2 mths</t>
        </is>
      </c>
      <c r="L12" s="26" t="n"/>
      <c r="M12" s="26" t="n"/>
      <c r="N12" s="26" t="n"/>
      <c r="O12" s="26" t="n"/>
      <c r="P12" s="26" t="n"/>
      <c r="Q12" s="26" t="n"/>
      <c r="R12" s="26" t="n"/>
      <c r="S12" s="26" t="n"/>
      <c r="T12" s="26" t="n"/>
      <c r="U12" s="26" t="n"/>
      <c r="V12" s="26" t="n"/>
      <c r="W12" s="26" t="n"/>
      <c r="X12" s="26" t="n"/>
      <c r="Y12" s="4205" t="n"/>
      <c r="Z12" s="26" t="n"/>
      <c r="AA12" s="26" t="n"/>
      <c r="AB12" s="26" t="n"/>
      <c r="AC12" s="26" t="n"/>
      <c r="AD12" s="26" t="n"/>
      <c r="AE12" s="26" t="n"/>
      <c r="AF12" s="26" t="n"/>
      <c r="AG12" s="26" t="n"/>
      <c r="AH12" s="26" t="n"/>
      <c r="AI12" s="26" t="n"/>
      <c r="AJ12" s="26" t="n"/>
      <c r="AK12" s="26" t="n"/>
      <c r="AL12" s="26" t="n"/>
      <c r="AM12" s="26" t="n"/>
      <c r="AN12" s="26" t="n"/>
      <c r="AO12" s="26" t="n"/>
      <c r="AP12" s="26" t="n"/>
      <c r="AQ12" s="26" t="n"/>
      <c r="AR12" s="27" t="n"/>
    </row>
    <row r="13" s="3154" customFormat="1" ht="15" customHeight="1">
      <c r="A13" s="627" t="n"/>
      <c r="B13" s="429" t="inlineStr">
        <is>
          <t xml:space="preserve">Financing</t>
        </is>
      </c>
      <c r="C13" s="4196" t="n">
        <f t="array" ref="C13">E13/$E$17</f>
        <v>0</v>
      </c>
      <c r="D13" s="2622" t="n">
        <f t="array" ref="D13">E13/'Project Summary'!$I$7</f>
        <v>0</v>
      </c>
      <c r="E13" s="2622" t="n">
        <f t="array" ref="E13">'Project Summary'!C16</f>
        <v>0</v>
      </c>
      <c r="F13" s="4020" t="n"/>
      <c r="G13" s="26" t="n"/>
      <c r="H13" s="2623" t="inlineStr">
        <is>
          <t xml:space="preserve">  Construction</t>
        </is>
      </c>
      <c r="I13" s="4207" t="e">
        <f t="array" ref="I13">'Assumptions'!D20</f>
      </c>
      <c r="J13" s="4207" t="e">
        <f t="array" ref="J13">'Assumptions'!G20</f>
      </c>
      <c r="K13" s="2625" t="inlineStr">
        <is>
          <t xml:space="preserve">9 mths</t>
        </is>
      </c>
      <c r="L13" s="26" t="n"/>
      <c r="M13" s="26" t="n"/>
      <c r="N13" s="26" t="n"/>
      <c r="O13" s="26" t="n"/>
      <c r="P13" s="26" t="n"/>
      <c r="Q13" s="26" t="n"/>
      <c r="R13" s="26" t="n"/>
      <c r="S13" s="26" t="n"/>
      <c r="T13" s="26" t="n"/>
      <c r="U13" s="26" t="n"/>
      <c r="V13" s="26" t="n"/>
      <c r="W13" s="26" t="n"/>
      <c r="X13" s="26" t="n"/>
      <c r="Y13" s="4205" t="n"/>
      <c r="Z13" s="26" t="n"/>
      <c r="AA13" s="26" t="n"/>
      <c r="AB13" s="26" t="n"/>
      <c r="AC13" s="26" t="n"/>
      <c r="AD13" s="26" t="n"/>
      <c r="AE13" s="26" t="n"/>
      <c r="AF13" s="26" t="n"/>
      <c r="AG13" s="26" t="n"/>
      <c r="AH13" s="26" t="n"/>
      <c r="AI13" s="26" t="n"/>
      <c r="AJ13" s="26" t="n"/>
      <c r="AK13" s="26" t="n"/>
      <c r="AL13" s="26" t="n"/>
      <c r="AM13" s="26" t="n"/>
      <c r="AN13" s="26" t="n"/>
      <c r="AO13" s="26" t="n"/>
      <c r="AP13" s="26" t="n"/>
      <c r="AQ13" s="26" t="n"/>
      <c r="AR13" s="27" t="n"/>
    </row>
    <row r="14" s="3154" customFormat="1" ht="15" customHeight="1">
      <c r="A14" s="627" t="n"/>
      <c r="B14" s="429" t="inlineStr">
        <is>
          <t xml:space="preserve">Construction Hard Costs</t>
        </is>
      </c>
      <c r="C14" s="4196" t="n">
        <f t="array" ref="C14">E14/$E$17</f>
        <v>0.6403508507778481</v>
      </c>
      <c r="D14" s="2622" t="n">
        <f t="array" ref="D14">E14/'Project Summary'!$I$7</f>
        <v>45769.5749710959</v>
      </c>
      <c r="E14" s="2622" t="n">
        <f t="array" ref="E14">'Project Summary'!C17</f>
        <v>4576957.49710959</v>
      </c>
      <c r="F14" s="4020" t="n"/>
      <c r="G14" s="26" t="n"/>
      <c r="H14" s="2623" t="inlineStr">
        <is>
          <t xml:space="preserve">  Initial Occ. to Stabilization</t>
        </is>
      </c>
      <c r="I14" s="4207" t="e">
        <f t="array" ref="I14">'Assumptions'!D21</f>
      </c>
      <c r="J14" s="4207" t="e">
        <f t="array" ref="J14">'Assumptions'!G21</f>
      </c>
      <c r="K14" s="2625" t="inlineStr">
        <is>
          <t xml:space="preserve">12 mths</t>
        </is>
      </c>
      <c r="L14" s="26" t="n"/>
      <c r="M14" s="26" t="n"/>
      <c r="N14" s="26" t="n"/>
      <c r="O14" s="26" t="n"/>
      <c r="P14" s="26" t="n"/>
      <c r="Q14" s="26" t="n"/>
      <c r="R14" s="26" t="n"/>
      <c r="S14" s="26" t="n"/>
      <c r="T14" s="3322" t="n"/>
      <c r="U14" s="3322" t="n"/>
      <c r="V14" s="26" t="n"/>
      <c r="W14" s="26" t="n"/>
      <c r="X14" s="26" t="n"/>
      <c r="Y14" s="4205" t="n"/>
      <c r="Z14" s="26" t="n"/>
      <c r="AA14" s="26" t="n"/>
      <c r="AB14" s="26" t="n"/>
      <c r="AC14" s="26" t="n"/>
      <c r="AD14" s="26" t="n"/>
      <c r="AE14" s="26" t="n"/>
      <c r="AF14" s="26" t="n"/>
      <c r="AG14" s="26" t="n"/>
      <c r="AH14" s="26" t="n"/>
      <c r="AI14" s="26" t="n"/>
      <c r="AJ14" s="26" t="n"/>
      <c r="AK14" s="26" t="n"/>
      <c r="AL14" s="26" t="n"/>
      <c r="AM14" s="26" t="n"/>
      <c r="AN14" s="26" t="n"/>
      <c r="AO14" s="26" t="n"/>
      <c r="AP14" s="26" t="n"/>
      <c r="AQ14" s="26" t="n"/>
      <c r="AR14" s="27" t="n"/>
    </row>
    <row r="15" s="3154" customFormat="1" ht="15" customHeight="1">
      <c r="A15" s="627" t="n"/>
      <c r="B15" s="429" t="inlineStr">
        <is>
          <t xml:space="preserve">Construction Soft Costs</t>
        </is>
      </c>
      <c r="C15" s="4196" t="n">
        <f t="array" ref="C15">E15/$E$17</f>
        <v>0.025882894361311873</v>
      </c>
      <c r="D15" s="2622" t="n">
        <f t="array" ref="D15">E15/'Project Summary'!$I$7</f>
        <v>1850</v>
      </c>
      <c r="E15" s="2622" t="n">
        <f t="array" ref="E15">'Project Summary'!C18</f>
        <v>185000</v>
      </c>
      <c r="F15" s="4020" t="n"/>
      <c r="G15" s="26" t="n"/>
      <c r="H15" s="2623" t="inlineStr">
        <is>
          <t xml:space="preserve">  Stabilized Operations*</t>
        </is>
      </c>
      <c r="I15" s="4207" t="e">
        <f t="array" ref="I15">'Assumptions'!D22</f>
      </c>
      <c r="J15" s="4207" t="e">
        <f t="array" ref="J15">'Assumptions'!G22</f>
      </c>
      <c r="K15" s="2625" t="inlineStr">
        <is>
          <t xml:space="preserve">114 mths</t>
        </is>
      </c>
      <c r="L15" s="26" t="n"/>
      <c r="M15" s="26" t="n"/>
      <c r="N15" s="26" t="n"/>
      <c r="O15" s="26" t="n"/>
      <c r="P15" s="26" t="n"/>
      <c r="Q15" s="26" t="n"/>
      <c r="R15" s="26" t="n"/>
      <c r="S15" s="26" t="n"/>
      <c r="T15" s="3322" t="n"/>
      <c r="U15" s="3322" t="n"/>
      <c r="V15" s="26" t="n"/>
      <c r="W15" s="26" t="n"/>
      <c r="X15" s="26" t="n"/>
      <c r="Y15" s="4205" t="n"/>
      <c r="Z15" s="26" t="n"/>
      <c r="AA15" s="26" t="n"/>
      <c r="AB15" s="26" t="n"/>
      <c r="AC15" s="26" t="n"/>
      <c r="AD15" s="26" t="n"/>
      <c r="AE15" s="26" t="n"/>
      <c r="AF15" s="26" t="n"/>
      <c r="AG15" s="26" t="n"/>
      <c r="AH15" s="26" t="n"/>
      <c r="AI15" s="26" t="n"/>
      <c r="AJ15" s="26" t="n"/>
      <c r="AK15" s="26" t="n"/>
      <c r="AL15" s="26" t="n"/>
      <c r="AM15" s="26" t="n"/>
      <c r="AN15" s="26" t="n"/>
      <c r="AO15" s="26" t="n"/>
      <c r="AP15" s="26" t="n"/>
      <c r="AQ15" s="26" t="n"/>
      <c r="AR15" s="27" t="n"/>
    </row>
    <row r="16" s="3154" customFormat="1" ht="15" customHeight="1">
      <c r="A16" s="627" t="n"/>
      <c r="B16" s="429" t="inlineStr">
        <is>
          <t xml:space="preserve">Owner Direct &amp; FFE/OSE</t>
        </is>
      </c>
      <c r="C16" s="4199" t="n">
        <f t="array" ref="C16">E16/$E$17</f>
        <v>0.10012066792359227</v>
      </c>
      <c r="D16" s="2607" t="n">
        <f t="array" ref="D16">E16/'Project Summary'!$I$7</f>
        <v>7156.20258975</v>
      </c>
      <c r="E16" s="2607" t="n">
        <f t="array" ref="E16">'Project Summary'!C19</f>
        <v>715620.258975</v>
      </c>
      <c r="F16" s="4020" t="n"/>
      <c r="G16" s="26" t="n"/>
      <c r="H16" s="2623" t="inlineStr">
        <is>
          <t xml:space="preserve">  Terminal Sale*</t>
        </is>
      </c>
      <c r="I16" s="4207" t="n">
        <f t="array" ref="I16">'Assumptions'!D23</f>
        <v>50010</v>
      </c>
      <c r="J16" s="4207" t="n">
        <f t="array" ref="J16">'Assumptions'!G23</f>
        <v>50010</v>
      </c>
      <c r="K16" s="2625" t="inlineStr">
        <is>
          <t xml:space="preserve">--</t>
        </is>
      </c>
      <c r="L16" s="26" t="n"/>
      <c r="M16" s="26" t="n"/>
      <c r="N16" s="26" t="n"/>
      <c r="O16" s="26" t="n"/>
      <c r="P16" s="26" t="n"/>
      <c r="Q16" s="26" t="n"/>
      <c r="R16" s="26" t="n"/>
      <c r="S16" s="26" t="n"/>
      <c r="T16" s="3322" t="n"/>
      <c r="U16" s="3322" t="n"/>
      <c r="V16" s="26" t="n"/>
      <c r="W16" s="26" t="n"/>
      <c r="X16" s="26" t="n"/>
      <c r="Y16" s="4205" t="n"/>
      <c r="Z16" s="26" t="n"/>
      <c r="AA16" s="26" t="n"/>
      <c r="AB16" s="26" t="n"/>
      <c r="AC16" s="26" t="n"/>
      <c r="AD16" s="26" t="n"/>
      <c r="AE16" s="26" t="n"/>
      <c r="AF16" s="26" t="n"/>
      <c r="AG16" s="26" t="n"/>
      <c r="AH16" s="26" t="n"/>
      <c r="AI16" s="26" t="n"/>
      <c r="AJ16" s="26" t="n"/>
      <c r="AK16" s="26" t="n"/>
      <c r="AL16" s="26" t="n"/>
      <c r="AM16" s="26" t="n"/>
      <c r="AN16" s="26" t="n"/>
      <c r="AO16" s="26" t="n"/>
      <c r="AP16" s="26" t="n"/>
      <c r="AQ16" s="26" t="n"/>
      <c r="AR16" s="27" t="n"/>
    </row>
    <row r="17" s="3154" customFormat="1" ht="15" customHeight="1">
      <c r="A17" s="627" t="n"/>
      <c r="B17" s="2609" t="inlineStr">
        <is>
          <t xml:space="preserve">Total Uses</t>
        </is>
      </c>
      <c r="C17" s="4200" t="n">
        <f t="array" ref="C17">SUM(C9:C16)</f>
        <v>1</v>
      </c>
      <c r="D17" s="4046" t="n">
        <f t="array" ref="D17">SUM(D9:D16)</f>
        <v>71475.7775608459</v>
      </c>
      <c r="E17" s="4046" t="n">
        <f t="array" ref="E17">SUM(E9:E16)</f>
        <v>7147577.75608459</v>
      </c>
      <c r="F17" s="4020" t="n"/>
      <c r="G17" s="26" t="n"/>
      <c r="H17" s="2626" t="n"/>
      <c r="I17" s="2626" t="n"/>
      <c r="J17" s="2626" t="n"/>
      <c r="K17" s="2626" t="n"/>
      <c r="L17" s="26" t="n"/>
      <c r="M17" s="26" t="n"/>
      <c r="N17" s="26" t="n"/>
      <c r="O17" s="26" t="n"/>
      <c r="P17" s="26" t="n"/>
      <c r="Q17" s="26" t="n"/>
      <c r="R17" s="26" t="n"/>
      <c r="S17" s="26" t="n"/>
      <c r="T17" s="3322" t="n"/>
      <c r="U17" s="3322" t="n"/>
      <c r="V17" s="26" t="n"/>
      <c r="W17" s="26" t="n"/>
      <c r="X17" s="26" t="n"/>
      <c r="Y17" s="4205" t="n"/>
      <c r="Z17" s="26" t="n"/>
      <c r="AA17" s="26" t="n"/>
      <c r="AB17" s="26" t="n"/>
      <c r="AC17" s="26" t="n"/>
      <c r="AD17" s="26" t="n"/>
      <c r="AE17" s="26" t="n"/>
      <c r="AF17" s="26" t="n"/>
      <c r="AG17" s="26" t="n"/>
      <c r="AH17" s="26" t="n"/>
      <c r="AI17" s="26" t="n"/>
      <c r="AJ17" s="26" t="n"/>
      <c r="AK17" s="26" t="n"/>
      <c r="AL17" s="26" t="n"/>
      <c r="AM17" s="26" t="n"/>
      <c r="AN17" s="26" t="n"/>
      <c r="AO17" s="26" t="n"/>
      <c r="AP17" s="26" t="n"/>
      <c r="AQ17" s="26" t="n"/>
      <c r="AR17" s="27" t="n"/>
    </row>
    <row r="18" s="3154" customFormat="1" ht="8" customHeight="1">
      <c r="A18" s="627" t="n"/>
      <c r="B18" s="26" t="n"/>
      <c r="C18" s="26" t="n"/>
      <c r="D18" s="3322" t="n"/>
      <c r="E18" s="26" t="n"/>
      <c r="F18" s="26" t="n"/>
      <c r="G18" s="26" t="n"/>
      <c r="H18" s="26" t="n"/>
      <c r="I18" s="26" t="n"/>
      <c r="J18" s="26" t="n"/>
      <c r="K18" s="26" t="n"/>
      <c r="L18" s="26" t="n"/>
      <c r="M18" s="26" t="n"/>
      <c r="N18" s="26" t="n"/>
      <c r="O18" s="26" t="n"/>
      <c r="P18" s="26" t="n"/>
      <c r="Q18" s="26" t="n"/>
      <c r="R18" s="26" t="n"/>
      <c r="S18" s="26" t="n"/>
      <c r="T18" s="3322" t="n"/>
      <c r="U18" s="3322" t="n"/>
      <c r="V18" s="26" t="n"/>
      <c r="W18" s="26" t="n"/>
      <c r="X18" s="26" t="n"/>
      <c r="Y18" s="4205" t="n"/>
      <c r="Z18" s="26" t="n"/>
      <c r="AA18" s="26" t="n"/>
      <c r="AB18" s="26" t="n"/>
      <c r="AC18" s="26" t="n"/>
      <c r="AD18" s="26" t="n"/>
      <c r="AE18" s="26" t="n"/>
      <c r="AF18" s="26" t="n"/>
      <c r="AG18" s="26" t="n"/>
      <c r="AH18" s="26" t="n"/>
      <c r="AI18" s="26" t="n"/>
      <c r="AJ18" s="26" t="n"/>
      <c r="AK18" s="26" t="n"/>
      <c r="AL18" s="26" t="n"/>
      <c r="AM18" s="26" t="n"/>
      <c r="AN18" s="26" t="n"/>
      <c r="AO18" s="26" t="n"/>
      <c r="AP18" s="26" t="n"/>
      <c r="AQ18" s="26" t="n"/>
      <c r="AR18" s="27" t="n"/>
    </row>
    <row r="19" s="3154" customFormat="1" ht="15" customHeight="1">
      <c r="A19" s="627" t="n"/>
      <c r="B19" s="2598" t="inlineStr">
        <is>
          <t xml:space="preserve">Stabilized Proforma - Yr 3</t>
        </is>
      </c>
      <c r="C19" s="2599" t="inlineStr">
        <is>
          <t xml:space="preserve">%</t>
        </is>
      </c>
      <c r="D19" s="2599" t="inlineStr">
        <is>
          <t xml:space="preserve">$ / Key</t>
        </is>
      </c>
      <c r="E19" s="2599" t="inlineStr">
        <is>
          <t xml:space="preserve">Total</t>
        </is>
      </c>
      <c r="F19" s="26" t="n"/>
      <c r="G19" s="26" t="n"/>
      <c r="H19" s="26" t="n"/>
      <c r="I19" s="26" t="n"/>
      <c r="J19" s="26" t="n"/>
      <c r="K19" s="26" t="n"/>
      <c r="L19" s="26" t="n"/>
      <c r="M19" s="26" t="n"/>
      <c r="N19" s="26" t="n"/>
      <c r="O19" s="26" t="n"/>
      <c r="P19" s="26" t="n"/>
      <c r="Q19" s="26" t="n"/>
      <c r="R19" s="26" t="n"/>
      <c r="S19" s="26" t="n"/>
      <c r="T19" s="3322" t="n"/>
      <c r="U19" s="3322" t="n"/>
      <c r="V19" s="26" t="n"/>
      <c r="W19" s="26" t="n"/>
      <c r="X19" s="26" t="n"/>
      <c r="Y19" s="4205" t="n"/>
      <c r="Z19" s="26" t="n"/>
      <c r="AA19" s="26" t="n"/>
      <c r="AB19" s="26" t="n"/>
      <c r="AC19" s="26" t="n"/>
      <c r="AD19" s="26" t="n"/>
      <c r="AE19" s="26" t="n"/>
      <c r="AF19" s="26" t="n"/>
      <c r="AG19" s="26" t="n"/>
      <c r="AH19" s="26" t="n"/>
      <c r="AI19" s="26" t="n"/>
      <c r="AJ19" s="26" t="n"/>
      <c r="AK19" s="26" t="n"/>
      <c r="AL19" s="26" t="n"/>
      <c r="AM19" s="26" t="n"/>
      <c r="AN19" s="26" t="n"/>
      <c r="AO19" s="26" t="n"/>
      <c r="AP19" s="26" t="n"/>
      <c r="AQ19" s="26" t="n"/>
      <c r="AR19" s="2627" t="n">
        <v>1.68342690987274e-07</v>
      </c>
    </row>
    <row r="20" s="3154" customFormat="1" ht="15" customHeight="1">
      <c r="A20" s="627" t="n"/>
      <c r="B20" s="429" t="inlineStr">
        <is>
          <t xml:space="preserve">Total Revenue</t>
        </is>
      </c>
      <c r="C20" s="4020" t="e">
        <f t="array" ref="C20">E20/$E$20</f>
      </c>
      <c r="D20" s="4043" t="e">
        <f t="array" ref="D20">E20/'Project Summary'!$I$7</f>
      </c>
      <c r="E20" s="4043" t="e">
        <f t="array" ref="E20">'Hotel Operating'!E25</f>
      </c>
      <c r="F20" s="26" t="n"/>
      <c r="G20" s="26" t="n"/>
      <c r="H20" s="26" t="n"/>
      <c r="I20" s="26" t="n"/>
      <c r="J20" s="26" t="n"/>
      <c r="K20" s="26" t="n"/>
      <c r="L20" s="26" t="n"/>
      <c r="M20" s="26" t="n"/>
      <c r="N20" s="26" t="n"/>
      <c r="O20" s="26" t="n"/>
      <c r="P20" s="26" t="n"/>
      <c r="Q20" s="26" t="n"/>
      <c r="R20" s="26" t="n"/>
      <c r="S20" s="26" t="n"/>
      <c r="T20" s="3322" t="n"/>
      <c r="U20" s="3322" t="n"/>
      <c r="V20" s="26" t="n"/>
      <c r="W20" s="26" t="n"/>
      <c r="X20" s="2628" t="n"/>
      <c r="Y20" s="4205" t="n"/>
      <c r="Z20" s="26" t="n"/>
      <c r="AA20" s="26" t="n"/>
      <c r="AB20" s="26" t="n"/>
      <c r="AC20" s="26" t="n"/>
      <c r="AD20" s="26" t="n"/>
      <c r="AE20" s="26" t="n"/>
      <c r="AF20" s="26" t="n"/>
      <c r="AG20" s="26" t="n"/>
      <c r="AH20" s="26" t="n"/>
      <c r="AI20" s="26" t="n"/>
      <c r="AJ20" s="26" t="n"/>
      <c r="AK20" s="26" t="n"/>
      <c r="AL20" s="26" t="n"/>
      <c r="AM20" s="26" t="n"/>
      <c r="AN20" s="26" t="n"/>
      <c r="AO20" s="26" t="n"/>
      <c r="AP20" s="26" t="n"/>
      <c r="AQ20" s="26" t="n"/>
      <c r="AR20" s="27" t="n"/>
    </row>
    <row r="21" s="3154" customFormat="1" ht="15" customHeight="1">
      <c r="A21" s="627" t="n"/>
      <c r="B21" s="429" t="inlineStr">
        <is>
          <t xml:space="preserve">Total Departmental Exp</t>
        </is>
      </c>
      <c r="C21" s="4208" t="e">
        <f t="array" ref="C21">E21/$E$20</f>
      </c>
      <c r="D21" s="2607" t="e">
        <f t="array" ref="D21">E21/'Project Summary'!$I$7</f>
      </c>
      <c r="E21" s="2607" t="e">
        <f t="array" ref="E21">'Hotel Operating'!E32</f>
      </c>
      <c r="F21" s="26" t="n"/>
      <c r="G21" s="26" t="n"/>
      <c r="H21" s="26" t="n"/>
      <c r="I21" s="26" t="n"/>
      <c r="J21" s="26" t="n"/>
      <c r="K21" s="26" t="n"/>
      <c r="L21" s="26" t="n"/>
      <c r="M21" s="26" t="n"/>
      <c r="N21" s="26" t="n"/>
      <c r="O21" s="26" t="n"/>
      <c r="P21" s="26" t="n"/>
      <c r="Q21" s="26" t="n"/>
      <c r="R21" s="26" t="n"/>
      <c r="S21" s="26" t="n"/>
      <c r="T21" s="3322" t="n"/>
      <c r="U21" s="3322" t="n"/>
      <c r="V21" s="26" t="n"/>
      <c r="W21" s="26" t="n"/>
      <c r="X21" s="26" t="n"/>
      <c r="Y21" s="4205" t="n"/>
      <c r="Z21" s="26" t="n"/>
      <c r="AA21" s="26" t="n"/>
      <c r="AB21" s="26" t="n"/>
      <c r="AC21" s="26" t="n"/>
      <c r="AD21" s="26" t="n"/>
      <c r="AE21" s="26" t="n"/>
      <c r="AF21" s="26" t="n"/>
      <c r="AG21" s="26" t="n"/>
      <c r="AH21" s="26" t="n"/>
      <c r="AI21" s="26" t="n"/>
      <c r="AJ21" s="26" t="n"/>
      <c r="AK21" s="26" t="n"/>
      <c r="AL21" s="26" t="n"/>
      <c r="AM21" s="26" t="n"/>
      <c r="AN21" s="26" t="n"/>
      <c r="AO21" s="26" t="n"/>
      <c r="AP21" s="26" t="n"/>
      <c r="AQ21" s="26" t="n"/>
      <c r="AR21" s="27" t="n"/>
    </row>
    <row r="22" s="3154" customFormat="1" ht="15" customHeight="1">
      <c r="A22" s="627" t="n"/>
      <c r="B22" s="2609" t="inlineStr">
        <is>
          <t xml:space="preserve">Departmental Profit</t>
        </is>
      </c>
      <c r="C22" s="4209" t="e">
        <f t="array" ref="C22">E22/$E$20</f>
      </c>
      <c r="D22" s="4046" t="e">
        <f t="array" ref="D22">E22/'Project Summary'!$I$7</f>
      </c>
      <c r="E22" s="4046" t="e">
        <f t="array" ref="E22">E20-E21</f>
      </c>
      <c r="F22" s="26" t="n"/>
      <c r="G22" s="26" t="n"/>
      <c r="H22" s="26" t="n"/>
      <c r="I22" s="26" t="n"/>
      <c r="J22" s="26" t="n"/>
      <c r="K22" s="26" t="n"/>
      <c r="L22" s="26" t="n"/>
      <c r="M22" s="26" t="n"/>
      <c r="N22" s="26" t="n"/>
      <c r="O22" s="26" t="n"/>
      <c r="P22" s="26" t="n"/>
      <c r="Q22" s="26" t="n"/>
      <c r="R22" s="26" t="n"/>
      <c r="S22" s="26" t="n"/>
      <c r="T22" s="3322" t="n"/>
      <c r="U22" s="3322" t="n"/>
      <c r="V22" s="26" t="n"/>
      <c r="W22" s="26" t="n"/>
      <c r="X22" s="26" t="n"/>
      <c r="Y22" s="4205" t="n"/>
      <c r="Z22" s="26" t="n"/>
      <c r="AA22" s="26" t="n"/>
      <c r="AB22" s="26" t="n"/>
      <c r="AC22" s="26" t="n"/>
      <c r="AD22" s="26" t="n"/>
      <c r="AE22" s="26" t="n"/>
      <c r="AF22" s="26" t="n"/>
      <c r="AG22" s="26" t="n"/>
      <c r="AH22" s="26" t="n"/>
      <c r="AI22" s="26" t="n"/>
      <c r="AJ22" s="26" t="n"/>
      <c r="AK22" s="26" t="n"/>
      <c r="AL22" s="26" t="n"/>
      <c r="AM22" s="26" t="n"/>
      <c r="AN22" s="26" t="n"/>
      <c r="AO22" s="26" t="n"/>
      <c r="AP22" s="26" t="n"/>
      <c r="AQ22" s="26" t="n"/>
      <c r="AR22" s="27" t="n"/>
    </row>
    <row r="23" s="3154" customFormat="1" ht="15" customHeight="1">
      <c r="A23" s="627" t="n"/>
      <c r="B23" s="429" t="inlineStr">
        <is>
          <t xml:space="preserve">Total Undistributed Exp</t>
        </is>
      </c>
      <c r="C23" s="4020" t="e">
        <f t="array" ref="C23">E23/$E$20</f>
      </c>
      <c r="D23" s="2622" t="e">
        <f t="array" ref="D23">E23/'Project Summary'!$I$7</f>
      </c>
      <c r="E23" s="2622" t="e">
        <f t="array" ref="E23">'Hotel Operating'!E43</f>
      </c>
      <c r="F23" s="26" t="n"/>
      <c r="G23" s="26" t="n"/>
      <c r="H23" s="26" t="n"/>
      <c r="I23" s="26" t="n"/>
      <c r="J23" s="26" t="n"/>
      <c r="K23" s="26" t="n"/>
      <c r="L23" s="26" t="n"/>
      <c r="M23" s="26" t="n"/>
      <c r="N23" s="26" t="n"/>
      <c r="O23" s="26" t="n"/>
      <c r="P23" s="26" t="n"/>
      <c r="Q23" s="26" t="n"/>
      <c r="R23" s="26" t="n"/>
      <c r="S23" s="26" t="n"/>
      <c r="T23" s="3322" t="n"/>
      <c r="U23" s="3322" t="n"/>
      <c r="V23" s="26" t="n"/>
      <c r="W23" s="26" t="n"/>
      <c r="X23" s="26" t="n"/>
      <c r="Y23" s="4205" t="n"/>
      <c r="Z23" s="26" t="n"/>
      <c r="AA23" s="26" t="n"/>
      <c r="AB23" s="26" t="n"/>
      <c r="AC23" s="26" t="n"/>
      <c r="AD23" s="26" t="n"/>
      <c r="AE23" s="26" t="n"/>
      <c r="AF23" s="26" t="n"/>
      <c r="AG23" s="26" t="n"/>
      <c r="AH23" s="26" t="n"/>
      <c r="AI23" s="26" t="n"/>
      <c r="AJ23" s="26" t="n"/>
      <c r="AK23" s="26" t="n"/>
      <c r="AL23" s="26" t="n"/>
      <c r="AM23" s="26" t="n"/>
      <c r="AN23" s="26" t="n"/>
      <c r="AO23" s="26" t="n"/>
      <c r="AP23" s="26" t="n"/>
      <c r="AQ23" s="26" t="n"/>
      <c r="AR23" s="27" t="n"/>
    </row>
    <row r="24" s="3154" customFormat="1" ht="15" customHeight="1">
      <c r="A24" s="627" t="n"/>
      <c r="B24" s="429" t="inlineStr">
        <is>
          <t xml:space="preserve">Total Management Fees</t>
        </is>
      </c>
      <c r="C24" s="4208" t="e">
        <f t="array" ref="C24">E24/$E$20</f>
      </c>
      <c r="D24" s="2607" t="e">
        <f t="array" ref="D24">E24/'Project Summary'!$I$7</f>
      </c>
      <c r="E24" s="2607" t="e">
        <f t="array" ref="E24">'Hotel Operating'!E48</f>
      </c>
      <c r="F24" s="26" t="n"/>
      <c r="G24" s="26" t="n"/>
      <c r="H24" s="26" t="n"/>
      <c r="I24" s="26" t="n"/>
      <c r="J24" s="26" t="n"/>
      <c r="K24" s="26" t="n"/>
      <c r="L24" s="26" t="n"/>
      <c r="M24" s="26" t="n"/>
      <c r="N24" s="26" t="n"/>
      <c r="O24" s="26" t="n"/>
      <c r="P24" s="26" t="n"/>
      <c r="Q24" s="26" t="n"/>
      <c r="R24" s="26" t="n"/>
      <c r="S24" s="26" t="n"/>
      <c r="T24" s="3322" t="n"/>
      <c r="U24" s="3322" t="n"/>
      <c r="V24" s="26" t="n"/>
      <c r="W24" s="26" t="n"/>
      <c r="X24" s="26" t="n"/>
      <c r="Y24" s="4205" t="n"/>
      <c r="Z24" s="26" t="n"/>
      <c r="AA24" s="26" t="n"/>
      <c r="AB24" s="26" t="n"/>
      <c r="AC24" s="26" t="n"/>
      <c r="AD24" s="26" t="n"/>
      <c r="AE24" s="26" t="n"/>
      <c r="AF24" s="26" t="n"/>
      <c r="AG24" s="26" t="n"/>
      <c r="AH24" s="26" t="n"/>
      <c r="AI24" s="26" t="n"/>
      <c r="AJ24" s="26" t="n"/>
      <c r="AK24" s="26" t="n"/>
      <c r="AL24" s="26" t="n"/>
      <c r="AM24" s="26" t="n"/>
      <c r="AN24" s="26" t="n"/>
      <c r="AO24" s="26" t="n"/>
      <c r="AP24" s="26" t="n"/>
      <c r="AQ24" s="26" t="n"/>
      <c r="AR24" s="27" t="n"/>
    </row>
    <row r="25" s="3154" customFormat="1" ht="15" customHeight="1">
      <c r="A25" s="627" t="n"/>
      <c r="B25" s="2609" t="inlineStr">
        <is>
          <t xml:space="preserve">Gross Operating Profit</t>
        </is>
      </c>
      <c r="C25" s="4209" t="e">
        <f t="array" ref="C25">E25/$E$20</f>
      </c>
      <c r="D25" s="4046" t="e">
        <f t="array" ref="D25">E25/'Project Summary'!$I$7</f>
      </c>
      <c r="E25" s="4046" t="e">
        <f t="array" ref="E25">E22-E23-E24</f>
      </c>
      <c r="F25" s="26" t="n"/>
      <c r="G25" s="26" t="n"/>
      <c r="H25" s="26" t="n"/>
      <c r="I25" s="26" t="n"/>
      <c r="J25" s="26" t="n"/>
      <c r="K25" s="26" t="n"/>
      <c r="L25" s="26" t="n"/>
      <c r="M25" s="26" t="n"/>
      <c r="N25" s="26" t="n"/>
      <c r="O25" s="26" t="n"/>
      <c r="P25" s="26" t="n"/>
      <c r="Q25" s="26" t="n"/>
      <c r="R25" s="26" t="n"/>
      <c r="S25" s="26" t="n"/>
      <c r="T25" s="3322" t="n"/>
      <c r="U25" s="3322" t="n"/>
      <c r="V25" s="26" t="n"/>
      <c r="W25" s="26" t="n"/>
      <c r="X25" s="26" t="n"/>
      <c r="Y25" s="4205" t="n"/>
      <c r="Z25" s="26" t="n"/>
      <c r="AA25" s="26" t="n"/>
      <c r="AB25" s="26" t="n"/>
      <c r="AC25" s="26" t="n"/>
      <c r="AD25" s="26" t="n"/>
      <c r="AE25" s="26" t="n"/>
      <c r="AF25" s="26" t="n"/>
      <c r="AG25" s="26" t="n"/>
      <c r="AH25" s="26" t="n"/>
      <c r="AI25" s="26" t="n"/>
      <c r="AJ25" s="26" t="n"/>
      <c r="AK25" s="26" t="n"/>
      <c r="AL25" s="26" t="n"/>
      <c r="AM25" s="26" t="n"/>
      <c r="AN25" s="26" t="n"/>
      <c r="AO25" s="26" t="n"/>
      <c r="AP25" s="26" t="n"/>
      <c r="AQ25" s="26" t="n"/>
      <c r="AR25" s="27" t="n"/>
    </row>
    <row r="26" s="3154" customFormat="1" ht="15" customHeight="1">
      <c r="A26" s="627" t="n"/>
      <c r="B26" s="429" t="inlineStr">
        <is>
          <t xml:space="preserve">Total Fixed Exp &amp; Reserves</t>
        </is>
      </c>
      <c r="C26" s="4208" t="e">
        <f t="array" ref="C26">E26/$E$20</f>
      </c>
      <c r="D26" s="2607" t="e">
        <f t="array" ref="D26">E26/'Project Summary'!$I$7</f>
      </c>
      <c r="E26" s="2607" t="e">
        <f t="array" ref="E26">'Hotel Operating'!E57</f>
      </c>
      <c r="F26" s="26" t="n"/>
      <c r="G26" s="26" t="n"/>
      <c r="H26" s="26" t="n"/>
      <c r="I26" s="26" t="n"/>
      <c r="J26" s="26" t="n"/>
      <c r="K26" s="26" t="n"/>
      <c r="L26" s="26" t="n"/>
      <c r="M26" s="26" t="n"/>
      <c r="N26" s="26" t="n"/>
      <c r="O26" s="26" t="n"/>
      <c r="P26" s="26" t="n"/>
      <c r="Q26" s="26" t="n"/>
      <c r="R26" s="26" t="n"/>
      <c r="S26" s="26" t="n"/>
      <c r="T26" s="3322" t="n"/>
      <c r="U26" s="3322" t="n"/>
      <c r="V26" s="26" t="n"/>
      <c r="W26" s="26" t="n"/>
      <c r="X26" s="26" t="n"/>
      <c r="Y26" s="4205" t="n"/>
      <c r="Z26" s="26" t="n"/>
      <c r="AA26" s="26" t="n"/>
      <c r="AB26" s="26" t="n"/>
      <c r="AC26" s="26" t="n"/>
      <c r="AD26" s="26" t="n"/>
      <c r="AE26" s="26" t="n"/>
      <c r="AF26" s="26" t="n"/>
      <c r="AG26" s="26" t="n"/>
      <c r="AH26" s="26" t="n"/>
      <c r="AI26" s="26" t="n"/>
      <c r="AJ26" s="26" t="n"/>
      <c r="AK26" s="26" t="n"/>
      <c r="AL26" s="26" t="n"/>
      <c r="AM26" s="26" t="n"/>
      <c r="AN26" s="26" t="n"/>
      <c r="AO26" s="26" t="n"/>
      <c r="AP26" s="26" t="n"/>
      <c r="AQ26" s="26" t="n"/>
      <c r="AR26" s="27" t="n"/>
    </row>
    <row r="27" s="3154" customFormat="1" ht="15" customHeight="1">
      <c r="A27" s="627" t="n"/>
      <c r="B27" s="2609" t="inlineStr">
        <is>
          <t xml:space="preserve">Net Operating Income</t>
        </is>
      </c>
      <c r="C27" s="4209" t="e">
        <f t="array" ref="C27">E27/$E$20</f>
      </c>
      <c r="D27" s="4046" t="e">
        <f t="array" ref="D27">E27/'Project Summary'!$I$7</f>
      </c>
      <c r="E27" s="4046" t="e">
        <f t="array" ref="E27">E25-E26</f>
      </c>
      <c r="F27" s="26" t="n"/>
      <c r="G27" s="26" t="n"/>
      <c r="H27" s="26" t="n"/>
      <c r="I27" s="26" t="n"/>
      <c r="J27" s="26" t="n"/>
      <c r="K27" s="26" t="n"/>
      <c r="L27" s="26" t="n"/>
      <c r="M27" s="26" t="n"/>
      <c r="N27" s="26" t="n"/>
      <c r="O27" s="26" t="n"/>
      <c r="P27" s="26" t="n"/>
      <c r="Q27" s="26" t="n"/>
      <c r="R27" s="26" t="n"/>
      <c r="S27" s="26" t="n"/>
      <c r="T27" s="26" t="n"/>
      <c r="U27" s="26" t="n"/>
      <c r="V27" s="26" t="n"/>
      <c r="W27" s="26" t="n"/>
      <c r="X27" s="26" t="n"/>
      <c r="Y27" s="4205" t="n"/>
      <c r="Z27" s="26" t="n"/>
      <c r="AA27" s="26" t="n"/>
      <c r="AB27" s="26" t="n"/>
      <c r="AC27" s="26" t="n"/>
      <c r="AD27" s="26" t="n"/>
      <c r="AE27" s="26" t="n"/>
      <c r="AF27" s="26" t="n"/>
      <c r="AG27" s="26" t="n"/>
      <c r="AH27" s="26" t="n"/>
      <c r="AI27" s="26" t="n"/>
      <c r="AJ27" s="26" t="n"/>
      <c r="AK27" s="26" t="n"/>
      <c r="AL27" s="26" t="n"/>
      <c r="AM27" s="26" t="n"/>
      <c r="AN27" s="26" t="n"/>
      <c r="AO27" s="26" t="n"/>
      <c r="AP27" s="26" t="n"/>
      <c r="AQ27" s="26" t="n"/>
      <c r="AR27" s="27" t="n"/>
    </row>
    <row r="28" s="3154" customFormat="1" ht="8" customHeight="1">
      <c r="A28" s="627" t="n"/>
      <c r="B28" s="26" t="n"/>
      <c r="C28" s="26" t="n"/>
      <c r="D28" s="26" t="n"/>
      <c r="E28" s="26" t="n"/>
      <c r="F28" s="26" t="n"/>
      <c r="G28" s="26" t="n"/>
      <c r="H28" s="26" t="n"/>
      <c r="I28" s="26" t="n"/>
      <c r="J28" s="26" t="n"/>
      <c r="K28" s="26" t="n"/>
      <c r="L28" s="26" t="n"/>
      <c r="M28" s="26" t="n"/>
      <c r="N28" s="26" t="n"/>
      <c r="O28" s="26" t="n"/>
      <c r="P28" s="26" t="n"/>
      <c r="Q28" s="26" t="n"/>
      <c r="R28" s="26" t="n"/>
      <c r="S28" s="26" t="n"/>
      <c r="T28" s="26" t="n"/>
      <c r="U28" s="26" t="n"/>
      <c r="V28" s="26" t="n"/>
      <c r="W28" s="26" t="n"/>
      <c r="X28" s="26" t="n"/>
      <c r="Y28" s="4205" t="n"/>
      <c r="Z28" s="26" t="n"/>
      <c r="AA28" s="26" t="n"/>
      <c r="AB28" s="26" t="n"/>
      <c r="AC28" s="26" t="n"/>
      <c r="AD28" s="26" t="n"/>
      <c r="AE28" s="26" t="n"/>
      <c r="AF28" s="26" t="n"/>
      <c r="AG28" s="26" t="n"/>
      <c r="AH28" s="26" t="n"/>
      <c r="AI28" s="26" t="n"/>
      <c r="AJ28" s="26" t="n"/>
      <c r="AK28" s="26" t="n"/>
      <c r="AL28" s="26" t="n"/>
      <c r="AM28" s="26" t="n"/>
      <c r="AN28" s="26" t="n"/>
      <c r="AO28" s="26" t="n"/>
      <c r="AP28" s="26" t="n"/>
      <c r="AQ28" s="26" t="n"/>
      <c r="AR28" s="27" t="n"/>
    </row>
    <row r="29" s="3154" customFormat="1" ht="15" customHeight="1">
      <c r="A29" s="627" t="n"/>
      <c r="B29" s="2631" t="inlineStr">
        <is>
          <t xml:space="preserve">Development Yield</t>
        </is>
      </c>
      <c r="D29" s="2633" t="n"/>
      <c r="E29" s="2633" t="n"/>
      <c r="F29" s="26" t="n"/>
      <c r="G29" s="26" t="n"/>
      <c r="H29" s="26" t="n"/>
      <c r="I29" s="26" t="n"/>
      <c r="J29" s="26" t="n"/>
      <c r="K29" s="26" t="n"/>
      <c r="L29" s="26" t="n"/>
      <c r="M29" s="26" t="n"/>
      <c r="N29" s="26" t="n"/>
      <c r="O29" s="26" t="n"/>
      <c r="P29" s="26" t="n"/>
      <c r="Q29" s="26" t="n"/>
      <c r="R29" s="26" t="n"/>
      <c r="S29" s="26" t="n"/>
      <c r="T29" s="26" t="n"/>
      <c r="U29" s="26" t="n"/>
      <c r="V29" s="26" t="n"/>
      <c r="W29" s="26" t="n"/>
      <c r="X29" s="26" t="n"/>
      <c r="Y29" s="4205" t="n"/>
      <c r="Z29" s="26" t="n"/>
      <c r="AA29" s="26" t="n"/>
      <c r="AB29" s="26" t="n"/>
      <c r="AC29" s="26" t="n"/>
      <c r="AD29" s="26" t="n"/>
      <c r="AE29" s="26" t="n"/>
      <c r="AF29" s="26" t="n"/>
      <c r="AG29" s="26" t="n"/>
      <c r="AH29" s="26" t="n"/>
      <c r="AI29" s="26" t="n"/>
      <c r="AJ29" s="26" t="n"/>
      <c r="AK29" s="26" t="n"/>
      <c r="AL29" s="26" t="n"/>
      <c r="AM29" s="26" t="n"/>
      <c r="AN29" s="26" t="n"/>
      <c r="AO29" s="26" t="n"/>
      <c r="AP29" s="26" t="n"/>
      <c r="AQ29" s="26" t="n"/>
      <c r="AR29" s="27" t="n"/>
    </row>
    <row r="30" s="3154" customFormat="1" ht="15" customHeight="1">
      <c r="A30" s="627" t="n"/>
      <c r="B30" s="429" t="inlineStr">
        <is>
          <t xml:space="preserve">Return on Cost</t>
        </is>
      </c>
      <c r="C30" s="26" t="n"/>
      <c r="D30" s="2121" t="n"/>
      <c r="E30" s="4202" t="e">
        <f t="array" ref="E30">E27/E17</f>
      </c>
      <c r="F30" s="26" t="n"/>
      <c r="G30" s="26" t="n"/>
      <c r="H30" s="26" t="n"/>
      <c r="I30" s="26" t="n"/>
      <c r="J30" s="26" t="n"/>
      <c r="K30" s="26" t="n"/>
      <c r="L30" s="26" t="n"/>
      <c r="M30" s="26" t="n"/>
      <c r="N30" s="26" t="n"/>
      <c r="O30" s="26" t="n"/>
      <c r="P30" s="26" t="n"/>
      <c r="Q30" s="26" t="n"/>
      <c r="R30" s="26" t="n"/>
      <c r="S30" s="26" t="n"/>
      <c r="T30" s="26" t="n"/>
      <c r="U30" s="26" t="n"/>
      <c r="V30" s="26" t="n"/>
      <c r="W30" s="26" t="n"/>
      <c r="X30" s="26" t="n"/>
      <c r="Y30" s="4205" t="n"/>
      <c r="Z30" s="26" t="n"/>
      <c r="AA30" s="26" t="n"/>
      <c r="AB30" s="26" t="n"/>
      <c r="AC30" s="26" t="n"/>
      <c r="AD30" s="26" t="n"/>
      <c r="AE30" s="26" t="n"/>
      <c r="AF30" s="26" t="n"/>
      <c r="AG30" s="26" t="n"/>
      <c r="AH30" s="26" t="n"/>
      <c r="AI30" s="26" t="n"/>
      <c r="AJ30" s="26" t="n"/>
      <c r="AK30" s="26" t="n"/>
      <c r="AL30" s="26" t="n"/>
      <c r="AM30" s="26" t="n"/>
      <c r="AN30" s="26" t="n"/>
      <c r="AO30" s="26" t="n"/>
      <c r="AP30" s="26" t="n"/>
      <c r="AQ30" s="26" t="n"/>
      <c r="AR30" s="27" t="n"/>
    </row>
    <row r="31" s="3154" customFormat="1" ht="15" customHeight="1">
      <c r="A31" s="627" t="n"/>
      <c r="B31" s="26" t="n"/>
      <c r="C31" s="26" t="n"/>
      <c r="D31" s="2121" t="n"/>
      <c r="E31" s="4202" t="n"/>
      <c r="F31" s="26" t="n"/>
      <c r="G31" s="26" t="n"/>
      <c r="H31" s="26" t="n"/>
      <c r="I31" s="26" t="n"/>
      <c r="J31" s="26" t="n"/>
      <c r="K31" s="26" t="n"/>
      <c r="L31" s="26" t="n"/>
      <c r="M31" s="26" t="n"/>
      <c r="N31" s="26" t="n"/>
      <c r="O31" s="26" t="n"/>
      <c r="P31" s="26" t="n"/>
      <c r="Q31" s="26" t="n"/>
      <c r="R31" s="26" t="n"/>
      <c r="S31" s="26" t="n"/>
      <c r="T31" s="4210" t="n"/>
      <c r="U31" s="26" t="n"/>
      <c r="V31" s="26" t="n"/>
      <c r="W31" s="26" t="n"/>
      <c r="X31" s="26" t="n"/>
      <c r="Y31" s="4205" t="n"/>
      <c r="Z31" s="26" t="n"/>
      <c r="AA31" s="26" t="n"/>
      <c r="AB31" s="26" t="n"/>
      <c r="AC31" s="26" t="n"/>
      <c r="AD31" s="26" t="n"/>
      <c r="AE31" s="26" t="n"/>
      <c r="AF31" s="26" t="n"/>
      <c r="AG31" s="26" t="n"/>
      <c r="AH31" s="26" t="n"/>
      <c r="AI31" s="26" t="n"/>
      <c r="AJ31" s="26" t="n"/>
      <c r="AK31" s="26" t="n"/>
      <c r="AL31" s="26" t="n"/>
      <c r="AM31" s="26" t="n"/>
      <c r="AN31" s="26" t="n"/>
      <c r="AO31" s="26" t="n"/>
      <c r="AP31" s="26" t="n"/>
      <c r="AQ31" s="26" t="n"/>
      <c r="AR31" s="27" t="n"/>
    </row>
    <row r="32" s="3154" customFormat="1" ht="15" customHeight="1">
      <c r="A32" s="627" t="n"/>
      <c r="B32" s="1099" t="n"/>
      <c r="C32" s="1099" t="n"/>
      <c r="D32" s="1099" t="n"/>
      <c r="E32" s="1099" t="n"/>
      <c r="F32" s="26" t="n"/>
      <c r="G32" s="26" t="n"/>
      <c r="H32" s="26" t="n"/>
      <c r="I32" s="26" t="n"/>
      <c r="J32" s="26" t="n"/>
      <c r="K32" s="26" t="n"/>
      <c r="L32" s="26" t="n"/>
      <c r="M32" s="26" t="n"/>
      <c r="N32" s="26" t="n"/>
      <c r="O32" s="26" t="n"/>
      <c r="P32" s="26" t="n"/>
      <c r="Q32" s="26" t="n"/>
      <c r="R32" s="26" t="n"/>
      <c r="S32" s="26" t="n"/>
      <c r="T32" s="4020" t="n"/>
      <c r="U32" s="4020" t="n"/>
      <c r="V32" s="26" t="n"/>
      <c r="W32" s="26" t="n"/>
      <c r="X32" s="26" t="n"/>
      <c r="Y32" s="4205" t="n"/>
      <c r="Z32" s="26" t="n"/>
      <c r="AA32" s="26" t="n"/>
      <c r="AB32" s="26" t="n"/>
      <c r="AC32" s="26" t="n"/>
      <c r="AD32" s="26" t="n"/>
      <c r="AE32" s="26" t="n"/>
      <c r="AF32" s="26" t="n"/>
      <c r="AG32" s="26" t="n"/>
      <c r="AH32" s="26" t="n"/>
      <c r="AI32" s="26" t="n"/>
      <c r="AJ32" s="26" t="n"/>
      <c r="AK32" s="26" t="n"/>
      <c r="AL32" s="26" t="n"/>
      <c r="AM32" s="26" t="n"/>
      <c r="AN32" s="26" t="n"/>
      <c r="AO32" s="26" t="n"/>
      <c r="AP32" s="26" t="n"/>
      <c r="AQ32" s="26" t="n"/>
      <c r="AR32" s="27" t="n"/>
    </row>
    <row r="33" s="3154" customFormat="1" ht="15" customHeight="1">
      <c r="A33" s="627" t="n"/>
      <c r="B33" s="1099" t="n"/>
      <c r="C33" s="1099" t="n"/>
      <c r="D33" s="2635" t="n"/>
      <c r="E33" s="1099" t="n"/>
      <c r="F33" s="26" t="n"/>
      <c r="G33" s="26" t="n"/>
      <c r="H33" s="26" t="n"/>
      <c r="I33" s="26" t="n"/>
      <c r="J33" s="26" t="n"/>
      <c r="K33" s="26" t="n"/>
      <c r="L33" s="26" t="n"/>
      <c r="M33" s="26" t="n"/>
      <c r="N33" s="26" t="n"/>
      <c r="O33" s="26" t="n"/>
      <c r="P33" s="26" t="n"/>
      <c r="Q33" s="26" t="n"/>
      <c r="R33" s="26" t="n"/>
      <c r="S33" s="26" t="n"/>
      <c r="T33" s="4020" t="n"/>
      <c r="U33" s="4020" t="n"/>
      <c r="V33" s="26" t="n"/>
      <c r="W33" s="26" t="n"/>
      <c r="X33" s="26" t="n"/>
      <c r="Y33" s="4205" t="n"/>
      <c r="Z33" s="26" t="n"/>
      <c r="AA33" s="26" t="n"/>
      <c r="AB33" s="26" t="n"/>
      <c r="AC33" s="26" t="n"/>
      <c r="AD33" s="26" t="n"/>
      <c r="AE33" s="26" t="n"/>
      <c r="AF33" s="26" t="n"/>
      <c r="AG33" s="26" t="n"/>
      <c r="AH33" s="26" t="n"/>
      <c r="AI33" s="26" t="n"/>
      <c r="AJ33" s="26" t="n"/>
      <c r="AK33" s="26" t="n"/>
      <c r="AL33" s="26" t="n"/>
      <c r="AM33" s="26" t="n"/>
      <c r="AN33" s="26" t="n"/>
      <c r="AO33" s="26" t="n"/>
      <c r="AP33" s="26" t="n"/>
      <c r="AQ33" s="26" t="n"/>
      <c r="AR33" s="27" t="n"/>
    </row>
    <row r="34" s="3154" customFormat="1" ht="15" customHeight="1">
      <c r="A34" s="627" t="n"/>
      <c r="B34" s="26" t="n"/>
      <c r="C34" s="26" t="n"/>
      <c r="D34" s="26" t="n"/>
      <c r="E34" s="26" t="n"/>
      <c r="F34" s="26" t="n"/>
      <c r="G34" s="26" t="n"/>
      <c r="H34" s="26" t="n"/>
      <c r="I34" s="26" t="n"/>
      <c r="J34" s="26" t="n">
        <v>120</v>
      </c>
      <c r="K34" s="26" t="n"/>
      <c r="L34" s="26" t="n"/>
      <c r="M34" s="26" t="n"/>
      <c r="N34" s="26" t="n"/>
      <c r="O34" s="26" t="n"/>
      <c r="P34" s="26" t="n"/>
      <c r="Q34" s="26" t="n"/>
      <c r="R34" s="26" t="n"/>
      <c r="S34" s="26" t="n"/>
      <c r="T34" s="4020" t="n"/>
      <c r="U34" s="4020" t="n"/>
      <c r="V34" s="26" t="n"/>
      <c r="W34" s="26" t="n"/>
      <c r="X34" s="26" t="n"/>
      <c r="Y34" s="4205" t="n"/>
      <c r="Z34" s="26" t="n"/>
      <c r="AA34" s="26" t="n"/>
      <c r="AB34" s="26" t="n"/>
      <c r="AC34" s="26" t="n"/>
      <c r="AD34" s="26" t="n"/>
      <c r="AE34" s="26" t="n"/>
      <c r="AF34" s="26" t="n"/>
      <c r="AG34" s="26" t="n"/>
      <c r="AH34" s="26" t="n"/>
      <c r="AI34" s="26" t="n"/>
      <c r="AJ34" s="26" t="n"/>
      <c r="AK34" s="26" t="n"/>
      <c r="AL34" s="26" t="n"/>
      <c r="AM34" s="26" t="n"/>
      <c r="AN34" s="26" t="n"/>
      <c r="AO34" s="26" t="n"/>
      <c r="AP34" s="26" t="n"/>
      <c r="AQ34" s="26" t="n"/>
      <c r="AR34" s="27" t="n"/>
    </row>
    <row r="35" s="3154" customFormat="1" ht="15" customHeight="1">
      <c r="A35" s="627" t="n"/>
      <c r="B35" s="26" t="n"/>
      <c r="C35" s="26" t="n"/>
      <c r="D35" s="26" t="n"/>
      <c r="E35" s="26" t="n"/>
      <c r="F35" s="26" t="n"/>
      <c r="G35" s="26" t="n"/>
      <c r="H35" s="26" t="n"/>
      <c r="I35" s="26" t="n"/>
      <c r="J35" s="26" t="n"/>
      <c r="K35" s="26" t="n"/>
      <c r="L35" s="26" t="n"/>
      <c r="M35" s="26" t="n"/>
      <c r="N35" s="26" t="n"/>
      <c r="O35" s="26" t="n"/>
      <c r="P35" s="26" t="n"/>
      <c r="Q35" s="26" t="n"/>
      <c r="R35" s="26" t="n"/>
      <c r="S35" s="26" t="n"/>
      <c r="T35" s="26" t="n"/>
      <c r="U35" s="26" t="n"/>
      <c r="V35" s="26" t="n"/>
      <c r="W35" s="26" t="n"/>
      <c r="X35" s="26" t="n"/>
      <c r="Y35" s="26" t="n"/>
      <c r="Z35" s="26" t="n"/>
      <c r="AA35" s="26" t="n"/>
      <c r="AB35" s="26" t="n"/>
      <c r="AC35" s="26" t="n"/>
      <c r="AD35" s="26" t="n"/>
      <c r="AE35" s="26" t="n"/>
      <c r="AF35" s="26" t="n"/>
      <c r="AG35" s="26" t="n"/>
      <c r="AH35" s="26" t="n"/>
      <c r="AI35" s="26" t="n"/>
      <c r="AJ35" s="26" t="n"/>
      <c r="AK35" s="26" t="n"/>
      <c r="AL35" s="26" t="n"/>
      <c r="AM35" s="26" t="n"/>
      <c r="AN35" s="26" t="n"/>
      <c r="AO35" s="26" t="n"/>
      <c r="AP35" s="26" t="n"/>
      <c r="AQ35" s="26" t="n"/>
      <c r="AR35" s="27" t="n"/>
    </row>
    <row r="36" s="3154" customFormat="1" ht="15" customHeight="1">
      <c r="A36" s="627" t="n"/>
      <c r="B36" s="26" t="n"/>
      <c r="C36" s="26" t="n"/>
      <c r="D36" s="26" t="n"/>
      <c r="E36" s="26" t="n"/>
      <c r="F36" s="26" t="n"/>
      <c r="G36" s="26" t="n"/>
      <c r="H36" s="26" t="n"/>
      <c r="I36" s="26" t="n"/>
      <c r="J36" s="26" t="n"/>
      <c r="K36" s="26" t="n"/>
      <c r="L36" s="26" t="n"/>
      <c r="M36" s="26" t="n"/>
      <c r="N36" s="2636" t="inlineStr">
        <is>
          <t xml:space="preserve">% of Yr Operating</t>
        </is>
      </c>
      <c r="O36" s="2637" t="e">
        <f t="array" ref="O36">'Project Summary'!F28</f>
      </c>
      <c r="P36" s="2637" t="e">
        <f t="array" ref="P36">'Project Summary'!G28</f>
      </c>
      <c r="Q36" s="2637" t="e">
        <f t="array" ref="Q36">'Project Summary'!H28</f>
      </c>
      <c r="R36" s="2637" t="e">
        <f t="array" ref="R36">'Project Summary'!I28</f>
      </c>
      <c r="S36" s="2637" t="e">
        <f t="array" ref="S36">'Project Summary'!J28</f>
      </c>
      <c r="T36" s="2637" t="e">
        <f t="array" ref="T36">'Project Summary'!K28</f>
      </c>
      <c r="U36" s="2637" t="e">
        <f t="array" ref="U36">'Project Summary'!L28</f>
      </c>
      <c r="V36" s="2637" t="e">
        <f t="array" ref="V36">'Project Summary'!M28</f>
      </c>
      <c r="W36" s="2637" t="n"/>
      <c r="X36" s="26" t="n"/>
      <c r="Y36" s="26" t="n"/>
      <c r="Z36" s="26" t="n"/>
      <c r="AA36" s="26" t="n"/>
      <c r="AB36" s="26" t="n"/>
      <c r="AC36" s="26" t="n"/>
      <c r="AD36" s="26" t="n"/>
      <c r="AE36" s="26" t="n"/>
      <c r="AF36" s="26" t="n"/>
      <c r="AG36" s="26" t="n"/>
      <c r="AH36" s="26" t="n"/>
      <c r="AI36" s="26" t="n"/>
      <c r="AJ36" s="26" t="n"/>
      <c r="AK36" s="26" t="n"/>
      <c r="AL36" s="26" t="n"/>
      <c r="AM36" s="26" t="n"/>
      <c r="AN36" s="26" t="n"/>
      <c r="AO36" s="26" t="n"/>
      <c r="AP36" s="26" t="n"/>
      <c r="AQ36" s="26" t="n"/>
      <c r="AR36" s="27" t="n"/>
    </row>
    <row r="37" s="3154" customFormat="1" ht="15" customHeight="1">
      <c r="A37" s="627" t="n"/>
      <c r="B37" s="26" t="n"/>
      <c r="C37" s="26" t="n"/>
      <c r="D37" s="26" t="n"/>
      <c r="E37" s="26" t="n"/>
      <c r="F37" s="26" t="n"/>
      <c r="G37" s="26" t="n"/>
      <c r="H37" s="26" t="n"/>
      <c r="I37" s="26" t="n"/>
      <c r="J37" s="26" t="n"/>
      <c r="K37" s="26" t="n"/>
      <c r="L37" s="26" t="n"/>
      <c r="M37" s="26" t="n"/>
      <c r="N37" s="2638" t="n"/>
      <c r="O37" s="2638" t="e">
        <f t="array" ref="O37">'Hotel Operating'!C6</f>
      </c>
      <c r="P37" s="2638" t="e">
        <f t="array" ref="P37">'Hotel Operating'!D6</f>
      </c>
      <c r="Q37" s="2638" t="e">
        <f t="array" ref="Q37">'Hotel Operating'!E6</f>
      </c>
      <c r="R37" s="2638" t="e">
        <f t="array" ref="R37">'Hotel Operating'!F6</f>
      </c>
      <c r="S37" s="2638" t="e">
        <f t="array" ref="S37">'Hotel Operating'!G6</f>
      </c>
      <c r="T37" s="2638" t="e">
        <f t="array" ref="T37">'Hotel Operating'!H6</f>
      </c>
      <c r="U37" s="2638" t="e">
        <f t="array" ref="U37">'Hotel Operating'!I6</f>
      </c>
      <c r="V37" s="2638" t="e">
        <f t="array" ref="V37">'Hotel Operating'!J6</f>
      </c>
      <c r="W37" s="2638" t="n"/>
      <c r="X37" s="26" t="n"/>
      <c r="Y37" s="26" t="n"/>
      <c r="Z37" s="26" t="n"/>
      <c r="AA37" s="26" t="n"/>
      <c r="AB37" s="26" t="n"/>
      <c r="AC37" s="26" t="n"/>
      <c r="AD37" s="4205" t="n"/>
      <c r="AE37" s="4205" t="n"/>
      <c r="AF37" s="4205" t="n"/>
      <c r="AG37" s="4205" t="n"/>
      <c r="AH37" s="4205" t="n"/>
      <c r="AI37" s="4205" t="n"/>
      <c r="AJ37" s="4205" t="n"/>
      <c r="AK37" s="26" t="n"/>
      <c r="AL37" s="26" t="n"/>
      <c r="AM37" s="26" t="n"/>
      <c r="AN37" s="26" t="n"/>
      <c r="AO37" s="26" t="n"/>
      <c r="AP37" s="26" t="n"/>
      <c r="AQ37" s="26" t="n"/>
      <c r="AR37" s="27" t="n"/>
    </row>
    <row r="38" s="3154" customFormat="1" ht="15" customHeight="1">
      <c r="A38" s="627" t="n"/>
      <c r="B38" s="26" t="n"/>
      <c r="C38" s="26" t="n"/>
      <c r="D38" s="26" t="n"/>
      <c r="E38" s="26" t="n"/>
      <c r="F38" s="26" t="n"/>
      <c r="G38" s="26" t="n"/>
      <c r="H38" s="26" t="n"/>
      <c r="I38" s="26" t="n"/>
      <c r="J38" s="26" t="n"/>
      <c r="K38" s="26" t="n"/>
      <c r="L38" s="26" t="n"/>
      <c r="M38" s="26" t="n"/>
      <c r="N38" s="2639" t="inlineStr">
        <is>
          <t xml:space="preserve">Occupancy %</t>
        </is>
      </c>
      <c r="O38" s="4211" t="n">
        <f t="array" ref="O38">'Hotel Operating'!C11</f>
        <v>0.55</v>
      </c>
      <c r="P38" s="4212" t="n">
        <f t="array" ref="P38">'Hotel Operating'!D11</f>
        <v>0.65</v>
      </c>
      <c r="Q38" s="4212" t="n">
        <f t="array" ref="Q38">'Hotel Operating'!E11</f>
        <v>0.72</v>
      </c>
      <c r="R38" s="4212" t="n">
        <f t="array" ref="R38">'Hotel Operating'!F11</f>
        <v>0.72</v>
      </c>
      <c r="S38" s="4212" t="n">
        <f t="array" ref="S38">'Hotel Operating'!G11</f>
        <v>0.72</v>
      </c>
      <c r="T38" s="4212" t="n">
        <f t="array" ref="T38">'Hotel Operating'!H11</f>
        <v>0.72</v>
      </c>
      <c r="U38" s="4212" t="n">
        <f t="array" ref="U38">'Hotel Operating'!I11</f>
        <v>0.72</v>
      </c>
      <c r="V38" s="4212" t="n">
        <f t="array" ref="V38">'Hotel Operating'!J11</f>
        <v>0.72</v>
      </c>
      <c r="W38" s="4212" t="n"/>
      <c r="X38" s="26" t="n"/>
      <c r="Y38" s="26" t="n"/>
      <c r="Z38" s="26" t="n"/>
      <c r="AA38" s="26" t="n"/>
      <c r="AB38" s="26" t="n"/>
      <c r="AC38" s="26" t="n"/>
      <c r="AD38" s="4205" t="n"/>
      <c r="AE38" s="4205" t="n"/>
      <c r="AF38" s="4205" t="n"/>
      <c r="AG38" s="4205" t="n"/>
      <c r="AH38" s="4205" t="n"/>
      <c r="AI38" s="4205" t="n"/>
      <c r="AJ38" s="4205" t="n"/>
      <c r="AK38" s="26" t="n"/>
      <c r="AL38" s="26" t="n"/>
      <c r="AM38" s="26" t="n"/>
      <c r="AN38" s="26" t="n"/>
      <c r="AO38" s="26" t="n"/>
      <c r="AP38" s="26" t="n"/>
      <c r="AQ38" s="26" t="n"/>
      <c r="AR38" s="27" t="n"/>
    </row>
    <row r="39" s="3154" customFormat="1" ht="15" customHeight="1">
      <c r="A39" s="627" t="n"/>
      <c r="B39" s="26" t="n"/>
      <c r="C39" s="26" t="n"/>
      <c r="D39" s="26" t="n"/>
      <c r="E39" s="26" t="n"/>
      <c r="F39" s="26" t="n"/>
      <c r="G39" s="26" t="n"/>
      <c r="H39" s="26" t="n"/>
      <c r="I39" s="26" t="n"/>
      <c r="J39" s="26" t="n"/>
      <c r="K39" s="26" t="n"/>
      <c r="L39" s="26" t="n"/>
      <c r="M39" s="26" t="n"/>
      <c r="N39" s="2639" t="inlineStr">
        <is>
          <t xml:space="preserve">ADR</t>
        </is>
      </c>
      <c r="O39" s="4213" t="n">
        <f t="array" ref="O39">'Hotel Operating'!C12</f>
        <v>74</v>
      </c>
      <c r="P39" s="4214" t="n">
        <f t="array" ref="P39">'Hotel Operating'!D12</f>
        <v>77.7</v>
      </c>
      <c r="Q39" s="4214" t="n">
        <f t="array" ref="Q39">'Hotel Operating'!E12</f>
        <v>80.808</v>
      </c>
      <c r="R39" s="4214" t="n">
        <f t="array" ref="R39">'Hotel Operating'!F12</f>
        <v>83.23224</v>
      </c>
      <c r="S39" s="4214" t="n">
        <f t="array" ref="S39">'Hotel Operating'!G12</f>
        <v>85.7292072</v>
      </c>
      <c r="T39" s="4214" t="n">
        <f t="array" ref="T39">'Hotel Operating'!H12</f>
        <v>88.30108341600001</v>
      </c>
      <c r="U39" s="4214" t="n">
        <f t="array" ref="U39">'Hotel Operating'!I12</f>
        <v>90.95011591848001</v>
      </c>
      <c r="V39" s="4214" t="n">
        <f t="array" ref="V39">'Hotel Operating'!J12</f>
        <v>93.6786193960344</v>
      </c>
      <c r="W39" s="4215" t="n"/>
      <c r="X39" s="26" t="n"/>
      <c r="Y39" s="26" t="n"/>
      <c r="Z39" s="26" t="n"/>
      <c r="AA39" s="26" t="n"/>
      <c r="AB39" s="26" t="n"/>
      <c r="AC39" s="26" t="n"/>
      <c r="AD39" s="4205" t="n"/>
      <c r="AE39" s="4205" t="n"/>
      <c r="AF39" s="4205" t="n"/>
      <c r="AG39" s="4205" t="n"/>
      <c r="AH39" s="4205" t="n"/>
      <c r="AI39" s="4205" t="n"/>
      <c r="AJ39" s="4205" t="n"/>
      <c r="AK39" s="26" t="n"/>
      <c r="AL39" s="26" t="n"/>
      <c r="AM39" s="26" t="n"/>
      <c r="AN39" s="26" t="n"/>
      <c r="AO39" s="26" t="n"/>
      <c r="AP39" s="26" t="n"/>
      <c r="AQ39" s="26" t="n"/>
      <c r="AR39" s="27" t="n"/>
    </row>
    <row r="40" s="3154" customFormat="1" ht="15" customHeight="1">
      <c r="A40" s="627" t="n"/>
      <c r="B40" s="26" t="n"/>
      <c r="C40" s="26" t="n"/>
      <c r="D40" s="26" t="n"/>
      <c r="E40" s="26" t="n"/>
      <c r="F40" s="26" t="n"/>
      <c r="G40" s="26" t="n"/>
      <c r="H40" s="26" t="n"/>
      <c r="I40" s="26" t="n"/>
      <c r="J40" s="26" t="n"/>
      <c r="K40" s="26" t="n"/>
      <c r="L40" s="26" t="n"/>
      <c r="M40" s="26" t="n"/>
      <c r="N40" s="429" t="inlineStr">
        <is>
          <t xml:space="preserve">RevPAR</t>
        </is>
      </c>
      <c r="O40" s="4216" t="n">
        <f t="array" ref="O40">'Hotel Operating'!C13</f>
        <v>40.7</v>
      </c>
      <c r="P40" s="4048" t="n">
        <f t="array" ref="P40">'Hotel Operating'!D13</f>
        <v>50.505</v>
      </c>
      <c r="Q40" s="4048" t="n">
        <f t="array" ref="Q40">'Hotel Operating'!E13</f>
        <v>58.181760000000004</v>
      </c>
      <c r="R40" s="4048" t="n">
        <f t="array" ref="R40">'Hotel Operating'!F13</f>
        <v>59.9272128</v>
      </c>
      <c r="S40" s="4048" t="n">
        <f t="array" ref="S40">'Hotel Operating'!G13</f>
        <v>61.725029184</v>
      </c>
      <c r="T40" s="4048" t="n">
        <f t="array" ref="T40">'Hotel Operating'!H13</f>
        <v>63.576780059520004</v>
      </c>
      <c r="U40" s="4048" t="n">
        <f t="array" ref="U40">'Hotel Operating'!I13</f>
        <v>65.4840834613056</v>
      </c>
      <c r="V40" s="4048" t="n">
        <f t="array" ref="V40">'Hotel Operating'!J13</f>
        <v>67.44860596514476</v>
      </c>
      <c r="W40" s="4026" t="n"/>
      <c r="X40" s="26" t="n"/>
      <c r="Y40" s="26" t="n"/>
      <c r="Z40" s="26" t="n"/>
      <c r="AA40" s="26" t="n"/>
      <c r="AB40" s="26" t="n"/>
      <c r="AC40" s="26" t="n"/>
      <c r="AD40" s="4205" t="n"/>
      <c r="AE40" s="4205" t="n"/>
      <c r="AF40" s="4205" t="n"/>
      <c r="AG40" s="4205" t="n"/>
      <c r="AH40" s="4205" t="n"/>
      <c r="AI40" s="4205" t="n"/>
      <c r="AJ40" s="4205" t="n"/>
      <c r="AK40" s="26" t="n"/>
      <c r="AL40" s="26" t="n"/>
      <c r="AM40" s="26" t="n"/>
      <c r="AN40" s="26" t="n"/>
      <c r="AO40" s="26" t="n"/>
      <c r="AP40" s="26" t="n"/>
      <c r="AQ40" s="26" t="n"/>
      <c r="AR40" s="27" t="n"/>
    </row>
    <row r="41" s="3154" customFormat="1" ht="15" customHeight="1">
      <c r="A41" s="627" t="n"/>
      <c r="B41" s="26" t="n"/>
      <c r="C41" s="26" t="n"/>
      <c r="D41" s="26" t="n"/>
      <c r="E41" s="26" t="n"/>
      <c r="F41" s="26" t="n"/>
      <c r="G41" s="26" t="n"/>
      <c r="H41" s="26" t="n"/>
      <c r="I41" s="26" t="n"/>
      <c r="J41" s="26" t="n"/>
      <c r="K41" s="26" t="n"/>
      <c r="L41" s="26" t="n"/>
      <c r="M41" s="26" t="n"/>
      <c r="N41" s="429" t="inlineStr">
        <is>
          <t xml:space="preserve">RevPAR Growth</t>
        </is>
      </c>
      <c r="O41" s="4217" t="n">
        <f t="array" ref="O41">'Hotel Operating'!C14</f>
        <v>0</v>
      </c>
      <c r="P41" s="4020" t="n">
        <f t="array" ref="P41">'Hotel Operating'!D14</f>
        <v>0.24090909090909088</v>
      </c>
      <c r="Q41" s="4020" t="n">
        <f t="array" ref="Q41">'Hotel Operating'!E14</f>
        <v>0.15200000000000002</v>
      </c>
      <c r="R41" s="4020" t="n">
        <f t="array" ref="R41">'Hotel Operating'!F14</f>
        <v>0.02999999999999992</v>
      </c>
      <c r="S41" s="4020" t="n">
        <f t="array" ref="S41">'Hotel Operating'!G14</f>
        <v>0.030000000000000013</v>
      </c>
      <c r="T41" s="4020" t="n">
        <f t="array" ref="T41">'Hotel Operating'!H14</f>
        <v>0.030000000000000065</v>
      </c>
      <c r="U41" s="4020" t="n">
        <f t="array" ref="U41">'Hotel Operating'!I14</f>
        <v>0.029999999999999957</v>
      </c>
      <c r="V41" s="4020" t="n">
        <f t="array" ref="V41">'Hotel Operating'!J14</f>
        <v>0.029999999999999923</v>
      </c>
      <c r="W41" s="4020" t="n"/>
      <c r="X41" s="26" t="n"/>
      <c r="Y41" s="26" t="n"/>
      <c r="Z41" s="26" t="n"/>
      <c r="AA41" s="26" t="n"/>
      <c r="AB41" s="26" t="n"/>
      <c r="AC41" s="26" t="n"/>
      <c r="AD41" s="4205" t="n"/>
      <c r="AE41" s="4205" t="n"/>
      <c r="AF41" s="4205" t="n"/>
      <c r="AG41" s="4205" t="n"/>
      <c r="AH41" s="4205" t="n"/>
      <c r="AI41" s="4205" t="n"/>
      <c r="AJ41" s="4205" t="n"/>
      <c r="AK41" s="26" t="n"/>
      <c r="AL41" s="26" t="n"/>
      <c r="AM41" s="26" t="n"/>
      <c r="AN41" s="26" t="n"/>
      <c r="AO41" s="26" t="n"/>
      <c r="AP41" s="26" t="n"/>
      <c r="AQ41" s="26" t="n"/>
      <c r="AR41" s="27" t="n"/>
    </row>
    <row r="42" s="3154" customFormat="1" ht="15" customHeight="1">
      <c r="A42" s="627" t="n"/>
      <c r="B42" s="26" t="n"/>
      <c r="C42" s="26" t="n"/>
      <c r="D42" s="26" t="n"/>
      <c r="E42" s="26" t="n"/>
      <c r="F42" s="26" t="n"/>
      <c r="G42" s="26" t="n"/>
      <c r="H42" s="26" t="n"/>
      <c r="I42" s="26" t="n"/>
      <c r="J42" s="26" t="n"/>
      <c r="K42" s="26" t="n"/>
      <c r="L42" s="26" t="n"/>
      <c r="M42" s="26" t="n"/>
      <c r="N42" s="429" t="inlineStr">
        <is>
          <t xml:space="preserve">TRevPAR</t>
        </is>
      </c>
      <c r="O42" s="4216" t="e">
        <f t="array" ref="O42">'Hotel Operating'!C15</f>
      </c>
      <c r="P42" s="4048" t="e">
        <f t="array" ref="P42">'Hotel Operating'!D15</f>
      </c>
      <c r="Q42" s="4048" t="e">
        <f t="array" ref="Q42">'Hotel Operating'!E15</f>
      </c>
      <c r="R42" s="4048" t="e">
        <f t="array" ref="R42">'Hotel Operating'!F15</f>
      </c>
      <c r="S42" s="4048" t="e">
        <f t="array" ref="S42">'Hotel Operating'!G15</f>
      </c>
      <c r="T42" s="4048" t="e">
        <f t="array" ref="T42">'Hotel Operating'!H15</f>
      </c>
      <c r="U42" s="4048" t="e">
        <f t="array" ref="U42">'Hotel Operating'!I15</f>
      </c>
      <c r="V42" s="4048" t="e">
        <f t="array" ref="V42">'Hotel Operating'!J15</f>
      </c>
      <c r="W42" s="2621" t="n"/>
      <c r="X42" s="26" t="n"/>
      <c r="Y42" s="26" t="n"/>
      <c r="Z42" s="26" t="n"/>
      <c r="AA42" s="26" t="n"/>
      <c r="AB42" s="26" t="n"/>
      <c r="AC42" s="26" t="n"/>
      <c r="AD42" s="26" t="n"/>
      <c r="AE42" s="26" t="n"/>
      <c r="AF42" s="26" t="n"/>
      <c r="AG42" s="26" t="n"/>
      <c r="AH42" s="26" t="n"/>
      <c r="AI42" s="26" t="n"/>
      <c r="AJ42" s="26" t="n"/>
      <c r="AK42" s="26" t="n"/>
      <c r="AL42" s="26" t="n"/>
      <c r="AM42" s="26" t="n"/>
      <c r="AN42" s="26" t="n"/>
      <c r="AO42" s="26" t="n"/>
      <c r="AP42" s="26" t="n"/>
      <c r="AQ42" s="26" t="n"/>
      <c r="AR42" s="27" t="n"/>
    </row>
    <row r="43" s="3154" customFormat="1" ht="15" customHeight="1">
      <c r="A43" s="627" t="n"/>
      <c r="B43" s="26" t="n"/>
      <c r="C43" s="26" t="n"/>
      <c r="D43" s="26" t="n"/>
      <c r="E43" s="26" t="n"/>
      <c r="F43" s="26" t="n"/>
      <c r="G43" s="26" t="n"/>
      <c r="H43" s="26" t="n"/>
      <c r="I43" s="26" t="n"/>
      <c r="J43" s="26" t="n"/>
      <c r="K43" s="26" t="n"/>
      <c r="L43" s="26" t="n"/>
      <c r="M43" s="26" t="n"/>
      <c r="N43" s="429" t="inlineStr">
        <is>
          <t xml:space="preserve">GOPPAR</t>
        </is>
      </c>
      <c r="O43" s="4216" t="e">
        <f t="array" ref="O43">'Hotel Operating'!C16</f>
      </c>
      <c r="P43" s="4048" t="e">
        <f t="array" ref="P43">'Hotel Operating'!D16</f>
      </c>
      <c r="Q43" s="4048" t="e">
        <f t="array" ref="Q43">'Hotel Operating'!E16</f>
      </c>
      <c r="R43" s="4048" t="e">
        <f t="array" ref="R43">'Hotel Operating'!F16</f>
      </c>
      <c r="S43" s="4048" t="e">
        <f t="array" ref="S43">'Hotel Operating'!G16</f>
      </c>
      <c r="T43" s="4048" t="e">
        <f t="array" ref="T43">'Hotel Operating'!H16</f>
      </c>
      <c r="U43" s="4048" t="e">
        <f t="array" ref="U43">'Hotel Operating'!I16</f>
      </c>
      <c r="V43" s="4048" t="e">
        <f t="array" ref="V43">'Hotel Operating'!J16</f>
      </c>
      <c r="W43" s="2621" t="n"/>
      <c r="X43" s="26" t="n"/>
      <c r="Y43" s="26" t="n"/>
      <c r="Z43" s="26" t="n"/>
      <c r="AA43" s="26" t="n"/>
      <c r="AB43" s="26" t="n"/>
      <c r="AC43" s="26" t="n"/>
      <c r="AD43" s="26" t="n"/>
      <c r="AE43" s="26" t="n"/>
      <c r="AF43" s="26" t="n"/>
      <c r="AG43" s="26" t="n"/>
      <c r="AH43" s="26" t="n"/>
      <c r="AI43" s="26" t="n"/>
      <c r="AJ43" s="26" t="n"/>
      <c r="AK43" s="26" t="n"/>
      <c r="AL43" s="26" t="n"/>
      <c r="AM43" s="26" t="n"/>
      <c r="AN43" s="26" t="n"/>
      <c r="AO43" s="26" t="n"/>
      <c r="AP43" s="26" t="n"/>
      <c r="AQ43" s="26" t="n"/>
      <c r="AR43" s="27" t="n"/>
    </row>
    <row r="44" s="3154" customFormat="1" ht="15" customHeight="1">
      <c r="A44" s="627" t="n"/>
      <c r="B44" s="26" t="n"/>
      <c r="C44" s="26" t="n"/>
      <c r="D44" s="26" t="n"/>
      <c r="E44" s="26" t="n"/>
      <c r="F44" s="26" t="n"/>
      <c r="G44" s="26" t="n"/>
      <c r="H44" s="26" t="n"/>
      <c r="I44" s="26" t="n"/>
      <c r="J44" s="26" t="n"/>
      <c r="K44" s="26" t="n"/>
      <c r="L44" s="26" t="n"/>
      <c r="M44" s="26" t="n"/>
      <c r="N44" s="429" t="inlineStr">
        <is>
          <t xml:space="preserve">GOP Margin %</t>
        </is>
      </c>
      <c r="O44" s="4217" t="e">
        <f t="array" ref="O44">'Hotel Operating'!C17</f>
      </c>
      <c r="P44" s="4020" t="e">
        <f t="array" ref="P44">'Hotel Operating'!D17</f>
      </c>
      <c r="Q44" s="4020" t="e">
        <f t="array" ref="Q44">'Hotel Operating'!E17</f>
      </c>
      <c r="R44" s="4020" t="e">
        <f t="array" ref="R44">'Hotel Operating'!F17</f>
      </c>
      <c r="S44" s="4020" t="e">
        <f t="array" ref="S44">'Hotel Operating'!G17</f>
      </c>
      <c r="T44" s="4020" t="e">
        <f t="array" ref="T44">'Hotel Operating'!H17</f>
      </c>
      <c r="U44" s="4020" t="e">
        <f t="array" ref="U44">'Hotel Operating'!I17</f>
      </c>
      <c r="V44" s="4020" t="e">
        <f t="array" ref="V44">'Hotel Operating'!J17</f>
      </c>
      <c r="W44" s="4020" t="n"/>
      <c r="X44" s="26" t="n"/>
      <c r="Y44" s="26" t="n"/>
      <c r="Z44" s="26" t="n"/>
      <c r="AA44" s="26" t="n"/>
      <c r="AB44" s="26" t="n"/>
      <c r="AC44" s="26" t="n"/>
      <c r="AD44" s="26" t="n"/>
      <c r="AE44" s="26" t="n"/>
      <c r="AF44" s="26" t="n"/>
      <c r="AG44" s="26" t="n"/>
      <c r="AH44" s="26" t="n"/>
      <c r="AI44" s="26" t="n"/>
      <c r="AJ44" s="26" t="n"/>
      <c r="AK44" s="26" t="n"/>
      <c r="AL44" s="26" t="n"/>
      <c r="AM44" s="26" t="n"/>
      <c r="AN44" s="26" t="n"/>
      <c r="AO44" s="26" t="n"/>
      <c r="AP44" s="26" t="n"/>
      <c r="AQ44" s="26" t="n"/>
      <c r="AR44" s="27" t="n"/>
    </row>
    <row r="45" s="3154" customFormat="1" ht="8" customHeight="1">
      <c r="A45" s="627" t="n"/>
      <c r="B45" s="26" t="n"/>
      <c r="C45" s="26" t="n"/>
      <c r="D45" s="26" t="n"/>
      <c r="E45" s="26" t="n"/>
      <c r="F45" s="26" t="n"/>
      <c r="G45" s="26" t="n"/>
      <c r="H45" s="26" t="n"/>
      <c r="I45" s="26" t="n"/>
      <c r="J45" s="26" t="n"/>
      <c r="K45" s="26" t="n"/>
      <c r="L45" s="26" t="n"/>
      <c r="M45" s="26" t="n"/>
      <c r="N45" s="26" t="n"/>
      <c r="O45" s="2188" t="n"/>
      <c r="P45" s="26" t="n"/>
      <c r="Q45" s="26" t="n"/>
      <c r="R45" s="26" t="n"/>
      <c r="S45" s="26" t="n"/>
      <c r="T45" s="26" t="n"/>
      <c r="U45" s="26" t="n"/>
      <c r="V45" s="26" t="n"/>
      <c r="W45" s="26" t="n"/>
      <c r="X45" s="26" t="n"/>
      <c r="Y45" s="26" t="n"/>
      <c r="Z45" s="26" t="n"/>
      <c r="AA45" s="26" t="n"/>
      <c r="AB45" s="26" t="n"/>
      <c r="AC45" s="26" t="n"/>
      <c r="AD45" s="26" t="n"/>
      <c r="AE45" s="26" t="n"/>
      <c r="AF45" s="26" t="n"/>
      <c r="AG45" s="26" t="n"/>
      <c r="AH45" s="26" t="n"/>
      <c r="AI45" s="26" t="n"/>
      <c r="AJ45" s="26" t="n"/>
      <c r="AK45" s="26" t="n"/>
      <c r="AL45" s="26" t="n"/>
      <c r="AM45" s="26" t="n"/>
      <c r="AN45" s="26" t="n"/>
      <c r="AO45" s="26" t="n"/>
      <c r="AP45" s="26" t="n"/>
      <c r="AQ45" s="26" t="n"/>
      <c r="AR45" s="27" t="n"/>
    </row>
    <row r="46" s="3154" customFormat="1" ht="15" customHeight="1">
      <c r="A46" s="627" t="n"/>
      <c r="B46" s="26" t="n"/>
      <c r="C46" s="26" t="n"/>
      <c r="D46" s="26" t="n"/>
      <c r="E46" s="26" t="n"/>
      <c r="F46" s="26" t="n"/>
      <c r="G46" s="26" t="n"/>
      <c r="H46" s="26" t="n"/>
      <c r="I46" s="26" t="n"/>
      <c r="J46" s="26" t="n"/>
      <c r="K46" s="26" t="n"/>
      <c r="L46" s="26" t="n"/>
      <c r="M46" s="26" t="n"/>
      <c r="N46" s="429" t="inlineStr">
        <is>
          <t xml:space="preserve">Rooms Revenue</t>
        </is>
      </c>
      <c r="O46" s="4218" t="e">
        <f t="array" ref="O46">'Hotel Operating'!C21*O36</f>
      </c>
      <c r="P46" s="4043" t="e">
        <f t="array" ref="P46">'Hotel Operating'!D21</f>
      </c>
      <c r="Q46" s="4043" t="e">
        <f t="array" ref="Q46">'Hotel Operating'!E21</f>
      </c>
      <c r="R46" s="4043" t="e">
        <f t="array" ref="R46">'Hotel Operating'!F21</f>
      </c>
      <c r="S46" s="4043" t="e">
        <f t="array" ref="S46">'Hotel Operating'!G21*S36</f>
      </c>
      <c r="T46" s="4043" t="e">
        <f t="array" ref="T46">'Hotel Operating'!H21</f>
      </c>
      <c r="U46" s="4043" t="e">
        <f t="array" ref="U46">'Hotel Operating'!I21</f>
      </c>
      <c r="V46" s="4043" t="e">
        <f t="array" ref="V46">'Hotel Operating'!J21</f>
      </c>
      <c r="W46" s="3322" t="n"/>
      <c r="X46" s="26" t="n"/>
      <c r="Y46" s="26" t="n"/>
      <c r="Z46" s="26" t="n"/>
      <c r="AA46" s="26" t="n"/>
      <c r="AB46" s="26" t="n"/>
      <c r="AC46" s="26" t="n"/>
      <c r="AD46" s="26" t="n"/>
      <c r="AE46" s="26" t="n"/>
      <c r="AF46" s="26" t="n"/>
      <c r="AG46" s="26" t="n"/>
      <c r="AH46" s="26" t="n"/>
      <c r="AI46" s="26" t="n"/>
      <c r="AJ46" s="26" t="n"/>
      <c r="AK46" s="26" t="n"/>
      <c r="AL46" s="26" t="n"/>
      <c r="AM46" s="26" t="n"/>
      <c r="AN46" s="26" t="n"/>
      <c r="AO46" s="26" t="n"/>
      <c r="AP46" s="26" t="n"/>
      <c r="AQ46" s="26" t="n"/>
      <c r="AR46" s="27" t="n"/>
    </row>
    <row r="47" s="3154" customFormat="1" ht="15" customHeight="1">
      <c r="A47" s="627" t="n"/>
      <c r="B47" s="26" t="n"/>
      <c r="C47" s="26" t="n"/>
      <c r="D47" s="26" t="n"/>
      <c r="E47" s="26" t="n"/>
      <c r="F47" s="26" t="n"/>
      <c r="G47" s="26" t="n"/>
      <c r="H47" s="26" t="n"/>
      <c r="I47" s="26" t="n"/>
      <c r="J47" s="26" t="n"/>
      <c r="K47" s="26" t="n"/>
      <c r="L47" s="26" t="n"/>
      <c r="M47" s="26" t="n"/>
      <c r="N47" s="429" t="inlineStr">
        <is>
          <t xml:space="preserve">F&amp;B Revenue</t>
        </is>
      </c>
      <c r="O47" s="4006" t="e">
        <f t="array" ref="O47">'Hotel Operating'!C22*O36</f>
      </c>
      <c r="P47" s="3322" t="e">
        <f t="array" ref="P47">'Hotel Operating'!D22</f>
      </c>
      <c r="Q47" s="3322" t="e">
        <f t="array" ref="Q47">'Hotel Operating'!E22</f>
      </c>
      <c r="R47" s="3322" t="e">
        <f t="array" ref="R47">'Hotel Operating'!F22</f>
      </c>
      <c r="S47" s="3322" t="e">
        <f t="array" ref="S47">'Hotel Operating'!G22*S36</f>
      </c>
      <c r="T47" s="3322" t="e">
        <f t="array" ref="T47">'Hotel Operating'!H22</f>
      </c>
      <c r="U47" s="3322" t="e">
        <f t="array" ref="U47">'Hotel Operating'!I22</f>
      </c>
      <c r="V47" s="3322" t="e">
        <f t="array" ref="V47">'Hotel Operating'!J22</f>
      </c>
      <c r="W47" s="3322" t="n"/>
      <c r="X47" s="26" t="n"/>
      <c r="Y47" s="26" t="n"/>
      <c r="Z47" s="26" t="n"/>
      <c r="AA47" s="26" t="n"/>
      <c r="AB47" s="26" t="n"/>
      <c r="AC47" s="26" t="n"/>
      <c r="AD47" s="26" t="n"/>
      <c r="AE47" s="26" t="n"/>
      <c r="AF47" s="26" t="n"/>
      <c r="AG47" s="26" t="n"/>
      <c r="AH47" s="26" t="n"/>
      <c r="AI47" s="26" t="n"/>
      <c r="AJ47" s="26" t="n"/>
      <c r="AK47" s="26" t="n"/>
      <c r="AL47" s="26" t="n"/>
      <c r="AM47" s="26" t="n"/>
      <c r="AN47" s="26" t="n"/>
      <c r="AO47" s="26" t="n"/>
      <c r="AP47" s="26" t="n"/>
      <c r="AQ47" s="26" t="n"/>
      <c r="AR47" s="27" t="n"/>
    </row>
    <row r="48" s="3154" customFormat="1" ht="15" customHeight="1">
      <c r="A48" s="627" t="n"/>
      <c r="B48" s="26" t="n"/>
      <c r="C48" s="26" t="n"/>
      <c r="D48" s="26" t="n"/>
      <c r="E48" s="26" t="n"/>
      <c r="F48" s="26" t="n"/>
      <c r="G48" s="26" t="n"/>
      <c r="H48" s="26" t="n"/>
      <c r="I48" s="26" t="n"/>
      <c r="J48" s="26" t="n"/>
      <c r="K48" s="26" t="n"/>
      <c r="L48" s="26" t="n"/>
      <c r="M48" s="26" t="n"/>
      <c r="N48" s="429" t="inlineStr">
        <is>
          <t xml:space="preserve">Meeting/Banquet Revenue</t>
        </is>
      </c>
      <c r="O48" s="4006" t="e">
        <f t="array" ref="O48">'Hotel Operating'!C23*O36</f>
      </c>
      <c r="P48" s="3322" t="n">
        <f t="array" ref="P48">'Hotel Operating'!D23</f>
        <v>0</v>
      </c>
      <c r="Q48" s="3322" t="n">
        <f t="array" ref="Q48">'Hotel Operating'!E23</f>
        <v>0</v>
      </c>
      <c r="R48" s="3322" t="n">
        <f t="array" ref="R48">'Hotel Operating'!F23</f>
        <v>0</v>
      </c>
      <c r="S48" s="3322" t="e">
        <f t="array" ref="S48">'Hotel Operating'!G23*S36</f>
      </c>
      <c r="T48" s="3322" t="n">
        <f t="array" ref="T48">'Hotel Operating'!H23</f>
        <v>0</v>
      </c>
      <c r="U48" s="3322" t="n">
        <f t="array" ref="U48">'Hotel Operating'!I23</f>
        <v>0</v>
      </c>
      <c r="V48" s="3322" t="n">
        <f t="array" ref="V48">'Hotel Operating'!J23</f>
        <v>0</v>
      </c>
      <c r="W48" s="3322" t="n"/>
      <c r="X48" s="26" t="n"/>
      <c r="Y48" s="26" t="n"/>
      <c r="Z48" s="26" t="n"/>
      <c r="AA48" s="26" t="n"/>
      <c r="AB48" s="26" t="n"/>
      <c r="AC48" s="26" t="n"/>
      <c r="AD48" s="26" t="n"/>
      <c r="AE48" s="26" t="n"/>
      <c r="AF48" s="26" t="n"/>
      <c r="AG48" s="26" t="n"/>
      <c r="AH48" s="26" t="n"/>
      <c r="AI48" s="26" t="n"/>
      <c r="AJ48" s="26" t="n"/>
      <c r="AK48" s="26" t="n"/>
      <c r="AL48" s="26" t="n"/>
      <c r="AM48" s="26" t="n"/>
      <c r="AN48" s="26" t="n"/>
      <c r="AO48" s="26" t="n"/>
      <c r="AP48" s="26" t="n"/>
      <c r="AQ48" s="26" t="n"/>
      <c r="AR48" s="27" t="n"/>
    </row>
    <row r="49" s="3154" customFormat="1" ht="15" customHeight="1">
      <c r="A49" s="627" t="n"/>
      <c r="B49" s="26" t="n"/>
      <c r="C49" s="26" t="n"/>
      <c r="D49" s="26" t="n"/>
      <c r="E49" s="26" t="n"/>
      <c r="F49" s="26" t="n"/>
      <c r="G49" s="26" t="n"/>
      <c r="H49" s="26" t="n"/>
      <c r="I49" s="26" t="n"/>
      <c r="J49" s="26" t="n"/>
      <c r="K49" s="26" t="n"/>
      <c r="L49" s="26" t="n"/>
      <c r="M49" s="26" t="n"/>
      <c r="N49" s="1957" t="inlineStr">
        <is>
          <t xml:space="preserve">Misc Revenue/Vending</t>
        </is>
      </c>
      <c r="O49" s="3919" t="e">
        <f t="array" ref="O49">'Hotel Operating'!C24*O36</f>
      </c>
      <c r="P49" s="3915" t="e">
        <f t="array" ref="P49">'Hotel Operating'!D24</f>
      </c>
      <c r="Q49" s="3915" t="e">
        <f t="array" ref="Q49">'Hotel Operating'!E24</f>
      </c>
      <c r="R49" s="3915" t="e">
        <f t="array" ref="R49">'Hotel Operating'!F24</f>
      </c>
      <c r="S49" s="3915" t="e">
        <f t="array" ref="S49">'Hotel Operating'!G24*S36</f>
      </c>
      <c r="T49" s="3915" t="e">
        <f t="array" ref="T49">'Hotel Operating'!H24</f>
      </c>
      <c r="U49" s="3915" t="e">
        <f t="array" ref="U49">'Hotel Operating'!I24</f>
      </c>
      <c r="V49" s="3915" t="e">
        <f t="array" ref="V49">'Hotel Operating'!J24</f>
      </c>
      <c r="W49" s="3915" t="n"/>
      <c r="X49" s="26" t="n"/>
      <c r="Y49" s="26" t="n"/>
      <c r="Z49" s="26" t="n"/>
      <c r="AA49" s="26" t="n"/>
      <c r="AB49" s="26" t="n"/>
      <c r="AC49" s="26" t="n"/>
      <c r="AD49" s="26" t="n"/>
      <c r="AE49" s="26" t="n"/>
      <c r="AF49" s="26" t="n"/>
      <c r="AG49" s="26" t="n"/>
      <c r="AH49" s="26" t="n"/>
      <c r="AI49" s="26" t="n"/>
      <c r="AJ49" s="26" t="n"/>
      <c r="AK49" s="26" t="n"/>
      <c r="AL49" s="26" t="n"/>
      <c r="AM49" s="26" t="n"/>
      <c r="AN49" s="26" t="n"/>
      <c r="AO49" s="26" t="n"/>
      <c r="AP49" s="26" t="n"/>
      <c r="AQ49" s="26" t="n"/>
      <c r="AR49" s="27" t="n"/>
    </row>
    <row r="50" s="3154" customFormat="1" ht="15" customHeight="1">
      <c r="A50" s="627" t="n"/>
      <c r="B50" s="26" t="n"/>
      <c r="C50" s="26" t="n"/>
      <c r="D50" s="26" t="n"/>
      <c r="E50" s="26" t="n"/>
      <c r="F50" s="26" t="n"/>
      <c r="G50" s="26" t="n"/>
      <c r="H50" s="26" t="n"/>
      <c r="I50" s="26" t="n"/>
      <c r="J50" s="26" t="n"/>
      <c r="K50" s="26" t="n"/>
      <c r="L50" s="26" t="n"/>
      <c r="M50" s="26" t="n"/>
      <c r="N50" s="2648" t="inlineStr">
        <is>
          <t xml:space="preserve">Total Revenue</t>
        </is>
      </c>
      <c r="O50" s="4219" t="e">
        <f t="array" ref="O50">SUM(O46:O49)</f>
      </c>
      <c r="P50" s="4046" t="e">
        <f t="array" ref="P50">SUM(P46:P49)</f>
      </c>
      <c r="Q50" s="4046" t="e">
        <f t="array" ref="Q50">SUM(Q46:Q49)</f>
      </c>
      <c r="R50" s="4046" t="e">
        <f t="array" ref="R50">SUM(R46:R49)</f>
      </c>
      <c r="S50" s="4046" t="e">
        <f t="array" ref="S50">SUM(S46:S49)</f>
      </c>
      <c r="T50" s="4046" t="e">
        <f t="array" ref="T50">SUM(T46:T49)</f>
      </c>
      <c r="U50" s="4046" t="e">
        <f t="array" ref="U50">SUM(U46:U49)</f>
      </c>
      <c r="V50" s="4046" t="e">
        <f t="array" ref="V50">SUM(V46:V49)</f>
      </c>
      <c r="W50" s="3226" t="n"/>
      <c r="X50" s="26" t="n"/>
      <c r="Y50" s="26" t="n"/>
      <c r="Z50" s="26" t="n"/>
      <c r="AA50" s="26" t="n"/>
      <c r="AB50" s="26" t="n"/>
      <c r="AC50" s="26" t="n"/>
      <c r="AD50" s="26" t="n"/>
      <c r="AE50" s="26" t="n"/>
      <c r="AF50" s="26" t="n"/>
      <c r="AG50" s="26" t="n"/>
      <c r="AH50" s="26" t="n"/>
      <c r="AI50" s="26" t="n"/>
      <c r="AJ50" s="26" t="n"/>
      <c r="AK50" s="26" t="n"/>
      <c r="AL50" s="26" t="n"/>
      <c r="AM50" s="26" t="n"/>
      <c r="AN50" s="26" t="n"/>
      <c r="AO50" s="26" t="n"/>
      <c r="AP50" s="26" t="n"/>
      <c r="AQ50" s="26" t="n"/>
      <c r="AR50" s="27" t="n"/>
    </row>
    <row r="51" s="3154" customFormat="1" ht="15" customHeight="1">
      <c r="A51" s="627" t="n"/>
      <c r="B51" s="26" t="n"/>
      <c r="C51" s="26" t="n"/>
      <c r="D51" s="26" t="n"/>
      <c r="E51" s="26" t="n"/>
      <c r="F51" s="26" t="n"/>
      <c r="G51" s="26" t="n"/>
      <c r="H51" s="26" t="n"/>
      <c r="I51" s="26" t="n"/>
      <c r="J51" s="26" t="n"/>
      <c r="K51" s="26" t="n"/>
      <c r="L51" s="26" t="n"/>
      <c r="M51" s="26" t="n"/>
      <c r="N51" s="1957" t="inlineStr">
        <is>
          <t xml:space="preserve">Departmental Expenses</t>
        </is>
      </c>
      <c r="O51" s="3919" t="e">
        <f t="array" ref="O51">'Hotel Operating'!C32*O36</f>
      </c>
      <c r="P51" s="3915" t="e">
        <f t="array" ref="P51">'Hotel Operating'!D32</f>
      </c>
      <c r="Q51" s="3915" t="e">
        <f t="array" ref="Q51">'Hotel Operating'!E32</f>
      </c>
      <c r="R51" s="3915" t="e">
        <f t="array" ref="R51">'Hotel Operating'!F32</f>
      </c>
      <c r="S51" s="3915" t="e">
        <f t="array" ref="S51">'Hotel Operating'!G32*S36</f>
      </c>
      <c r="T51" s="3915" t="e">
        <f t="array" ref="T51">'Hotel Operating'!H32</f>
      </c>
      <c r="U51" s="3915" t="e">
        <f t="array" ref="U51">'Hotel Operating'!I32</f>
      </c>
      <c r="V51" s="3915" t="e">
        <f t="array" ref="V51">'Hotel Operating'!J32</f>
      </c>
      <c r="W51" s="3915" t="n"/>
      <c r="X51" s="26" t="n"/>
      <c r="Y51" s="26" t="n"/>
      <c r="Z51" s="26" t="n"/>
      <c r="AA51" s="26" t="n"/>
      <c r="AB51" s="26" t="n"/>
      <c r="AC51" s="26" t="n"/>
      <c r="AD51" s="26" t="n"/>
      <c r="AE51" s="26" t="n"/>
      <c r="AF51" s="26" t="n"/>
      <c r="AG51" s="26" t="n"/>
      <c r="AH51" s="26" t="n"/>
      <c r="AI51" s="26" t="n"/>
      <c r="AJ51" s="26" t="n"/>
      <c r="AK51" s="26" t="n"/>
      <c r="AL51" s="26" t="n"/>
      <c r="AM51" s="26" t="n"/>
      <c r="AN51" s="26" t="n"/>
      <c r="AO51" s="26" t="n"/>
      <c r="AP51" s="26" t="n"/>
      <c r="AQ51" s="26" t="n"/>
      <c r="AR51" s="27" t="n"/>
    </row>
    <row r="52" s="3154" customFormat="1" ht="15" customHeight="1">
      <c r="A52" s="627" t="n"/>
      <c r="B52" s="26" t="n"/>
      <c r="C52" s="26" t="n"/>
      <c r="D52" s="26" t="n"/>
      <c r="E52" s="26" t="n"/>
      <c r="F52" s="26" t="n"/>
      <c r="G52" s="26" t="n"/>
      <c r="H52" s="26" t="n"/>
      <c r="I52" s="26" t="n"/>
      <c r="J52" s="26" t="n"/>
      <c r="K52" s="26" t="n"/>
      <c r="L52" s="26" t="n"/>
      <c r="M52" s="26" t="n"/>
      <c r="N52" s="2648" t="inlineStr">
        <is>
          <t xml:space="preserve">Total Departmental Profit</t>
        </is>
      </c>
      <c r="O52" s="4219" t="e">
        <f t="array" ref="O52">O50-O51</f>
      </c>
      <c r="P52" s="4046" t="e">
        <f t="array" ref="P52">P50-P51</f>
      </c>
      <c r="Q52" s="4046" t="e">
        <f t="array" ref="Q52">Q50-Q51</f>
      </c>
      <c r="R52" s="4046" t="e">
        <f t="array" ref="R52">R50-R51</f>
      </c>
      <c r="S52" s="4046" t="e">
        <f t="array" ref="S52">S50-S51</f>
      </c>
      <c r="T52" s="4046" t="e">
        <f t="array" ref="T52">T50-T51</f>
      </c>
      <c r="U52" s="4046" t="e">
        <f t="array" ref="U52">U50-U51</f>
      </c>
      <c r="V52" s="4046" t="e">
        <f t="array" ref="V52">V50-V51</f>
      </c>
      <c r="W52" s="3226" t="n"/>
      <c r="X52" s="26" t="n"/>
      <c r="Y52" s="26" t="n"/>
      <c r="Z52" s="26" t="n"/>
      <c r="AA52" s="26" t="n"/>
      <c r="AB52" s="26" t="n"/>
      <c r="AC52" s="26" t="n"/>
      <c r="AD52" s="26" t="n"/>
      <c r="AE52" s="26" t="n"/>
      <c r="AF52" s="26" t="n"/>
      <c r="AG52" s="26" t="n"/>
      <c r="AH52" s="26" t="n"/>
      <c r="AI52" s="26" t="n"/>
      <c r="AJ52" s="26" t="n"/>
      <c r="AK52" s="26" t="n"/>
      <c r="AL52" s="26" t="n"/>
      <c r="AM52" s="26" t="n"/>
      <c r="AN52" s="26" t="n"/>
      <c r="AO52" s="26" t="n"/>
      <c r="AP52" s="26" t="n"/>
      <c r="AQ52" s="26" t="n"/>
      <c r="AR52" s="27" t="n"/>
    </row>
    <row r="53" s="3154" customFormat="1" ht="15" customHeight="1">
      <c r="A53" s="627" t="n"/>
      <c r="B53" s="26" t="n"/>
      <c r="C53" s="26" t="n"/>
      <c r="D53" s="26" t="n"/>
      <c r="E53" s="26" t="n"/>
      <c r="F53" s="26" t="n"/>
      <c r="G53" s="26" t="n"/>
      <c r="H53" s="26" t="n"/>
      <c r="I53" s="26" t="n"/>
      <c r="J53" s="26" t="n"/>
      <c r="K53" s="26" t="n"/>
      <c r="L53" s="26" t="n"/>
      <c r="M53" s="26" t="n"/>
      <c r="N53" s="429" t="inlineStr">
        <is>
          <t xml:space="preserve">Undistributed Expenses</t>
        </is>
      </c>
      <c r="O53" s="4006" t="e">
        <f t="array" ref="O53">'Hotel Operating'!C43*O36</f>
      </c>
      <c r="P53" s="3322" t="e">
        <f t="array" ref="P53">'Hotel Operating'!D43</f>
      </c>
      <c r="Q53" s="3322" t="e">
        <f t="array" ref="Q53">'Hotel Operating'!E43</f>
      </c>
      <c r="R53" s="3322" t="e">
        <f t="array" ref="R53">'Hotel Operating'!F43</f>
      </c>
      <c r="S53" s="3322" t="e">
        <f t="array" ref="S53">'Hotel Operating'!G43*S36</f>
      </c>
      <c r="T53" s="3322" t="e">
        <f t="array" ref="T53">'Hotel Operating'!H43</f>
      </c>
      <c r="U53" s="3322" t="e">
        <f t="array" ref="U53">'Hotel Operating'!I43</f>
      </c>
      <c r="V53" s="3322" t="e">
        <f t="array" ref="V53">'Hotel Operating'!J43</f>
      </c>
      <c r="W53" s="3322" t="n"/>
      <c r="X53" s="26" t="n"/>
      <c r="Y53" s="26" t="n"/>
      <c r="Z53" s="26" t="n"/>
      <c r="AA53" s="26" t="n"/>
      <c r="AB53" s="26" t="n"/>
      <c r="AC53" s="26" t="n"/>
      <c r="AD53" s="26" t="n"/>
      <c r="AE53" s="26" t="n"/>
      <c r="AF53" s="26" t="n"/>
      <c r="AG53" s="26" t="n"/>
      <c r="AH53" s="26" t="n"/>
      <c r="AI53" s="26" t="n"/>
      <c r="AJ53" s="26" t="n"/>
      <c r="AK53" s="26" t="n"/>
      <c r="AL53" s="26" t="n"/>
      <c r="AM53" s="26" t="n"/>
      <c r="AN53" s="26" t="n"/>
      <c r="AO53" s="26" t="n"/>
      <c r="AP53" s="26" t="n"/>
      <c r="AQ53" s="26" t="n"/>
      <c r="AR53" s="27" t="n"/>
    </row>
    <row r="54" s="3154" customFormat="1" ht="15" customHeight="1">
      <c r="A54" s="627" t="n"/>
      <c r="B54" s="26" t="n"/>
      <c r="C54" s="26" t="n"/>
      <c r="D54" s="26" t="n"/>
      <c r="E54" s="26" t="n"/>
      <c r="F54" s="26" t="n"/>
      <c r="G54" s="26" t="n"/>
      <c r="H54" s="26" t="n"/>
      <c r="I54" s="26" t="n"/>
      <c r="J54" s="26" t="n"/>
      <c r="K54" s="26" t="n"/>
      <c r="L54" s="26" t="n"/>
      <c r="M54" s="26" t="n"/>
      <c r="N54" s="1957" t="inlineStr">
        <is>
          <t xml:space="preserve">Management Fees</t>
        </is>
      </c>
      <c r="O54" s="3919" t="e">
        <f t="array" ref="O54">'Hotel Operating'!C48*O36</f>
      </c>
      <c r="P54" s="3915" t="e">
        <f t="array" ref="P54">'Hotel Operating'!D48</f>
      </c>
      <c r="Q54" s="3915" t="e">
        <f t="array" ref="Q54">'Hotel Operating'!E48</f>
      </c>
      <c r="R54" s="3915" t="e">
        <f t="array" ref="R54">'Hotel Operating'!F48</f>
      </c>
      <c r="S54" s="3915" t="e">
        <f t="array" ref="S54">'Hotel Operating'!G48*S36</f>
      </c>
      <c r="T54" s="3915" t="e">
        <f t="array" ref="T54">'Hotel Operating'!H48</f>
      </c>
      <c r="U54" s="3915" t="e">
        <f t="array" ref="U54">'Hotel Operating'!I48</f>
      </c>
      <c r="V54" s="3915" t="e">
        <f t="array" ref="V54">'Hotel Operating'!J48</f>
      </c>
      <c r="W54" s="3915" t="n"/>
      <c r="X54" s="26" t="n"/>
      <c r="Y54" s="26" t="n"/>
      <c r="Z54" s="26" t="n"/>
      <c r="AA54" s="26" t="n"/>
      <c r="AB54" s="26" t="n"/>
      <c r="AC54" s="26" t="n"/>
      <c r="AD54" s="26" t="n"/>
      <c r="AE54" s="26" t="n"/>
      <c r="AF54" s="26" t="n"/>
      <c r="AG54" s="26" t="n"/>
      <c r="AH54" s="26" t="n"/>
      <c r="AI54" s="26" t="n"/>
      <c r="AJ54" s="26" t="n"/>
      <c r="AK54" s="26" t="n"/>
      <c r="AL54" s="26" t="n"/>
      <c r="AM54" s="26" t="n"/>
      <c r="AN54" s="26" t="n"/>
      <c r="AO54" s="26" t="n"/>
      <c r="AP54" s="26" t="n"/>
      <c r="AQ54" s="26" t="n"/>
      <c r="AR54" s="27" t="n"/>
    </row>
    <row r="55" s="3154" customFormat="1" ht="15" customHeight="1">
      <c r="A55" s="627" t="n"/>
      <c r="B55" s="26" t="n"/>
      <c r="C55" s="26" t="n"/>
      <c r="D55" s="26" t="n"/>
      <c r="E55" s="26" t="n"/>
      <c r="F55" s="26" t="n"/>
      <c r="G55" s="26" t="n"/>
      <c r="H55" s="26" t="n"/>
      <c r="I55" s="26" t="n"/>
      <c r="J55" s="26" t="n"/>
      <c r="K55" s="26" t="n"/>
      <c r="L55" s="26" t="n"/>
      <c r="M55" s="26" t="n"/>
      <c r="N55" s="2648" t="inlineStr">
        <is>
          <t xml:space="preserve">Gross Operating Profit</t>
        </is>
      </c>
      <c r="O55" s="4219" t="e">
        <f t="array" ref="O55">O52-O53-O54</f>
      </c>
      <c r="P55" s="4046" t="e">
        <f t="array" ref="P55">P52-P53-P54</f>
      </c>
      <c r="Q55" s="4046" t="e">
        <f t="array" ref="Q55">Q52-Q53-Q54</f>
      </c>
      <c r="R55" s="4046" t="e">
        <f t="array" ref="R55">R52-R53-R54</f>
      </c>
      <c r="S55" s="4046" t="e">
        <f t="array" ref="S55">S52-S53-S54</f>
      </c>
      <c r="T55" s="4046" t="e">
        <f t="array" ref="T55">T52-T53-T54</f>
      </c>
      <c r="U55" s="4046" t="e">
        <f t="array" ref="U55">U52-U53-U54</f>
      </c>
      <c r="V55" s="4046" t="e">
        <f t="array" ref="V55">V52-V53-V54</f>
      </c>
      <c r="W55" s="3226" t="n"/>
      <c r="X55" s="26" t="n"/>
      <c r="Y55" s="26" t="n"/>
      <c r="Z55" s="26" t="n"/>
      <c r="AA55" s="26" t="n"/>
      <c r="AB55" s="26" t="n"/>
      <c r="AC55" s="26" t="n"/>
      <c r="AD55" s="26" t="n"/>
      <c r="AE55" s="26" t="n"/>
      <c r="AF55" s="26" t="n"/>
      <c r="AG55" s="26" t="n"/>
      <c r="AH55" s="26" t="n"/>
      <c r="AI55" s="26" t="n"/>
      <c r="AJ55" s="26" t="n"/>
      <c r="AK55" s="26" t="n"/>
      <c r="AL55" s="26" t="n"/>
      <c r="AM55" s="26" t="n"/>
      <c r="AN55" s="26" t="n"/>
      <c r="AO55" s="26" t="n"/>
      <c r="AP55" s="26" t="n"/>
      <c r="AQ55" s="26" t="n"/>
      <c r="AR55" s="27" t="n"/>
    </row>
    <row r="56" s="3154" customFormat="1" ht="15" customHeight="1">
      <c r="A56" s="627" t="n"/>
      <c r="B56" s="26" t="n"/>
      <c r="C56" s="26" t="n"/>
      <c r="D56" s="26" t="n"/>
      <c r="E56" s="26" t="n"/>
      <c r="F56" s="26" t="n"/>
      <c r="G56" s="26" t="n"/>
      <c r="H56" s="26" t="n"/>
      <c r="I56" s="26" t="n"/>
      <c r="J56" s="26" t="n"/>
      <c r="K56" s="26" t="n"/>
      <c r="L56" s="26" t="n"/>
      <c r="M56" s="26" t="n"/>
      <c r="N56" s="1957" t="inlineStr">
        <is>
          <t xml:space="preserve">Fixed Expenses</t>
        </is>
      </c>
      <c r="O56" s="3919" t="e">
        <f t="array" ref="O56">'Hotel Operating'!C57*O36</f>
      </c>
      <c r="P56" s="3915" t="e">
        <f t="array" ref="P56">'Hotel Operating'!D57</f>
      </c>
      <c r="Q56" s="3915" t="e">
        <f t="array" ref="Q56">'Hotel Operating'!E57</f>
      </c>
      <c r="R56" s="3915" t="e">
        <f t="array" ref="R56">'Hotel Operating'!F57</f>
      </c>
      <c r="S56" s="3915" t="e">
        <f t="array" ref="S56">'Hotel Operating'!G57*S36</f>
      </c>
      <c r="T56" s="3915" t="e">
        <f t="array" ref="T56">'Hotel Operating'!H57</f>
      </c>
      <c r="U56" s="3915" t="e">
        <f t="array" ref="U56">'Hotel Operating'!I57</f>
      </c>
      <c r="V56" s="3915" t="e">
        <f t="array" ref="V56">'Hotel Operating'!J57</f>
      </c>
      <c r="W56" s="3915" t="n"/>
      <c r="X56" s="26" t="n"/>
      <c r="Y56" s="26" t="n"/>
      <c r="Z56" s="26" t="n"/>
      <c r="AA56" s="26" t="n"/>
      <c r="AB56" s="26" t="n"/>
      <c r="AC56" s="26" t="n"/>
      <c r="AD56" s="26" t="n"/>
      <c r="AE56" s="26" t="n"/>
      <c r="AF56" s="26" t="n"/>
      <c r="AG56" s="26" t="n"/>
      <c r="AH56" s="26" t="n"/>
      <c r="AI56" s="26" t="n"/>
      <c r="AJ56" s="26" t="n"/>
      <c r="AK56" s="26" t="n"/>
      <c r="AL56" s="26" t="n"/>
      <c r="AM56" s="26" t="n"/>
      <c r="AN56" s="26" t="n"/>
      <c r="AO56" s="26" t="n"/>
      <c r="AP56" s="26" t="n"/>
      <c r="AQ56" s="26" t="n"/>
      <c r="AR56" s="27" t="n"/>
    </row>
    <row r="57" s="3154" customFormat="1" ht="15" customHeight="1">
      <c r="A57" s="627" t="n"/>
      <c r="B57" s="26" t="n"/>
      <c r="C57" s="26" t="n"/>
      <c r="D57" s="26" t="n"/>
      <c r="E57" s="26" t="n"/>
      <c r="F57" s="26" t="n"/>
      <c r="G57" s="26" t="n"/>
      <c r="H57" s="26" t="n"/>
      <c r="I57" s="26" t="n"/>
      <c r="J57" s="26" t="n"/>
      <c r="K57" s="26" t="n"/>
      <c r="L57" s="26" t="n"/>
      <c r="M57" s="26" t="n"/>
      <c r="N57" s="2648" t="inlineStr">
        <is>
          <t xml:space="preserve">Net Operating Income</t>
        </is>
      </c>
      <c r="O57" s="4219" t="e">
        <f t="array" ref="O57">O55-O56</f>
      </c>
      <c r="P57" s="4046" t="e">
        <f t="array" ref="P57">P55-P56</f>
      </c>
      <c r="Q57" s="4046" t="e">
        <f t="array" ref="Q57">Q55-Q56</f>
      </c>
      <c r="R57" s="4046" t="e">
        <f t="array" ref="R57">R55-R56</f>
      </c>
      <c r="S57" s="4046" t="e">
        <f t="array" ref="S57">S55-S56</f>
      </c>
      <c r="T57" s="4046" t="e">
        <f t="array" ref="T57">T55-T56</f>
      </c>
      <c r="U57" s="4046" t="e">
        <f t="array" ref="U57">U55-U56</f>
      </c>
      <c r="V57" s="4046" t="e">
        <f t="array" ref="V57">V55-V56</f>
      </c>
      <c r="W57" s="3226" t="n"/>
      <c r="X57" s="26" t="n"/>
      <c r="Y57" s="26" t="n"/>
      <c r="Z57" s="26" t="n"/>
      <c r="AA57" s="26" t="n"/>
      <c r="AB57" s="26" t="n"/>
      <c r="AC57" s="26" t="n"/>
      <c r="AD57" s="26" t="n"/>
      <c r="AE57" s="26" t="n"/>
      <c r="AF57" s="26" t="n"/>
      <c r="AG57" s="26" t="n"/>
      <c r="AH57" s="26" t="n"/>
      <c r="AI57" s="26" t="n"/>
      <c r="AJ57" s="26" t="n"/>
      <c r="AK57" s="26" t="n"/>
      <c r="AL57" s="26" t="n"/>
      <c r="AM57" s="26" t="n"/>
      <c r="AN57" s="26" t="n"/>
      <c r="AO57" s="26" t="n"/>
      <c r="AP57" s="26" t="n"/>
      <c r="AQ57" s="26" t="n"/>
      <c r="AR57" s="27" t="n"/>
    </row>
    <row r="58" s="3154" customFormat="1" ht="15" customHeight="1">
      <c r="A58" s="627" t="n"/>
      <c r="B58" s="26" t="n"/>
      <c r="C58" s="26" t="n"/>
      <c r="D58" s="26" t="n"/>
      <c r="E58" s="26" t="n"/>
      <c r="F58" s="26" t="n"/>
      <c r="G58" s="26" t="n"/>
      <c r="H58" s="26" t="n"/>
      <c r="I58" s="26" t="n"/>
      <c r="J58" s="26" t="n"/>
      <c r="K58" s="26" t="n"/>
      <c r="L58" s="26" t="n"/>
      <c r="M58" s="26" t="n"/>
      <c r="N58" s="1957" t="inlineStr">
        <is>
          <t xml:space="preserve">Debt Service </t>
        </is>
      </c>
      <c r="O58" s="3919" t="e">
        <f t="array" ref="O58">-('Annual CF'!E19+'Annual CF'!E20)</f>
      </c>
      <c r="P58" s="3915" t="e">
        <f t="array" ref="P58">-('Annual CF'!F19+'Annual CF'!F20)</f>
      </c>
      <c r="Q58" s="3915" t="e">
        <f t="array" ref="Q58">-('Annual CF'!G19+'Annual CF'!G20)</f>
      </c>
      <c r="R58" s="3915" t="e">
        <f t="array" ref="R58">-('Annual CF'!H19+'Annual CF'!H20)</f>
      </c>
      <c r="S58" s="3915" t="e">
        <f t="array" ref="S58">-('Annual CF'!I19+'Annual CF'!I20)</f>
      </c>
      <c r="T58" s="3915" t="e">
        <f t="array" ref="T58">-('Annual CF'!J19+'Annual CF'!J20)</f>
      </c>
      <c r="U58" s="3915" t="e">
        <f t="array" ref="U58">-('Annual CF'!K19+'Annual CF'!K20)</f>
      </c>
      <c r="V58" s="3915" t="e">
        <f t="array" ref="V58">-('Annual CF'!L19+'Annual CF'!L20)</f>
      </c>
      <c r="W58" s="3915" t="n"/>
      <c r="X58" s="26" t="n"/>
      <c r="Y58" s="26" t="n"/>
      <c r="Z58" s="26" t="n"/>
      <c r="AA58" s="26" t="n"/>
      <c r="AB58" s="26" t="n"/>
      <c r="AC58" s="26" t="n"/>
      <c r="AD58" s="26" t="n"/>
      <c r="AE58" s="26" t="n"/>
      <c r="AF58" s="26" t="n"/>
      <c r="AG58" s="26" t="n"/>
      <c r="AH58" s="26" t="n"/>
      <c r="AI58" s="26" t="n"/>
      <c r="AJ58" s="26" t="n"/>
      <c r="AK58" s="26" t="n"/>
      <c r="AL58" s="26" t="n"/>
      <c r="AM58" s="26" t="n"/>
      <c r="AN58" s="26" t="n"/>
      <c r="AO58" s="26" t="n"/>
      <c r="AP58" s="26" t="n"/>
      <c r="AQ58" s="26" t="n"/>
      <c r="AR58" s="27" t="n"/>
    </row>
    <row r="59" s="3154" customFormat="1" ht="15" customHeight="1">
      <c r="A59" s="627" t="n"/>
      <c r="B59" s="26" t="n"/>
      <c r="C59" s="26" t="n"/>
      <c r="D59" s="26" t="n"/>
      <c r="E59" s="26" t="n"/>
      <c r="F59" s="26" t="n"/>
      <c r="G59" s="26" t="n"/>
      <c r="H59" s="26" t="n"/>
      <c r="I59" s="26" t="n"/>
      <c r="J59" s="26" t="n"/>
      <c r="K59" s="26" t="n"/>
      <c r="L59" s="26" t="n"/>
      <c r="M59" s="26" t="n"/>
      <c r="N59" s="2648" t="inlineStr">
        <is>
          <t xml:space="preserve">Net Cash Flow</t>
        </is>
      </c>
      <c r="O59" s="4219" t="e">
        <f t="array" ref="O59">O57-O58</f>
      </c>
      <c r="P59" s="4046" t="e">
        <f t="array" ref="P59">P57-P58</f>
      </c>
      <c r="Q59" s="4046" t="e">
        <f t="array" ref="Q59">Q57-Q58</f>
      </c>
      <c r="R59" s="4046" t="e">
        <f t="array" ref="R59">R57-R58</f>
      </c>
      <c r="S59" s="4046" t="e">
        <f t="array" ref="S59">S57-S58</f>
      </c>
      <c r="T59" s="4046" t="e">
        <f t="array" ref="T59">T57-T58</f>
      </c>
      <c r="U59" s="4046" t="e">
        <f t="array" ref="U59">U57-U58</f>
      </c>
      <c r="V59" s="4046" t="e">
        <f t="array" ref="V59">V57-V58</f>
      </c>
      <c r="W59" s="3226" t="n"/>
      <c r="X59" s="26" t="n"/>
      <c r="Y59" s="26" t="n"/>
      <c r="Z59" s="26" t="n"/>
      <c r="AA59" s="26" t="n"/>
      <c r="AB59" s="26" t="n"/>
      <c r="AC59" s="26" t="n"/>
      <c r="AD59" s="26" t="n"/>
      <c r="AE59" s="26" t="n"/>
      <c r="AF59" s="26" t="n"/>
      <c r="AG59" s="26" t="n"/>
      <c r="AH59" s="26" t="n"/>
      <c r="AI59" s="26" t="n"/>
      <c r="AJ59" s="26" t="n"/>
      <c r="AK59" s="26" t="n"/>
      <c r="AL59" s="26" t="n"/>
      <c r="AM59" s="26" t="n"/>
      <c r="AN59" s="26" t="n"/>
      <c r="AO59" s="26" t="n"/>
      <c r="AP59" s="26" t="n"/>
      <c r="AQ59" s="26" t="n"/>
      <c r="AR59" s="27" t="n"/>
    </row>
    <row r="60" s="3154" customFormat="1" ht="8" customHeight="1">
      <c r="A60" s="627" t="n"/>
      <c r="B60" s="26" t="n"/>
      <c r="C60" s="26" t="n"/>
      <c r="D60" s="26" t="n"/>
      <c r="E60" s="26" t="n"/>
      <c r="F60" s="26" t="n"/>
      <c r="G60" s="26" t="n"/>
      <c r="H60" s="26" t="n"/>
      <c r="I60" s="26" t="n"/>
      <c r="J60" s="26" t="n"/>
      <c r="K60" s="26" t="n"/>
      <c r="L60" s="26" t="n"/>
      <c r="M60" s="26" t="n"/>
      <c r="N60" s="26" t="n"/>
      <c r="O60" s="2188" t="n"/>
      <c r="P60" s="26" t="n"/>
      <c r="Q60" s="26" t="n"/>
      <c r="R60" s="26" t="n"/>
      <c r="S60" s="26" t="n"/>
      <c r="T60" s="26" t="n"/>
      <c r="U60" s="26" t="n"/>
      <c r="V60" s="26" t="n"/>
      <c r="W60" s="26" t="n"/>
      <c r="X60" s="26" t="n"/>
      <c r="Y60" s="26" t="n"/>
      <c r="Z60" s="26" t="n"/>
      <c r="AA60" s="26" t="n"/>
      <c r="AB60" s="26" t="n"/>
      <c r="AC60" s="26" t="n"/>
      <c r="AD60" s="26" t="n"/>
      <c r="AE60" s="26" t="n"/>
      <c r="AF60" s="26" t="n"/>
      <c r="AG60" s="26" t="n"/>
      <c r="AH60" s="26" t="n"/>
      <c r="AI60" s="26" t="n"/>
      <c r="AJ60" s="26" t="n"/>
      <c r="AK60" s="26" t="n"/>
      <c r="AL60" s="26" t="n"/>
      <c r="AM60" s="26" t="n"/>
      <c r="AN60" s="26" t="n"/>
      <c r="AO60" s="26" t="n"/>
      <c r="AP60" s="26" t="n"/>
      <c r="AQ60" s="26" t="n"/>
      <c r="AR60" s="27" t="n"/>
    </row>
    <row r="61" s="3154" customFormat="1" ht="15" customHeight="1">
      <c r="A61" s="627" t="n"/>
      <c r="B61" s="26" t="n"/>
      <c r="C61" s="26" t="n"/>
      <c r="D61" s="26" t="n"/>
      <c r="E61" s="26" t="n"/>
      <c r="F61" s="26" t="n"/>
      <c r="G61" s="26" t="n"/>
      <c r="H61" s="26" t="n"/>
      <c r="I61" s="26" t="n"/>
      <c r="J61" s="26" t="n"/>
      <c r="K61" s="26" t="n"/>
      <c r="L61" s="26" t="n"/>
      <c r="M61" s="26" t="n"/>
      <c r="N61" s="429" t="inlineStr">
        <is>
          <t xml:space="preserve">Levered Yield excluding Refinance $</t>
        </is>
      </c>
      <c r="O61" s="4217" t="e">
        <f t="array" ref="O61">O59/$E$4</f>
      </c>
      <c r="P61" s="4020" t="e">
        <f t="array" ref="P61">P59/$E$4</f>
      </c>
      <c r="Q61" s="4020" t="e">
        <f t="array" ref="Q61">Q59/$E$4</f>
      </c>
      <c r="R61" s="4020" t="e">
        <f t="array" ref="R61">R59/$E$4</f>
      </c>
      <c r="S61" s="4020" t="e">
        <f t="array" ref="S61">S59/$E$4</f>
      </c>
      <c r="T61" s="4020" t="e">
        <f t="array" ref="T61">T59/$E$4</f>
      </c>
      <c r="U61" s="4020" t="e">
        <f t="array" ref="U61">U59/$E$4</f>
      </c>
      <c r="V61" s="4020" t="e">
        <f t="array" ref="V61">V59/$E$4</f>
      </c>
      <c r="W61" s="4020" t="n"/>
      <c r="X61" s="26" t="n"/>
      <c r="Y61" s="26" t="n"/>
      <c r="Z61" s="26" t="n"/>
      <c r="AA61" s="26" t="n"/>
      <c r="AB61" s="26" t="n"/>
      <c r="AC61" s="26" t="n"/>
      <c r="AD61" s="26" t="n"/>
      <c r="AE61" s="26" t="n"/>
      <c r="AF61" s="26" t="n"/>
      <c r="AG61" s="26" t="n"/>
      <c r="AH61" s="26" t="n"/>
      <c r="AI61" s="26" t="n"/>
      <c r="AJ61" s="26" t="n"/>
      <c r="AK61" s="26" t="n"/>
      <c r="AL61" s="26" t="n"/>
      <c r="AM61" s="26" t="n"/>
      <c r="AN61" s="26" t="n"/>
      <c r="AO61" s="26" t="n"/>
      <c r="AP61" s="26" t="n"/>
      <c r="AQ61" s="26" t="n"/>
      <c r="AR61" s="27" t="n"/>
    </row>
    <row r="62" s="3154" customFormat="1" ht="15" customHeight="1">
      <c r="A62" s="627" t="n"/>
      <c r="B62" s="26" t="n"/>
      <c r="C62" s="26" t="n"/>
      <c r="D62" s="26" t="n"/>
      <c r="E62" s="26" t="n"/>
      <c r="F62" s="26" t="n"/>
      <c r="G62" s="26" t="n"/>
      <c r="H62" s="26" t="n"/>
      <c r="I62" s="26" t="n"/>
      <c r="J62" s="26" t="n"/>
      <c r="K62" s="26" t="n"/>
      <c r="L62" s="26" t="n"/>
      <c r="M62" s="26" t="n"/>
      <c r="N62" s="429" t="inlineStr">
        <is>
          <t xml:space="preserve">Levered Yield including Refinance $</t>
        </is>
      </c>
      <c r="O62" s="4217" t="e">
        <f t="array" ref="O62">'Annual CF'!E30/'Project Summary'!$C$6</f>
      </c>
      <c r="P62" s="4020" t="e">
        <f t="array" ref="P62">'Annual CF'!F30/'Project Summary'!$C$6</f>
      </c>
      <c r="Q62" s="4020" t="e">
        <f t="array" ref="Q62">'Annual CF'!G30/'Project Summary'!$C$6</f>
      </c>
      <c r="R62" s="4020" t="e">
        <f t="array" ref="R62">'Annual CF'!H30/'Project Summary'!$C$6</f>
      </c>
      <c r="S62" s="4020" t="e">
        <f t="array" ref="S62">'Annual CF'!I30/'Project Summary'!$C$6</f>
      </c>
      <c r="T62" s="4020" t="e">
        <f t="array" ref="T62">'Annual CF'!J30/'Project Summary'!$C$6</f>
      </c>
      <c r="U62" s="4020" t="e">
        <f t="array" ref="U62">'Annual CF'!K30/'Project Summary'!$C$6</f>
      </c>
      <c r="V62" s="4020" t="e">
        <f t="array" ref="V62">V61</f>
      </c>
      <c r="W62" s="4020" t="n"/>
      <c r="X62" s="26" t="n"/>
      <c r="Y62" s="26" t="n"/>
      <c r="Z62" s="26" t="n"/>
      <c r="AA62" s="26" t="n"/>
      <c r="AB62" s="26" t="n"/>
      <c r="AC62" s="26" t="n"/>
      <c r="AD62" s="26" t="n"/>
      <c r="AE62" s="26" t="n"/>
      <c r="AF62" s="26" t="n"/>
      <c r="AG62" s="26" t="n"/>
      <c r="AH62" s="26" t="n"/>
      <c r="AI62" s="26" t="n"/>
      <c r="AJ62" s="26" t="n"/>
      <c r="AK62" s="26" t="n"/>
      <c r="AL62" s="26" t="n"/>
      <c r="AM62" s="26" t="n"/>
      <c r="AN62" s="26" t="n"/>
      <c r="AO62" s="26" t="n"/>
      <c r="AP62" s="26" t="n"/>
      <c r="AQ62" s="26" t="n"/>
      <c r="AR62" s="27" t="n"/>
    </row>
    <row r="63" s="3154" customFormat="1" ht="8" customHeight="1">
      <c r="A63" s="627" t="n"/>
      <c r="B63" s="26" t="n"/>
      <c r="C63" s="26" t="n"/>
      <c r="D63" s="26" t="n"/>
      <c r="E63" s="26" t="n"/>
      <c r="F63" s="26" t="n"/>
      <c r="G63" s="26" t="n"/>
      <c r="H63" s="26" t="n"/>
      <c r="I63" s="26" t="n"/>
      <c r="J63" s="26" t="n"/>
      <c r="K63" s="26" t="n"/>
      <c r="L63" s="26" t="n"/>
      <c r="M63" s="26" t="n"/>
      <c r="N63" s="26" t="n"/>
      <c r="O63" s="26" t="n"/>
      <c r="P63" s="26" t="n"/>
      <c r="Q63" s="4203" t="n"/>
      <c r="R63" s="3322" t="n"/>
      <c r="S63" s="26" t="n"/>
      <c r="T63" s="26" t="n"/>
      <c r="U63" s="4203" t="n"/>
      <c r="V63" s="3322" t="n"/>
      <c r="W63" s="26" t="n"/>
      <c r="X63" s="26" t="n"/>
      <c r="Y63" s="26" t="n"/>
      <c r="Z63" s="26" t="n"/>
      <c r="AA63" s="26" t="n"/>
      <c r="AB63" s="26" t="n"/>
      <c r="AC63" s="26" t="n"/>
      <c r="AD63" s="26" t="n"/>
      <c r="AE63" s="26" t="n"/>
      <c r="AF63" s="26" t="n"/>
      <c r="AG63" s="26" t="n"/>
      <c r="AH63" s="26" t="n"/>
      <c r="AI63" s="26" t="n"/>
      <c r="AJ63" s="26" t="n"/>
      <c r="AK63" s="26" t="n"/>
      <c r="AL63" s="26" t="n"/>
      <c r="AM63" s="26" t="n"/>
      <c r="AN63" s="26" t="n"/>
      <c r="AO63" s="26" t="n"/>
      <c r="AP63" s="26" t="n"/>
      <c r="AQ63" s="26" t="n"/>
      <c r="AR63" s="27" t="n"/>
    </row>
    <row r="64" s="3154" customFormat="1" ht="15" customHeight="1">
      <c r="A64" s="627" t="n"/>
      <c r="B64" s="26" t="n"/>
      <c r="C64" s="26" t="n"/>
      <c r="D64" s="26" t="n"/>
      <c r="E64" s="26" t="n"/>
      <c r="F64" s="26" t="n"/>
      <c r="G64" s="26" t="n"/>
      <c r="H64" s="26" t="n"/>
      <c r="I64" s="26" t="n"/>
      <c r="J64" s="26" t="n"/>
      <c r="K64" s="26" t="n"/>
      <c r="L64" s="26" t="n"/>
      <c r="M64" s="26" t="n"/>
      <c r="N64" s="2650" t="inlineStr">
        <is>
          <t xml:space="preserve">Key Ratios (% of Revenue)</t>
        </is>
      </c>
      <c r="O64" s="2651" t="n"/>
      <c r="P64" s="2651" t="n"/>
      <c r="Q64" s="4220" t="n"/>
      <c r="R64" s="4221" t="n"/>
      <c r="S64" s="2651" t="n"/>
      <c r="T64" s="2651" t="n"/>
      <c r="U64" s="4220" t="n"/>
      <c r="V64" s="4221" t="n"/>
      <c r="W64" s="2651" t="n"/>
      <c r="X64" s="26" t="n"/>
      <c r="Y64" s="26" t="n"/>
      <c r="Z64" s="26" t="n"/>
      <c r="AA64" s="26" t="n"/>
      <c r="AB64" s="26" t="n"/>
      <c r="AC64" s="26" t="n"/>
      <c r="AD64" s="26" t="n"/>
      <c r="AE64" s="26" t="n"/>
      <c r="AF64" s="26" t="n"/>
      <c r="AG64" s="26" t="n"/>
      <c r="AH64" s="26" t="n"/>
      <c r="AI64" s="26" t="n"/>
      <c r="AJ64" s="26" t="n"/>
      <c r="AK64" s="26" t="n"/>
      <c r="AL64" s="26" t="n"/>
      <c r="AM64" s="26" t="n"/>
      <c r="AN64" s="26" t="n"/>
      <c r="AO64" s="26" t="n"/>
      <c r="AP64" s="26" t="n"/>
      <c r="AQ64" s="26" t="n"/>
      <c r="AR64" s="27" t="n"/>
    </row>
    <row r="65" s="3154" customFormat="1" ht="15" customHeight="1">
      <c r="A65" s="627" t="n"/>
      <c r="B65" s="26" t="n"/>
      <c r="C65" s="26" t="n"/>
      <c r="D65" s="26" t="n"/>
      <c r="E65" s="26" t="n"/>
      <c r="F65" s="26" t="n"/>
      <c r="G65" s="26" t="n"/>
      <c r="H65" s="26" t="n"/>
      <c r="I65" s="26" t="n"/>
      <c r="J65" s="26" t="n"/>
      <c r="K65" s="26" t="n"/>
      <c r="L65" s="26" t="n"/>
      <c r="M65" s="26" t="n"/>
      <c r="N65" s="2650" t="inlineStr">
        <is>
          <t xml:space="preserve">Departmental Expenses</t>
        </is>
      </c>
      <c r="O65" s="4222" t="e">
        <f t="array" ref="O65">O51/O50</f>
      </c>
      <c r="P65" s="4222" t="e">
        <f t="array" ref="P65">P51/P50</f>
      </c>
      <c r="Q65" s="4222" t="e">
        <f t="array" ref="Q65">Q51/Q50</f>
      </c>
      <c r="R65" s="4222" t="e">
        <f t="array" ref="R65">R51/R50</f>
      </c>
      <c r="S65" s="4222" t="e">
        <f t="array" ref="S65">S51/S50</f>
      </c>
      <c r="T65" s="4222" t="e">
        <f t="array" ref="T65">T51/T50</f>
      </c>
      <c r="U65" s="4222" t="e">
        <f t="array" ref="U65">U51/U50</f>
      </c>
      <c r="V65" s="4222" t="e">
        <f t="array" ref="V65">V51/V50</f>
      </c>
      <c r="W65" s="4222" t="n"/>
      <c r="X65" s="26" t="n"/>
      <c r="Y65" s="26" t="n"/>
      <c r="Z65" s="26" t="n"/>
      <c r="AA65" s="26" t="n"/>
      <c r="AB65" s="26" t="n"/>
      <c r="AC65" s="26" t="n"/>
      <c r="AD65" s="26" t="n"/>
      <c r="AE65" s="26" t="n"/>
      <c r="AF65" s="26" t="n"/>
      <c r="AG65" s="26" t="n"/>
      <c r="AH65" s="26" t="n"/>
      <c r="AI65" s="26" t="n"/>
      <c r="AJ65" s="26" t="n"/>
      <c r="AK65" s="26" t="n"/>
      <c r="AL65" s="26" t="n"/>
      <c r="AM65" s="26" t="n"/>
      <c r="AN65" s="26" t="n"/>
      <c r="AO65" s="26" t="n"/>
      <c r="AP65" s="26" t="n"/>
      <c r="AQ65" s="26" t="n"/>
      <c r="AR65" s="27" t="n"/>
    </row>
    <row r="66" s="3154" customFormat="1" ht="15" customHeight="1">
      <c r="A66" s="627" t="n"/>
      <c r="B66" s="26" t="n"/>
      <c r="C66" s="26" t="n"/>
      <c r="D66" s="26" t="n"/>
      <c r="E66" s="26" t="n"/>
      <c r="F66" s="26" t="n"/>
      <c r="G66" s="26" t="n"/>
      <c r="H66" s="26" t="n"/>
      <c r="I66" s="26" t="n"/>
      <c r="J66" s="26" t="n"/>
      <c r="K66" s="26" t="n"/>
      <c r="L66" s="26" t="n"/>
      <c r="M66" s="26" t="n"/>
      <c r="N66" s="2650" t="inlineStr">
        <is>
          <t xml:space="preserve">Undistributed Expenses</t>
        </is>
      </c>
      <c r="O66" s="4222" t="e">
        <f t="array" ref="O66">O53/O50</f>
      </c>
      <c r="P66" s="4222" t="e">
        <f t="array" ref="P66">P53/P50</f>
      </c>
      <c r="Q66" s="4222" t="e">
        <f t="array" ref="Q66">Q53/Q50</f>
      </c>
      <c r="R66" s="4222" t="e">
        <f t="array" ref="R66">R53/R50</f>
      </c>
      <c r="S66" s="4222" t="e">
        <f t="array" ref="S66">S53/S50</f>
      </c>
      <c r="T66" s="4222" t="e">
        <f t="array" ref="T66">T53/T50</f>
      </c>
      <c r="U66" s="4222" t="e">
        <f t="array" ref="U66">U53/U50</f>
      </c>
      <c r="V66" s="4222" t="e">
        <f t="array" ref="V66">V53/V50</f>
      </c>
      <c r="W66" s="4222" t="n"/>
      <c r="X66" s="26" t="n"/>
      <c r="Y66" s="26" t="n"/>
      <c r="Z66" s="26" t="n"/>
      <c r="AA66" s="26" t="n"/>
      <c r="AB66" s="26" t="n"/>
      <c r="AC66" s="26" t="n"/>
      <c r="AD66" s="26" t="n"/>
      <c r="AE66" s="26" t="n"/>
      <c r="AF66" s="26" t="n"/>
      <c r="AG66" s="26" t="n"/>
      <c r="AH66" s="26" t="n"/>
      <c r="AI66" s="26" t="n"/>
      <c r="AJ66" s="26" t="n"/>
      <c r="AK66" s="26" t="n"/>
      <c r="AL66" s="26" t="n"/>
      <c r="AM66" s="26" t="n"/>
      <c r="AN66" s="26" t="n"/>
      <c r="AO66" s="26" t="n"/>
      <c r="AP66" s="26" t="n"/>
      <c r="AQ66" s="26" t="n"/>
      <c r="AR66" s="27" t="n"/>
    </row>
    <row r="67" s="3154" customFormat="1" ht="15" customHeight="1">
      <c r="A67" s="627" t="n"/>
      <c r="B67" s="26" t="n"/>
      <c r="C67" s="26" t="n"/>
      <c r="D67" s="26" t="n"/>
      <c r="E67" s="26" t="n"/>
      <c r="F67" s="26" t="n"/>
      <c r="G67" s="26" t="n"/>
      <c r="H67" s="26" t="n"/>
      <c r="I67" s="26" t="n"/>
      <c r="J67" s="26" t="n"/>
      <c r="K67" s="26" t="n"/>
      <c r="L67" s="26" t="n"/>
      <c r="M67" s="26" t="n"/>
      <c r="N67" s="2650" t="inlineStr">
        <is>
          <t xml:space="preserve">Fixed Expenses</t>
        </is>
      </c>
      <c r="O67" s="4222" t="e">
        <f t="array" ref="O67">O56/O50</f>
      </c>
      <c r="P67" s="4222" t="e">
        <f t="array" ref="P67">P56/P50</f>
      </c>
      <c r="Q67" s="4222" t="e">
        <f t="array" ref="Q67">Q56/Q50</f>
      </c>
      <c r="R67" s="4222" t="e">
        <f t="array" ref="R67">R56/R50</f>
      </c>
      <c r="S67" s="4222" t="e">
        <f t="array" ref="S67">S56/S50</f>
      </c>
      <c r="T67" s="4222" t="e">
        <f t="array" ref="T67">T56/T50</f>
      </c>
      <c r="U67" s="4222" t="e">
        <f t="array" ref="U67">U56/U50</f>
      </c>
      <c r="V67" s="4222" t="e">
        <f t="array" ref="V67">V56/V50</f>
      </c>
      <c r="W67" s="4222" t="n"/>
      <c r="X67" s="26" t="n"/>
      <c r="Y67" s="26" t="n"/>
      <c r="Z67" s="26" t="n"/>
      <c r="AA67" s="26" t="n"/>
      <c r="AB67" s="26" t="n"/>
      <c r="AC67" s="26" t="n"/>
      <c r="AD67" s="26" t="n"/>
      <c r="AE67" s="26" t="n"/>
      <c r="AF67" s="26" t="n"/>
      <c r="AG67" s="26" t="n"/>
      <c r="AH67" s="26" t="n"/>
      <c r="AI67" s="26" t="n"/>
      <c r="AJ67" s="26" t="n"/>
      <c r="AK67" s="26" t="n"/>
      <c r="AL67" s="26" t="n"/>
      <c r="AM67" s="26" t="n"/>
      <c r="AN67" s="26" t="n"/>
      <c r="AO67" s="26" t="n"/>
      <c r="AP67" s="26" t="n"/>
      <c r="AQ67" s="26" t="n"/>
      <c r="AR67" s="27" t="n"/>
    </row>
    <row r="68" s="3154" customFormat="1" ht="15" customHeight="1">
      <c r="A68" s="627" t="n"/>
      <c r="B68" s="26" t="n"/>
      <c r="C68" s="26" t="n"/>
      <c r="D68" s="26" t="n"/>
      <c r="E68" s="26" t="n"/>
      <c r="F68" s="26" t="n"/>
      <c r="G68" s="26" t="n"/>
      <c r="H68" s="26" t="n"/>
      <c r="I68" s="26" t="n"/>
      <c r="J68" s="26" t="n"/>
      <c r="K68" s="26" t="n"/>
      <c r="L68" s="26" t="n"/>
      <c r="M68" s="26" t="n"/>
      <c r="N68" s="26" t="n"/>
      <c r="O68" s="26" t="n"/>
      <c r="P68" s="26" t="n"/>
      <c r="Q68" s="26" t="n"/>
      <c r="R68" s="26" t="n"/>
      <c r="S68" s="26" t="n"/>
      <c r="T68" s="26" t="n"/>
      <c r="U68" s="26" t="n"/>
      <c r="V68" s="26" t="n"/>
      <c r="W68" s="26" t="n"/>
      <c r="X68" s="26" t="n"/>
      <c r="Y68" s="26" t="n"/>
      <c r="Z68" s="26" t="n"/>
      <c r="AA68" s="26" t="n"/>
      <c r="AB68" s="26" t="n"/>
      <c r="AC68" s="26" t="n"/>
      <c r="AD68" s="26" t="n"/>
      <c r="AE68" s="26" t="n"/>
      <c r="AF68" s="26" t="n"/>
      <c r="AG68" s="26" t="n"/>
      <c r="AH68" s="26" t="n"/>
      <c r="AI68" s="26" t="n"/>
      <c r="AJ68" s="26" t="n"/>
      <c r="AK68" s="26" t="n"/>
      <c r="AL68" s="26" t="n"/>
      <c r="AM68" s="26" t="n"/>
      <c r="AN68" s="26" t="n"/>
      <c r="AO68" s="26" t="n"/>
      <c r="AP68" s="26" t="n"/>
      <c r="AQ68" s="26" t="n"/>
      <c r="AR68" s="27" t="n"/>
    </row>
    <row r="69" s="3154" customFormat="1" ht="15" customHeight="1">
      <c r="A69" s="627" t="n"/>
      <c r="B69" s="26" t="n"/>
      <c r="C69" s="26" t="n"/>
      <c r="D69" s="26" t="n"/>
      <c r="E69" s="26" t="n"/>
      <c r="F69" s="26" t="n"/>
      <c r="G69" s="26" t="n"/>
      <c r="H69" s="26" t="n"/>
      <c r="I69" s="26" t="n"/>
      <c r="J69" s="26" t="n"/>
      <c r="K69" s="26" t="n"/>
      <c r="L69" s="26" t="n"/>
      <c r="M69" s="26" t="n"/>
      <c r="N69" s="26" t="n"/>
      <c r="O69" s="26" t="n"/>
      <c r="P69" s="26" t="n"/>
      <c r="Q69" s="26" t="n"/>
      <c r="R69" s="26" t="n"/>
      <c r="S69" s="26" t="n"/>
      <c r="T69" s="26" t="n"/>
      <c r="U69" s="26" t="n"/>
      <c r="V69" s="26" t="n"/>
      <c r="W69" s="26" t="n"/>
      <c r="X69" s="26" t="n"/>
      <c r="Y69" s="26" t="n"/>
      <c r="Z69" s="2633" t="n"/>
      <c r="AA69" s="2599" t="inlineStr">
        <is>
          <t xml:space="preserve">$ / Key</t>
        </is>
      </c>
      <c r="AB69" s="2599" t="inlineStr">
        <is>
          <t xml:space="preserve">Total</t>
        </is>
      </c>
      <c r="AC69" s="2608" t="n"/>
      <c r="AD69" s="26" t="n"/>
      <c r="AE69" s="26" t="n"/>
      <c r="AF69" s="26" t="n"/>
      <c r="AG69" s="26" t="n"/>
      <c r="AH69" s="26" t="n"/>
      <c r="AI69" s="26" t="n"/>
      <c r="AJ69" s="26" t="n"/>
      <c r="AK69" s="26" t="n"/>
      <c r="AL69" s="26" t="n"/>
      <c r="AM69" s="26" t="n"/>
      <c r="AN69" s="26" t="n"/>
      <c r="AO69" s="26" t="n"/>
      <c r="AP69" s="26" t="n"/>
      <c r="AQ69" s="26" t="n"/>
      <c r="AR69" s="27" t="n"/>
    </row>
    <row r="70" s="3154" customFormat="1" ht="15" customHeight="1">
      <c r="A70" s="627" t="n"/>
      <c r="B70" s="26" t="n"/>
      <c r="C70" s="26" t="n"/>
      <c r="D70" s="26" t="n"/>
      <c r="E70" s="26" t="n"/>
      <c r="F70" s="26" t="n"/>
      <c r="G70" s="26" t="n"/>
      <c r="H70" s="26" t="n"/>
      <c r="I70" s="26" t="n"/>
      <c r="J70" s="26" t="n"/>
      <c r="K70" s="26" t="n"/>
      <c r="L70" s="26" t="n"/>
      <c r="M70" s="26" t="n"/>
      <c r="N70" s="26" t="n"/>
      <c r="O70" s="26" t="n"/>
      <c r="P70" s="26" t="n"/>
      <c r="Q70" s="26" t="n"/>
      <c r="R70" s="26" t="n"/>
      <c r="S70" s="26" t="n"/>
      <c r="T70" s="26" t="n"/>
      <c r="U70" s="26" t="n"/>
      <c r="V70" s="26" t="n"/>
      <c r="W70" s="26" t="n"/>
      <c r="X70" s="26" t="n"/>
      <c r="Y70" s="26" t="n"/>
      <c r="Z70" s="2655" t="inlineStr">
        <is>
          <t xml:space="preserve">LAND COSTS</t>
        </is>
      </c>
      <c r="AA70" s="26" t="n"/>
      <c r="AB70" s="26" t="n"/>
      <c r="AC70" s="4201" t="n"/>
      <c r="AD70" s="26" t="n"/>
      <c r="AE70" s="26" t="n"/>
      <c r="AF70" s="26" t="n"/>
      <c r="AG70" s="26" t="n"/>
      <c r="AH70" s="26" t="n"/>
      <c r="AI70" s="26" t="n"/>
      <c r="AJ70" s="26" t="n"/>
      <c r="AK70" s="26" t="n"/>
      <c r="AL70" s="26" t="n"/>
      <c r="AM70" s="26" t="n"/>
      <c r="AN70" s="26" t="n"/>
      <c r="AO70" s="26" t="n"/>
      <c r="AP70" s="26" t="n"/>
      <c r="AQ70" s="26" t="n"/>
      <c r="AR70" s="27" t="n"/>
    </row>
    <row r="71" s="3154" customFormat="1" ht="15" customHeight="1">
      <c r="A71" s="627" t="n"/>
      <c r="B71" s="26" t="n"/>
      <c r="C71" s="26" t="n"/>
      <c r="D71" s="26" t="n"/>
      <c r="E71" s="4043" t="n"/>
      <c r="F71" s="26" t="n"/>
      <c r="G71" s="26" t="n"/>
      <c r="H71" s="26" t="n"/>
      <c r="I71" s="26" t="n"/>
      <c r="J71" s="26" t="n"/>
      <c r="K71" s="26" t="n"/>
      <c r="L71" s="26" t="n"/>
      <c r="M71" s="26" t="n"/>
      <c r="N71" s="26" t="n"/>
      <c r="O71" s="26" t="n"/>
      <c r="P71" s="26" t="n"/>
      <c r="Q71" s="26" t="n"/>
      <c r="R71" s="26" t="n"/>
      <c r="S71" s="26" t="n"/>
      <c r="T71" s="26" t="n"/>
      <c r="U71" s="26" t="n"/>
      <c r="V71" s="26" t="n"/>
      <c r="W71" s="26" t="n"/>
      <c r="X71" s="26" t="n"/>
      <c r="Y71" s="26" t="n"/>
      <c r="Z71" s="429" t="inlineStr">
        <is>
          <t xml:space="preserve">Land Costs</t>
        </is>
      </c>
      <c r="AA71" s="4223" t="n">
        <f t="array" ref="AA71">AB71/$J$34</f>
        <v>10000</v>
      </c>
      <c r="AB71" s="4223" t="n">
        <f t="array" ref="AB71">'Cost Detail'!C6</f>
        <v>1200000</v>
      </c>
      <c r="AC71" s="4204" t="n"/>
      <c r="AD71" s="26" t="n"/>
      <c r="AE71" s="26" t="n"/>
      <c r="AF71" s="26" t="n"/>
      <c r="AG71" s="26" t="n"/>
      <c r="AH71" s="26" t="n"/>
      <c r="AI71" s="26" t="n"/>
      <c r="AJ71" s="26" t="n"/>
      <c r="AK71" s="26" t="n"/>
      <c r="AL71" s="26" t="n"/>
      <c r="AM71" s="26" t="n"/>
      <c r="AN71" s="26" t="n"/>
      <c r="AO71" s="26" t="n"/>
      <c r="AP71" s="26" t="n"/>
      <c r="AQ71" s="26" t="n"/>
      <c r="AR71" s="27" t="n"/>
    </row>
    <row r="72" s="3154" customFormat="1" ht="15" customHeight="1">
      <c r="A72" s="627" t="n"/>
      <c r="B72" s="26" t="n"/>
      <c r="C72" s="26" t="n"/>
      <c r="D72" s="26" t="n"/>
      <c r="E72" s="26" t="n"/>
      <c r="F72" s="26" t="n"/>
      <c r="G72" s="26" t="n"/>
      <c r="H72" s="26" t="n"/>
      <c r="I72" s="26" t="n"/>
      <c r="J72" s="26" t="n"/>
      <c r="K72" s="26" t="n"/>
      <c r="L72" s="26" t="n"/>
      <c r="M72" s="26" t="n"/>
      <c r="N72" s="26" t="n"/>
      <c r="O72" s="26" t="n"/>
      <c r="P72" s="26" t="n"/>
      <c r="Q72" s="26" t="n"/>
      <c r="R72" s="26" t="n"/>
      <c r="S72" s="26" t="n"/>
      <c r="T72" s="26" t="n"/>
      <c r="U72" s="26" t="n"/>
      <c r="V72" s="26" t="n"/>
      <c r="W72" s="26" t="n"/>
      <c r="X72" s="26" t="n"/>
      <c r="Y72" s="26" t="n"/>
      <c r="Z72" s="429" t="inlineStr">
        <is>
          <t xml:space="preserve">Land Other</t>
        </is>
      </c>
      <c r="AA72" s="2657" t="n">
        <f t="array" ref="AA72">AB72/$J$34</f>
        <v>336.6666666666667</v>
      </c>
      <c r="AB72" s="2657" t="n">
        <f t="array" ref="AB72">SUM('Cost Detail'!C7:C15)</f>
        <v>40400</v>
      </c>
      <c r="AC72" s="4205" t="n"/>
      <c r="AD72" s="26" t="n"/>
      <c r="AE72" s="26" t="n"/>
      <c r="AF72" s="26" t="n"/>
      <c r="AG72" s="26" t="n"/>
      <c r="AH72" s="26" t="n"/>
      <c r="AI72" s="26" t="n"/>
      <c r="AJ72" s="26" t="n"/>
      <c r="AK72" s="26" t="n"/>
      <c r="AL72" s="26" t="n"/>
      <c r="AM72" s="26" t="n"/>
      <c r="AN72" s="26" t="n"/>
      <c r="AO72" s="26" t="n"/>
      <c r="AP72" s="26" t="n"/>
      <c r="AQ72" s="26" t="n"/>
      <c r="AR72" s="27" t="n"/>
    </row>
    <row r="73" s="3154" customFormat="1" ht="15" customHeight="1">
      <c r="A73" s="627" t="n"/>
      <c r="B73" s="26" t="n"/>
      <c r="C73" s="26" t="n"/>
      <c r="D73" s="26" t="n"/>
      <c r="E73" s="26" t="n"/>
      <c r="F73" s="26" t="n"/>
      <c r="G73" s="26" t="n"/>
      <c r="H73" s="26" t="n"/>
      <c r="I73" s="26" t="n"/>
      <c r="J73" s="26" t="n"/>
      <c r="K73" s="26" t="n"/>
      <c r="L73" s="26" t="n"/>
      <c r="M73" s="26" t="n"/>
      <c r="N73" s="26" t="n"/>
      <c r="O73" s="26" t="n"/>
      <c r="P73" s="26" t="n"/>
      <c r="Q73" s="26" t="n"/>
      <c r="R73" s="26" t="n"/>
      <c r="S73" s="26" t="n"/>
      <c r="T73" s="26" t="n"/>
      <c r="U73" s="26" t="n"/>
      <c r="V73" s="26" t="n"/>
      <c r="W73" s="26" t="n"/>
      <c r="X73" s="26" t="n"/>
      <c r="Y73" s="26" t="n"/>
      <c r="Z73" s="2609" t="inlineStr">
        <is>
          <t xml:space="preserve">Total Land Costs</t>
        </is>
      </c>
      <c r="AA73" s="4224" t="n">
        <f t="array" ref="AA73">AB73/$J$34</f>
        <v>10336.666666666666</v>
      </c>
      <c r="AB73" s="4224" t="n">
        <f t="array" ref="AB73">SUM(AB71:AB72)</f>
        <v>1240400</v>
      </c>
      <c r="AC73" s="4205" t="n"/>
      <c r="AD73" s="26" t="n"/>
      <c r="AE73" s="26" t="n"/>
      <c r="AF73" s="26" t="n"/>
      <c r="AG73" s="26" t="n"/>
      <c r="AH73" s="26" t="n"/>
      <c r="AI73" s="26" t="n"/>
      <c r="AJ73" s="26" t="n"/>
      <c r="AK73" s="26" t="n"/>
      <c r="AL73" s="26" t="n"/>
      <c r="AM73" s="26" t="n"/>
      <c r="AN73" s="26" t="n"/>
      <c r="AO73" s="26" t="n"/>
      <c r="AP73" s="26" t="n"/>
      <c r="AQ73" s="26" t="n"/>
      <c r="AR73" s="27" t="n"/>
    </row>
    <row r="74" s="3154" customFormat="1" ht="8" customHeight="1">
      <c r="A74" s="627" t="n"/>
      <c r="B74" s="26" t="n"/>
      <c r="C74" s="26" t="n"/>
      <c r="D74" s="26" t="n"/>
      <c r="E74" s="26" t="n"/>
      <c r="F74" s="26" t="n"/>
      <c r="G74" s="26" t="n"/>
      <c r="H74" s="26" t="n"/>
      <c r="I74" s="26" t="n"/>
      <c r="J74" s="26" t="n"/>
      <c r="K74" s="26" t="n"/>
      <c r="L74" s="26" t="n"/>
      <c r="M74" s="26" t="n"/>
      <c r="N74" s="26" t="n"/>
      <c r="O74" s="26" t="n"/>
      <c r="P74" s="26" t="n"/>
      <c r="Q74" s="26" t="n"/>
      <c r="R74" s="26" t="n"/>
      <c r="S74" s="26" t="n"/>
      <c r="T74" s="26" t="n"/>
      <c r="U74" s="26" t="n"/>
      <c r="V74" s="26" t="n"/>
      <c r="W74" s="26" t="n"/>
      <c r="X74" s="26" t="n"/>
      <c r="Y74" s="26" t="n"/>
      <c r="Z74" s="26" t="n"/>
      <c r="AA74" s="26" t="n"/>
      <c r="AB74" s="4225" t="n"/>
      <c r="AC74" s="4205" t="n"/>
      <c r="AD74" s="26" t="n"/>
      <c r="AE74" s="26" t="n"/>
      <c r="AF74" s="26" t="n"/>
      <c r="AG74" s="26" t="n"/>
      <c r="AH74" s="26" t="n"/>
      <c r="AI74" s="26" t="n"/>
      <c r="AJ74" s="26" t="n"/>
      <c r="AK74" s="26" t="n"/>
      <c r="AL74" s="26" t="n"/>
      <c r="AM74" s="26" t="n"/>
      <c r="AN74" s="26" t="n"/>
      <c r="AO74" s="26" t="n"/>
      <c r="AP74" s="26" t="n"/>
      <c r="AQ74" s="26" t="n"/>
      <c r="AR74" s="27" t="n"/>
    </row>
    <row r="75" s="3154" customFormat="1" ht="15" customHeight="1">
      <c r="A75" s="627" t="n"/>
      <c r="B75" s="26" t="n"/>
      <c r="C75" s="26" t="n"/>
      <c r="D75" s="26" t="n"/>
      <c r="E75" s="26" t="n"/>
      <c r="F75" s="26" t="n"/>
      <c r="G75" s="26" t="n"/>
      <c r="H75" s="26" t="n"/>
      <c r="I75" s="26" t="n"/>
      <c r="J75" s="26" t="n"/>
      <c r="K75" s="26" t="n"/>
      <c r="L75" s="26" t="n"/>
      <c r="M75" s="26" t="n"/>
      <c r="N75" s="26" t="n"/>
      <c r="O75" s="26" t="n"/>
      <c r="P75" s="26" t="n"/>
      <c r="Q75" s="26" t="n"/>
      <c r="R75" s="26" t="n"/>
      <c r="S75" s="26" t="n"/>
      <c r="T75" s="26" t="n"/>
      <c r="U75" s="26" t="n"/>
      <c r="V75" s="26" t="n"/>
      <c r="W75" s="26" t="n"/>
      <c r="X75" s="26" t="n"/>
      <c r="Y75" s="26" t="n"/>
      <c r="Z75" s="2655" t="inlineStr">
        <is>
          <t xml:space="preserve">HARD COSTS</t>
        </is>
      </c>
      <c r="AA75" s="2660" t="n"/>
      <c r="AB75" s="2660" t="n"/>
      <c r="AC75" s="4205" t="n"/>
      <c r="AD75" s="26" t="n"/>
      <c r="AE75" s="26" t="n"/>
      <c r="AF75" s="26" t="n"/>
      <c r="AG75" s="26" t="n"/>
      <c r="AH75" s="26" t="n"/>
      <c r="AI75" s="26" t="n"/>
      <c r="AJ75" s="26" t="n"/>
      <c r="AK75" s="26" t="n"/>
      <c r="AL75" s="26" t="n"/>
      <c r="AM75" s="26" t="n"/>
      <c r="AN75" s="26" t="n"/>
      <c r="AO75" s="26" t="n"/>
      <c r="AP75" s="26" t="n"/>
      <c r="AQ75" s="26" t="n"/>
      <c r="AR75" s="27" t="n"/>
    </row>
    <row r="76" s="3154" customFormat="1" ht="15.75" customHeight="1">
      <c r="A76" s="627" t="n"/>
      <c r="B76" s="26" t="n"/>
      <c r="C76" s="26" t="n"/>
      <c r="D76" s="26" t="n"/>
      <c r="E76" s="26" t="n"/>
      <c r="F76" s="26" t="n"/>
      <c r="G76" s="26" t="n"/>
      <c r="H76" s="26" t="n"/>
      <c r="I76" s="26" t="n"/>
      <c r="J76" s="26" t="n"/>
      <c r="K76" s="26" t="n"/>
      <c r="L76" s="26" t="n"/>
      <c r="M76" s="26" t="n"/>
      <c r="N76" s="26" t="n"/>
      <c r="O76" s="26" t="n"/>
      <c r="P76" s="26" t="n"/>
      <c r="Q76" s="26" t="n"/>
      <c r="R76" s="26" t="n"/>
      <c r="S76" s="26" t="n"/>
      <c r="T76" s="26" t="n"/>
      <c r="U76" s="26" t="n"/>
      <c r="V76" s="26" t="n"/>
      <c r="W76" s="26" t="n"/>
      <c r="X76" s="26" t="n"/>
      <c r="Y76" s="26" t="n"/>
      <c r="Z76" s="429" t="inlineStr">
        <is>
          <t xml:space="preserve">Construction Costs</t>
        </is>
      </c>
      <c r="AA76" s="4223" t="n">
        <f t="array" ref="AA76">AB76/$J$34</f>
        <v>34673.92043264841</v>
      </c>
      <c r="AB76" s="4223" t="n">
        <f t="array" ref="AB76">SUM('Cost Detail'!C98:C99)</f>
        <v>4160870.451917809</v>
      </c>
      <c r="AC76" s="4205" t="n"/>
      <c r="AD76" s="26" t="n"/>
      <c r="AE76" s="26" t="n"/>
      <c r="AF76" s="26" t="n"/>
      <c r="AG76" s="26" t="n"/>
      <c r="AH76" s="26" t="n"/>
      <c r="AI76" s="26" t="n"/>
      <c r="AJ76" s="26" t="n"/>
      <c r="AK76" s="26" t="n"/>
      <c r="AL76" s="26" t="n"/>
      <c r="AM76" s="26" t="n"/>
      <c r="AN76" s="26" t="n"/>
      <c r="AO76" s="26" t="n"/>
      <c r="AP76" s="26" t="n"/>
      <c r="AQ76" s="26" t="n"/>
      <c r="AR76" s="27" t="n"/>
    </row>
    <row r="77" s="3154" customFormat="1" ht="15" customHeight="1">
      <c r="A77" s="627" t="n"/>
      <c r="B77" s="26" t="n"/>
      <c r="C77" s="26" t="n"/>
      <c r="D77" s="26" t="n"/>
      <c r="E77" s="26" t="n"/>
      <c r="F77" s="26" t="n"/>
      <c r="G77" s="26" t="n"/>
      <c r="H77" s="26" t="n"/>
      <c r="I77" s="26" t="n"/>
      <c r="J77" s="26" t="n"/>
      <c r="K77" s="26" t="n"/>
      <c r="L77" s="26" t="n"/>
      <c r="M77" s="26" t="n"/>
      <c r="N77" s="26" t="n"/>
      <c r="O77" s="26" t="n"/>
      <c r="P77" s="26" t="n"/>
      <c r="Q77" s="26" t="n"/>
      <c r="R77" s="26" t="n"/>
      <c r="S77" s="26" t="n"/>
      <c r="T77" s="26" t="n"/>
      <c r="U77" s="26" t="n"/>
      <c r="V77" s="26" t="n"/>
      <c r="W77" s="26" t="n"/>
      <c r="X77" s="26" t="n"/>
      <c r="Y77" s="26" t="n"/>
      <c r="Z77" s="429" t="inlineStr">
        <is>
          <t xml:space="preserve">Hard Cost Contingency</t>
        </is>
      </c>
      <c r="AA77" s="2657" t="n">
        <f t="array" ref="AA77">AB77/$J$34</f>
        <v>0</v>
      </c>
      <c r="AB77" s="2657" t="n">
        <f t="array" ref="AB77">'Cost Detail'!C106</f>
        <v>0</v>
      </c>
      <c r="AC77" s="4205" t="n"/>
      <c r="AD77" s="26" t="n"/>
      <c r="AE77" s="26" t="n"/>
      <c r="AF77" s="26" t="n"/>
      <c r="AG77" s="26" t="n"/>
      <c r="AH77" s="26" t="n"/>
      <c r="AI77" s="26" t="n"/>
      <c r="AJ77" s="26" t="n"/>
      <c r="AK77" s="26" t="n"/>
      <c r="AL77" s="26" t="n"/>
      <c r="AM77" s="26" t="n"/>
      <c r="AN77" s="26" t="n"/>
      <c r="AO77" s="26" t="n"/>
      <c r="AP77" s="26" t="n"/>
      <c r="AQ77" s="26" t="n"/>
      <c r="AR77" s="27" t="n"/>
    </row>
    <row r="78" s="3154" customFormat="1" ht="15" customHeight="1">
      <c r="A78" s="627" t="n"/>
      <c r="B78" s="26" t="n"/>
      <c r="C78" s="26" t="n"/>
      <c r="D78" s="26" t="n"/>
      <c r="E78" s="26" t="n"/>
      <c r="F78" s="26" t="n"/>
      <c r="G78" s="26" t="n"/>
      <c r="H78" s="26" t="n"/>
      <c r="I78" s="26" t="n"/>
      <c r="J78" s="26" t="n"/>
      <c r="K78" s="26" t="n"/>
      <c r="L78" s="26" t="n"/>
      <c r="M78" s="26" t="n"/>
      <c r="N78" s="26" t="n"/>
      <c r="O78" s="26" t="n"/>
      <c r="P78" s="26" t="n"/>
      <c r="Q78" s="26" t="n"/>
      <c r="R78" s="26" t="n"/>
      <c r="S78" s="26" t="n"/>
      <c r="T78" s="26" t="n"/>
      <c r="U78" s="26" t="n"/>
      <c r="V78" s="26" t="n"/>
      <c r="W78" s="26" t="n"/>
      <c r="X78" s="26" t="n"/>
      <c r="Y78" s="26" t="n"/>
      <c r="Z78" s="2609" t="inlineStr">
        <is>
          <t xml:space="preserve">Total Hard Costs</t>
        </is>
      </c>
      <c r="AA78" s="4224" t="n">
        <f t="array" ref="AA78">AB78/$J$34</f>
        <v>34673.92043264841</v>
      </c>
      <c r="AB78" s="4224" t="n">
        <f t="array" ref="AB78">SUM(AB76:AB77)</f>
        <v>4160870.451917809</v>
      </c>
      <c r="AC78" s="4205" t="n"/>
      <c r="AD78" s="26" t="n"/>
      <c r="AE78" s="26" t="n"/>
      <c r="AF78" s="26" t="n"/>
      <c r="AG78" s="26" t="n"/>
      <c r="AH78" s="26" t="n"/>
      <c r="AI78" s="26" t="n"/>
      <c r="AJ78" s="26" t="n"/>
      <c r="AK78" s="26" t="n"/>
      <c r="AL78" s="26" t="n"/>
      <c r="AM78" s="26" t="n"/>
      <c r="AN78" s="26" t="n"/>
      <c r="AO78" s="26" t="n"/>
      <c r="AP78" s="26" t="n"/>
      <c r="AQ78" s="26" t="n"/>
      <c r="AR78" s="27" t="n"/>
    </row>
    <row r="79" s="3154" customFormat="1" ht="8" customHeight="1">
      <c r="A79" s="627" t="n"/>
      <c r="B79" s="26" t="n"/>
      <c r="C79" s="26" t="n"/>
      <c r="D79" s="26" t="n"/>
      <c r="E79" s="26" t="n"/>
      <c r="F79" s="26" t="n"/>
      <c r="G79" s="26" t="n"/>
      <c r="H79" s="26" t="n"/>
      <c r="I79" s="26" t="n"/>
      <c r="J79" s="26" t="n"/>
      <c r="K79" s="26" t="n"/>
      <c r="L79" s="26" t="n"/>
      <c r="M79" s="26" t="n"/>
      <c r="N79" s="26" t="n"/>
      <c r="O79" s="26" t="n"/>
      <c r="P79" s="26" t="n"/>
      <c r="Q79" s="26" t="n"/>
      <c r="R79" s="26" t="n"/>
      <c r="S79" s="26" t="n"/>
      <c r="T79" s="26" t="n"/>
      <c r="U79" s="26" t="n"/>
      <c r="V79" s="26" t="n"/>
      <c r="W79" s="26" t="n"/>
      <c r="X79" s="26" t="n"/>
      <c r="Y79" s="26" t="n"/>
      <c r="Z79" s="26" t="n"/>
      <c r="AA79" s="3322" t="n"/>
      <c r="AB79" s="4225" t="n"/>
      <c r="AC79" s="4205" t="n"/>
      <c r="AD79" s="26" t="n"/>
      <c r="AE79" s="26" t="n"/>
      <c r="AF79" s="26" t="n"/>
      <c r="AG79" s="26" t="n"/>
      <c r="AH79" s="26" t="n"/>
      <c r="AI79" s="26" t="n"/>
      <c r="AJ79" s="26" t="n"/>
      <c r="AK79" s="26" t="n"/>
      <c r="AL79" s="26" t="n"/>
      <c r="AM79" s="26" t="n"/>
      <c r="AN79" s="26" t="n"/>
      <c r="AO79" s="26" t="n"/>
      <c r="AP79" s="26" t="n"/>
      <c r="AQ79" s="26" t="n"/>
      <c r="AR79" s="27" t="n"/>
    </row>
    <row r="80" s="3154" customFormat="1" ht="15" customHeight="1">
      <c r="A80" s="627" t="n"/>
      <c r="B80" s="26" t="n"/>
      <c r="C80" s="26" t="n"/>
      <c r="D80" s="26" t="n"/>
      <c r="E80" s="26" t="n"/>
      <c r="F80" s="26" t="n"/>
      <c r="G80" s="26" t="n"/>
      <c r="H80" s="26" t="n"/>
      <c r="I80" s="26" t="n"/>
      <c r="J80" s="26" t="n"/>
      <c r="K80" s="26" t="n"/>
      <c r="L80" s="26" t="n"/>
      <c r="M80" s="26" t="n"/>
      <c r="N80" s="26" t="n"/>
      <c r="O80" s="26" t="n"/>
      <c r="P80" s="26" t="n"/>
      <c r="Q80" s="26" t="n"/>
      <c r="R80" s="26" t="n"/>
      <c r="S80" s="26" t="n"/>
      <c r="T80" s="26" t="n"/>
      <c r="U80" s="26" t="n"/>
      <c r="V80" s="26" t="n"/>
      <c r="W80" s="26" t="n"/>
      <c r="X80" s="26" t="n"/>
      <c r="Y80" s="26" t="n"/>
      <c r="Z80" s="2655" t="inlineStr">
        <is>
          <t xml:space="preserve">SOFT COSTS</t>
        </is>
      </c>
      <c r="AA80" s="2660" t="n"/>
      <c r="AB80" s="2660" t="n"/>
      <c r="AC80" s="4205" t="n"/>
      <c r="AD80" s="26" t="n"/>
      <c r="AE80" s="26" t="n"/>
      <c r="AF80" s="26" t="n"/>
      <c r="AG80" s="26" t="n"/>
      <c r="AH80" s="26" t="n"/>
      <c r="AI80" s="26" t="n"/>
      <c r="AJ80" s="26" t="n"/>
      <c r="AK80" s="26" t="n"/>
      <c r="AL80" s="26" t="n"/>
      <c r="AM80" s="26" t="n"/>
      <c r="AN80" s="26" t="n"/>
      <c r="AO80" s="26" t="n"/>
      <c r="AP80" s="26" t="n"/>
      <c r="AQ80" s="26" t="n"/>
      <c r="AR80" s="27" t="n"/>
    </row>
    <row r="81" s="3154" customFormat="1" ht="15.75" customHeight="1">
      <c r="A81" s="627" t="n"/>
      <c r="B81" s="26" t="n"/>
      <c r="C81" s="26" t="n"/>
      <c r="D81" s="26" t="n"/>
      <c r="E81" s="26" t="n"/>
      <c r="F81" s="26" t="n"/>
      <c r="G81" s="26" t="n"/>
      <c r="H81" s="26" t="n"/>
      <c r="I81" s="26" t="n"/>
      <c r="J81" s="26" t="n"/>
      <c r="K81" s="26" t="n"/>
      <c r="L81" s="26" t="n"/>
      <c r="M81" s="26" t="n"/>
      <c r="N81" s="26" t="n"/>
      <c r="O81" s="26" t="n"/>
      <c r="P81" s="26" t="n"/>
      <c r="Q81" s="26" t="n"/>
      <c r="R81" s="26" t="n"/>
      <c r="S81" s="26" t="n"/>
      <c r="T81" s="26" t="n"/>
      <c r="U81" s="26" t="n"/>
      <c r="V81" s="26" t="n"/>
      <c r="W81" s="26" t="n"/>
      <c r="X81" s="26" t="n"/>
      <c r="Y81" s="26" t="n"/>
      <c r="Z81" s="429" t="inlineStr">
        <is>
          <t xml:space="preserve">Architecture &amp; Engineering</t>
        </is>
      </c>
      <c r="AA81" s="4223" t="n">
        <f t="array" ref="AA81">AB81/$J$34</f>
        <v>1528.5416666666667</v>
      </c>
      <c r="AB81" s="4223" t="n">
        <f t="array" ref="AB81">'Cost Detail'!C57</f>
        <v>183425</v>
      </c>
      <c r="AC81" s="4205" t="n"/>
      <c r="AD81" s="4205" t="n"/>
      <c r="AE81" s="4205" t="n"/>
      <c r="AF81" s="4205" t="n"/>
      <c r="AG81" s="4205" t="n"/>
      <c r="AH81" s="4205" t="n"/>
      <c r="AI81" s="4205" t="n"/>
      <c r="AJ81" s="4205" t="n"/>
      <c r="AK81" s="26" t="n"/>
      <c r="AL81" s="26" t="n"/>
      <c r="AM81" s="26" t="n"/>
      <c r="AN81" s="26" t="n"/>
      <c r="AO81" s="26" t="n"/>
      <c r="AP81" s="26" t="n"/>
      <c r="AQ81" s="26" t="n"/>
      <c r="AR81" s="27" t="n"/>
    </row>
    <row r="82" s="3154" customFormat="1" ht="15" customHeight="1">
      <c r="A82" s="627" t="n"/>
      <c r="B82" s="26" t="n"/>
      <c r="C82" s="26" t="n"/>
      <c r="D82" s="26" t="n"/>
      <c r="E82" s="26" t="n"/>
      <c r="F82" s="26" t="n"/>
      <c r="G82" s="26" t="n"/>
      <c r="H82" s="26" t="n"/>
      <c r="I82" s="26" t="n"/>
      <c r="J82" s="26" t="n"/>
      <c r="K82" s="26" t="n"/>
      <c r="L82" s="26" t="n"/>
      <c r="M82" s="26" t="n"/>
      <c r="N82" s="26" t="n"/>
      <c r="O82" s="26" t="n"/>
      <c r="P82" s="26" t="n"/>
      <c r="Q82" s="26" t="n"/>
      <c r="R82" s="26" t="n"/>
      <c r="S82" s="26" t="n"/>
      <c r="T82" s="26" t="n"/>
      <c r="U82" s="26" t="n"/>
      <c r="V82" s="26" t="n"/>
      <c r="W82" s="26" t="n"/>
      <c r="X82" s="26" t="n"/>
      <c r="Y82" s="26" t="n"/>
      <c r="Z82" s="429" t="inlineStr">
        <is>
          <t xml:space="preserve">Marketing and Leasing</t>
        </is>
      </c>
      <c r="AA82" s="2661" t="n">
        <f t="array" ref="AA82">AB82/$J$34</f>
        <v>1625</v>
      </c>
      <c r="AB82" s="2661" t="n">
        <f t="array" ref="AB82">'Cost Detail'!C67</f>
        <v>195000</v>
      </c>
      <c r="AC82" s="4205" t="n"/>
      <c r="AD82" s="4205" t="n"/>
      <c r="AE82" s="4205" t="n"/>
      <c r="AF82" s="4205" t="n"/>
      <c r="AG82" s="4205" t="n"/>
      <c r="AH82" s="4205" t="n"/>
      <c r="AI82" s="4205" t="n"/>
      <c r="AJ82" s="4205" t="n"/>
      <c r="AK82" s="26" t="n"/>
      <c r="AL82" s="26" t="n"/>
      <c r="AM82" s="26" t="n"/>
      <c r="AN82" s="26" t="n"/>
      <c r="AO82" s="26" t="n"/>
      <c r="AP82" s="26" t="n"/>
      <c r="AQ82" s="26" t="n"/>
      <c r="AR82" s="27" t="n"/>
    </row>
    <row r="83" s="3154" customFormat="1" ht="15" customHeight="1">
      <c r="A83" s="627" t="n"/>
      <c r="B83" s="26" t="n"/>
      <c r="C83" s="26" t="n"/>
      <c r="D83" s="26" t="n"/>
      <c r="E83" s="26" t="n"/>
      <c r="F83" s="26" t="n"/>
      <c r="G83" s="26" t="n"/>
      <c r="H83" s="26" t="n"/>
      <c r="I83" s="26" t="n"/>
      <c r="J83" s="26" t="n"/>
      <c r="K83" s="26" t="n"/>
      <c r="L83" s="26" t="n"/>
      <c r="M83" s="26" t="n"/>
      <c r="N83" s="26" t="n"/>
      <c r="O83" s="26" t="n"/>
      <c r="P83" s="26" t="n"/>
      <c r="Q83" s="26" t="n"/>
      <c r="R83" s="26" t="n"/>
      <c r="S83" s="26" t="n"/>
      <c r="T83" s="26" t="n"/>
      <c r="U83" s="26" t="n"/>
      <c r="V83" s="26" t="n"/>
      <c r="W83" s="26" t="n"/>
      <c r="X83" s="26" t="n"/>
      <c r="Y83" s="26" t="n"/>
      <c r="Z83" s="429" t="inlineStr">
        <is>
          <t xml:space="preserve">Permits &amp; Fees</t>
        </is>
      </c>
      <c r="AA83" s="2661" t="n">
        <f t="array" ref="AA83">AB83/$J$34</f>
        <v>711.3949903441783</v>
      </c>
      <c r="AB83" s="2661" t="n">
        <f t="array" ref="AB83">'Cost Detail'!C123</f>
        <v>85367.39884130139</v>
      </c>
      <c r="AC83" s="4205" t="n"/>
      <c r="AD83" s="4205" t="n"/>
      <c r="AE83" s="4205" t="n"/>
      <c r="AF83" s="4205" t="n"/>
      <c r="AG83" s="4205" t="n"/>
      <c r="AH83" s="4205" t="n"/>
      <c r="AI83" s="4205" t="n"/>
      <c r="AJ83" s="4205" t="n"/>
      <c r="AK83" s="26" t="n"/>
      <c r="AL83" s="26" t="n"/>
      <c r="AM83" s="26" t="n"/>
      <c r="AN83" s="26" t="n"/>
      <c r="AO83" s="26" t="n"/>
      <c r="AP83" s="26" t="n"/>
      <c r="AQ83" s="26" t="n"/>
      <c r="AR83" s="27" t="n"/>
    </row>
    <row r="84" s="3154" customFormat="1" ht="15" customHeight="1">
      <c r="A84" s="627" t="n"/>
      <c r="B84" s="26" t="n"/>
      <c r="C84" s="26" t="n"/>
      <c r="D84" s="26" t="n"/>
      <c r="E84" s="26" t="n"/>
      <c r="F84" s="26" t="n"/>
      <c r="G84" s="26" t="n"/>
      <c r="H84" s="26" t="n"/>
      <c r="I84" s="26" t="n"/>
      <c r="J84" s="26" t="n"/>
      <c r="K84" s="26" t="n"/>
      <c r="L84" s="26" t="n"/>
      <c r="M84" s="26" t="n"/>
      <c r="N84" s="26" t="n"/>
      <c r="O84" s="26" t="n"/>
      <c r="P84" s="26" t="n"/>
      <c r="Q84" s="26" t="n"/>
      <c r="R84" s="26" t="n"/>
      <c r="S84" s="26" t="n"/>
      <c r="T84" s="26" t="n"/>
      <c r="U84" s="26" t="n"/>
      <c r="V84" s="26" t="n"/>
      <c r="W84" s="26" t="n"/>
      <c r="X84" s="26" t="n"/>
      <c r="Y84" s="26" t="n"/>
      <c r="Z84" s="429" t="inlineStr">
        <is>
          <t xml:space="preserve">Testing &amp; Inspections</t>
        </is>
      </c>
      <c r="AA84" s="2661" t="n">
        <f t="array" ref="AA84">AB84/$J$34</f>
        <v>66.66666666666667</v>
      </c>
      <c r="AB84" s="2661" t="n">
        <f t="array" ref="AB84">'Cost Detail'!C132</f>
        <v>8000</v>
      </c>
      <c r="AC84" s="4205" t="n"/>
      <c r="AD84" s="4205" t="n"/>
      <c r="AE84" s="4205" t="n"/>
      <c r="AF84" s="4205" t="n"/>
      <c r="AG84" s="4205" t="n"/>
      <c r="AH84" s="4205" t="n"/>
      <c r="AI84" s="4205" t="n"/>
      <c r="AJ84" s="4205" t="n"/>
      <c r="AK84" s="26" t="n"/>
      <c r="AL84" s="26" t="n"/>
      <c r="AM84" s="26" t="n"/>
      <c r="AN84" s="26" t="n"/>
      <c r="AO84" s="26" t="n"/>
      <c r="AP84" s="26" t="n"/>
      <c r="AQ84" s="26" t="n"/>
      <c r="AR84" s="27" t="n"/>
    </row>
    <row r="85" s="3154" customFormat="1" ht="15" customHeight="1">
      <c r="A85" s="627" t="n"/>
      <c r="B85" s="26" t="n"/>
      <c r="C85" s="26" t="n"/>
      <c r="D85" s="26" t="n"/>
      <c r="E85" s="26" t="n"/>
      <c r="F85" s="26" t="n"/>
      <c r="G85" s="26" t="n"/>
      <c r="H85" s="26" t="n"/>
      <c r="I85" s="26" t="n"/>
      <c r="J85" s="26" t="n"/>
      <c r="K85" s="26" t="n"/>
      <c r="L85" s="26" t="n"/>
      <c r="M85" s="26" t="n"/>
      <c r="N85" s="26" t="n"/>
      <c r="O85" s="26" t="n"/>
      <c r="P85" s="26" t="n"/>
      <c r="Q85" s="26" t="n"/>
      <c r="R85" s="26" t="n"/>
      <c r="S85" s="26" t="n"/>
      <c r="T85" s="26" t="n"/>
      <c r="U85" s="26" t="n"/>
      <c r="V85" s="26" t="n"/>
      <c r="W85" s="26" t="n"/>
      <c r="X85" s="26" t="n"/>
      <c r="Y85" s="26" t="n"/>
      <c r="Z85" s="429" t="inlineStr">
        <is>
          <t xml:space="preserve">Other Soft Costs</t>
        </is>
      </c>
      <c r="AA85" s="2661" t="n">
        <f t="array" ref="AA85">AB85/$J$34</f>
        <v>748.4761099853026</v>
      </c>
      <c r="AB85" s="2661" t="n">
        <f t="array" ref="AB85">'Cost Detail'!C141-AB86</f>
        <v>89817.13319823632</v>
      </c>
      <c r="AC85" s="4205" t="n"/>
      <c r="AD85" s="4205" t="n"/>
      <c r="AE85" s="4205" t="n"/>
      <c r="AF85" s="4205" t="n"/>
      <c r="AG85" s="4205" t="n"/>
      <c r="AH85" s="4205" t="n"/>
      <c r="AI85" s="4205" t="n"/>
      <c r="AJ85" s="4205" t="n"/>
      <c r="AK85" s="26" t="n"/>
      <c r="AL85" s="26" t="n"/>
      <c r="AM85" s="26" t="n"/>
      <c r="AN85" s="26" t="n"/>
      <c r="AO85" s="26" t="n"/>
      <c r="AP85" s="26" t="n"/>
      <c r="AQ85" s="26" t="n"/>
      <c r="AR85" s="27" t="n"/>
    </row>
    <row r="86" s="3154" customFormat="1" ht="15" customHeight="1">
      <c r="A86" s="627" t="n"/>
      <c r="B86" s="26" t="n"/>
      <c r="C86" s="26" t="n"/>
      <c r="D86" s="26" t="n"/>
      <c r="E86" s="26" t="n"/>
      <c r="F86" s="26" t="n"/>
      <c r="G86" s="26" t="n"/>
      <c r="H86" s="26" t="n"/>
      <c r="I86" s="26" t="n"/>
      <c r="J86" s="26" t="n"/>
      <c r="K86" s="26" t="n"/>
      <c r="L86" s="26" t="n"/>
      <c r="M86" s="26" t="n"/>
      <c r="N86" s="26" t="n"/>
      <c r="O86" s="26" t="n"/>
      <c r="P86" s="26" t="n"/>
      <c r="Q86" s="26" t="n"/>
      <c r="R86" s="26" t="n"/>
      <c r="S86" s="26" t="n"/>
      <c r="T86" s="26" t="n"/>
      <c r="U86" s="26" t="n"/>
      <c r="V86" s="26" t="n"/>
      <c r="W86" s="26" t="n"/>
      <c r="X86" s="26" t="n"/>
      <c r="Y86" s="26" t="n"/>
      <c r="Z86" s="429" t="inlineStr">
        <is>
          <t xml:space="preserve">Construction Management</t>
        </is>
      </c>
      <c r="AA86" s="2661" t="n">
        <f t="array" ref="AA86">AB86/$J$34</f>
        <v>500</v>
      </c>
      <c r="AB86" s="2661" t="n">
        <f t="array" ref="AB86">'Cost Detail'!C139</f>
        <v>60000</v>
      </c>
      <c r="AC86" s="4205" t="n"/>
      <c r="AD86" s="4205" t="n"/>
      <c r="AE86" s="4205" t="n"/>
      <c r="AF86" s="4205" t="n"/>
      <c r="AG86" s="4205" t="n"/>
      <c r="AH86" s="4205" t="n"/>
      <c r="AI86" s="4205" t="n"/>
      <c r="AJ86" s="4205" t="n"/>
      <c r="AK86" s="26" t="n"/>
      <c r="AL86" s="26" t="n"/>
      <c r="AM86" s="26" t="n"/>
      <c r="AN86" s="26" t="n"/>
      <c r="AO86" s="26" t="n"/>
      <c r="AP86" s="26" t="n"/>
      <c r="AQ86" s="26" t="n"/>
      <c r="AR86" s="27" t="n"/>
    </row>
    <row r="87" s="3154" customFormat="1" ht="15" customHeight="1">
      <c r="A87" s="627" t="n"/>
      <c r="B87" s="26" t="n"/>
      <c r="C87" s="26" t="n"/>
      <c r="D87" s="26" t="n"/>
      <c r="E87" s="26" t="n"/>
      <c r="F87" s="26" t="n"/>
      <c r="G87" s="26" t="n"/>
      <c r="H87" s="26" t="n"/>
      <c r="I87" s="26" t="n"/>
      <c r="J87" s="26" t="n"/>
      <c r="K87" s="26" t="n"/>
      <c r="L87" s="26" t="n"/>
      <c r="M87" s="26" t="n"/>
      <c r="N87" s="26" t="n"/>
      <c r="O87" s="26" t="n"/>
      <c r="P87" s="26" t="n"/>
      <c r="Q87" s="26" t="n"/>
      <c r="R87" s="26" t="n"/>
      <c r="S87" s="26" t="n"/>
      <c r="T87" s="26" t="n"/>
      <c r="U87" s="26" t="n"/>
      <c r="V87" s="26" t="n"/>
      <c r="W87" s="26" t="n"/>
      <c r="X87" s="26" t="n"/>
      <c r="Y87" s="26" t="n"/>
      <c r="Z87" s="429" t="inlineStr">
        <is>
          <t xml:space="preserve">Planning (Legal, Survey, Etc.)</t>
        </is>
      </c>
      <c r="AA87" s="2661" t="n">
        <f t="array" ref="AA87">AB87/$J$34</f>
        <v>375</v>
      </c>
      <c r="AB87" s="2661" t="n">
        <f t="array" ref="AB87">SUM('Cost Detail'!C19:C23)</f>
        <v>45000</v>
      </c>
      <c r="AC87" s="4205" t="n"/>
      <c r="AD87" s="4205" t="n"/>
      <c r="AE87" s="4205" t="n"/>
      <c r="AF87" s="4205" t="n"/>
      <c r="AG87" s="4205" t="n"/>
      <c r="AH87" s="4205" t="n"/>
      <c r="AI87" s="4205" t="n"/>
      <c r="AJ87" s="4205" t="n"/>
      <c r="AK87" s="26" t="n"/>
      <c r="AL87" s="26" t="n"/>
      <c r="AM87" s="26" t="n"/>
      <c r="AN87" s="26" t="n"/>
      <c r="AO87" s="26" t="n"/>
      <c r="AP87" s="26" t="n"/>
      <c r="AQ87" s="26" t="n"/>
      <c r="AR87" s="27" t="n"/>
    </row>
    <row r="88" s="3154" customFormat="1" ht="15" customHeight="1">
      <c r="A88" s="627" t="n"/>
      <c r="B88" s="26" t="n"/>
      <c r="C88" s="26" t="n"/>
      <c r="D88" s="26" t="n"/>
      <c r="E88" s="26" t="n"/>
      <c r="F88" s="26" t="n"/>
      <c r="G88" s="26" t="n"/>
      <c r="H88" s="26" t="n"/>
      <c r="I88" s="26" t="n"/>
      <c r="J88" s="26" t="n"/>
      <c r="K88" s="26" t="n"/>
      <c r="L88" s="26" t="n"/>
      <c r="M88" s="26" t="n"/>
      <c r="N88" s="26" t="n"/>
      <c r="O88" s="26" t="n"/>
      <c r="P88" s="26" t="n"/>
      <c r="Q88" s="26" t="n"/>
      <c r="R88" s="26" t="n"/>
      <c r="S88" s="26" t="n"/>
      <c r="T88" s="26" t="n"/>
      <c r="U88" s="26" t="n"/>
      <c r="V88" s="26" t="n"/>
      <c r="W88" s="26" t="n"/>
      <c r="X88" s="26" t="n"/>
      <c r="Y88" s="26" t="n"/>
      <c r="Z88" s="429" t="inlineStr">
        <is>
          <t xml:space="preserve">FF&amp;E &amp; OS&amp;E</t>
        </is>
      </c>
      <c r="AA88" s="2661" t="n">
        <f t="array" ref="AA88">AB88/$J$34</f>
        <v>2396.964712078125</v>
      </c>
      <c r="AB88" s="2661" t="n">
        <f t="array" ref="AB88">'Cost Detail'!C175</f>
        <v>287635.76544937503</v>
      </c>
      <c r="AC88" s="4205" t="n"/>
      <c r="AD88" s="4205" t="n"/>
      <c r="AE88" s="4205" t="n"/>
      <c r="AF88" s="4205" t="n"/>
      <c r="AG88" s="4205" t="n"/>
      <c r="AH88" s="4205" t="n"/>
      <c r="AI88" s="4205" t="n"/>
      <c r="AJ88" s="4205" t="n"/>
      <c r="AK88" s="26" t="n"/>
      <c r="AL88" s="26" t="n"/>
      <c r="AM88" s="26" t="n"/>
      <c r="AN88" s="26" t="n"/>
      <c r="AO88" s="26" t="n"/>
      <c r="AP88" s="26" t="n"/>
      <c r="AQ88" s="26" t="n"/>
      <c r="AR88" s="27" t="n"/>
    </row>
    <row r="89" s="3154" customFormat="1" ht="15" customHeight="1">
      <c r="A89" s="627" t="n"/>
      <c r="B89" s="26" t="n"/>
      <c r="C89" s="26" t="n"/>
      <c r="D89" s="26" t="n"/>
      <c r="E89" s="26" t="n"/>
      <c r="F89" s="26" t="n"/>
      <c r="G89" s="26" t="n"/>
      <c r="H89" s="26" t="n"/>
      <c r="I89" s="26" t="n"/>
      <c r="J89" s="26" t="n"/>
      <c r="K89" s="26" t="n"/>
      <c r="L89" s="26" t="n"/>
      <c r="M89" s="26" t="n"/>
      <c r="N89" s="26" t="n"/>
      <c r="O89" s="26" t="n"/>
      <c r="P89" s="26" t="n"/>
      <c r="Q89" s="26" t="n"/>
      <c r="R89" s="26" t="n"/>
      <c r="S89" s="26" t="n"/>
      <c r="T89" s="26" t="n"/>
      <c r="U89" s="26" t="n"/>
      <c r="V89" s="26" t="n"/>
      <c r="W89" s="26" t="n"/>
      <c r="X89" s="26" t="n"/>
      <c r="Y89" s="26" t="n"/>
      <c r="Z89" s="429" t="inlineStr">
        <is>
          <t xml:space="preserve">Development Fee</t>
        </is>
      </c>
      <c r="AA89" s="2657" t="n">
        <f t="array" ref="AA89">AB89/$J$34</f>
        <v>625</v>
      </c>
      <c r="AB89" s="2657" t="n">
        <f t="array" ref="AB89">'Cost Detail'!C24</f>
        <v>75000</v>
      </c>
      <c r="AC89" s="4205" t="n"/>
      <c r="AD89" s="4205" t="n"/>
      <c r="AE89" s="4205" t="n"/>
      <c r="AF89" s="4205" t="n"/>
      <c r="AG89" s="4205" t="n"/>
      <c r="AH89" s="4205" t="n"/>
      <c r="AI89" s="4205" t="n"/>
      <c r="AJ89" s="4205" t="n"/>
      <c r="AK89" s="26" t="n"/>
      <c r="AL89" s="26" t="n"/>
      <c r="AM89" s="26" t="n"/>
      <c r="AN89" s="26" t="n"/>
      <c r="AO89" s="26" t="n"/>
      <c r="AP89" s="26" t="n"/>
      <c r="AQ89" s="26" t="n"/>
      <c r="AR89" s="27" t="n"/>
    </row>
    <row r="90" s="3154" customFormat="1" ht="15" customHeight="1">
      <c r="A90" s="627" t="n"/>
      <c r="B90" s="26" t="n"/>
      <c r="C90" s="26" t="n"/>
      <c r="D90" s="26" t="n"/>
      <c r="E90" s="26" t="n"/>
      <c r="F90" s="26" t="n"/>
      <c r="G90" s="26" t="n"/>
      <c r="H90" s="26" t="n"/>
      <c r="I90" s="26" t="n"/>
      <c r="J90" s="26" t="n"/>
      <c r="K90" s="26" t="n"/>
      <c r="L90" s="26" t="n"/>
      <c r="M90" s="26" t="n"/>
      <c r="N90" s="26" t="n"/>
      <c r="O90" s="26" t="n"/>
      <c r="P90" s="26" t="n"/>
      <c r="Q90" s="26" t="n"/>
      <c r="R90" s="26" t="n"/>
      <c r="S90" s="26" t="n"/>
      <c r="T90" s="26" t="n"/>
      <c r="U90" s="26" t="n"/>
      <c r="V90" s="26" t="n"/>
      <c r="W90" s="26" t="n"/>
      <c r="X90" s="26" t="n"/>
      <c r="Y90" s="26" t="n"/>
      <c r="Z90" s="2609" t="inlineStr">
        <is>
          <t xml:space="preserve">Total Soft Costs</t>
        </is>
      </c>
      <c r="AA90" s="4224" t="n">
        <f t="array" ref="AA90">AB90/$J$34</f>
        <v>8577.04414574094</v>
      </c>
      <c r="AB90" s="4224" t="n">
        <f t="array" ref="AB90">SUM(AB81:AB89)</f>
        <v>1029245.2974889127</v>
      </c>
      <c r="AC90" s="4205" t="n"/>
      <c r="AD90" s="4205" t="n"/>
      <c r="AE90" s="4205" t="n"/>
      <c r="AF90" s="4205" t="n"/>
      <c r="AG90" s="4205" t="n"/>
      <c r="AH90" s="4205" t="n"/>
      <c r="AI90" s="4205" t="n"/>
      <c r="AJ90" s="4205" t="n"/>
      <c r="AK90" s="26" t="n"/>
      <c r="AL90" s="26" t="n"/>
      <c r="AM90" s="26" t="n"/>
      <c r="AN90" s="26" t="n"/>
      <c r="AO90" s="26" t="n"/>
      <c r="AP90" s="26" t="n"/>
      <c r="AQ90" s="26" t="n"/>
      <c r="AR90" s="27" t="n"/>
    </row>
    <row r="91" s="3154" customFormat="1" ht="8" hidden="1" customHeight="1">
      <c r="A91" s="627" t="n"/>
      <c r="B91" s="26" t="n"/>
      <c r="C91" s="26" t="n"/>
      <c r="D91" s="26" t="n"/>
      <c r="E91" s="26" t="n"/>
      <c r="F91" s="26" t="n"/>
      <c r="G91" s="26" t="n"/>
      <c r="H91" s="26" t="n"/>
      <c r="I91" s="26" t="n"/>
      <c r="J91" s="26" t="n"/>
      <c r="K91" s="26" t="n"/>
      <c r="L91" s="26" t="n"/>
      <c r="M91" s="26" t="n"/>
      <c r="N91" s="26" t="n"/>
      <c r="O91" s="26" t="n"/>
      <c r="P91" s="26" t="n"/>
      <c r="Q91" s="26" t="n"/>
      <c r="R91" s="26" t="n"/>
      <c r="S91" s="26" t="n"/>
      <c r="T91" s="26" t="n"/>
      <c r="U91" s="26" t="n"/>
      <c r="V91" s="26" t="n"/>
      <c r="W91" s="26" t="n"/>
      <c r="X91" s="26" t="n"/>
      <c r="Y91" s="26" t="n"/>
      <c r="Z91" s="26" t="n"/>
      <c r="AA91" s="3322" t="n"/>
      <c r="AB91" s="4225" t="n"/>
      <c r="AC91" s="4205" t="n"/>
      <c r="AD91" s="4205" t="n"/>
      <c r="AE91" s="4205" t="n"/>
      <c r="AF91" s="4205" t="n"/>
      <c r="AG91" s="4205" t="n"/>
      <c r="AH91" s="4205" t="n"/>
      <c r="AI91" s="4205" t="n"/>
      <c r="AJ91" s="4205" t="n"/>
      <c r="AK91" s="26" t="n"/>
      <c r="AL91" s="26" t="n"/>
      <c r="AM91" s="26" t="n"/>
      <c r="AN91" s="26" t="n"/>
      <c r="AO91" s="26" t="n"/>
      <c r="AP91" s="26" t="n"/>
      <c r="AQ91" s="26" t="n"/>
      <c r="AR91" s="27" t="n"/>
    </row>
    <row r="92" s="3154" customFormat="1" ht="15" hidden="1" customHeight="1">
      <c r="A92" s="627" t="n"/>
      <c r="B92" s="26" t="n"/>
      <c r="C92" s="26" t="n"/>
      <c r="D92" s="26" t="n"/>
      <c r="E92" s="26" t="n"/>
      <c r="F92" s="26" t="n"/>
      <c r="G92" s="26" t="n"/>
      <c r="H92" s="26" t="n"/>
      <c r="I92" s="26" t="n"/>
      <c r="J92" s="26" t="n"/>
      <c r="K92" s="26" t="n"/>
      <c r="L92" s="26" t="n"/>
      <c r="M92" s="26" t="n"/>
      <c r="N92" s="26" t="n"/>
      <c r="O92" s="26" t="n"/>
      <c r="P92" s="26" t="n"/>
      <c r="Q92" s="26" t="n"/>
      <c r="R92" s="26" t="n"/>
      <c r="S92" s="26" t="n"/>
      <c r="T92" s="26" t="n"/>
      <c r="U92" s="26" t="n"/>
      <c r="V92" s="26" t="n"/>
      <c r="W92" s="26" t="n"/>
      <c r="X92" s="26" t="n"/>
      <c r="Y92" s="26" t="n"/>
      <c r="Z92" s="2609" t="inlineStr">
        <is>
          <t xml:space="preserve">Total Project Cost b/f Financing</t>
        </is>
      </c>
      <c r="AA92" s="3322" t="n">
        <f t="array" ref="AA92">AB92/$J$34</f>
        <v>53587.631245056014</v>
      </c>
      <c r="AB92" s="4043" t="n">
        <f t="array" ref="AB92">AB73+AB78+AB90</f>
        <v>6430515.749406721</v>
      </c>
      <c r="AC92" s="4205" t="n"/>
      <c r="AD92" s="4205" t="n"/>
      <c r="AE92" s="4205" t="n"/>
      <c r="AF92" s="4205" t="n"/>
      <c r="AG92" s="4205" t="n"/>
      <c r="AH92" s="4205" t="n"/>
      <c r="AI92" s="4205" t="n"/>
      <c r="AJ92" s="4205" t="n"/>
      <c r="AK92" s="26" t="n"/>
      <c r="AL92" s="26" t="n"/>
      <c r="AM92" s="26" t="n"/>
      <c r="AN92" s="26" t="n"/>
      <c r="AO92" s="26" t="n"/>
      <c r="AP92" s="26" t="n"/>
      <c r="AQ92" s="26" t="n"/>
      <c r="AR92" s="27" t="n"/>
    </row>
    <row r="93" s="3154" customFormat="1" ht="8" customHeight="1">
      <c r="A93" s="627" t="n"/>
      <c r="B93" s="26" t="n"/>
      <c r="C93" s="26" t="n"/>
      <c r="D93" s="26" t="n"/>
      <c r="E93" s="26" t="n"/>
      <c r="F93" s="26" t="n"/>
      <c r="G93" s="26" t="n"/>
      <c r="H93" s="26" t="n"/>
      <c r="I93" s="26" t="n"/>
      <c r="J93" s="26" t="n"/>
      <c r="K93" s="26" t="n"/>
      <c r="L93" s="26" t="n"/>
      <c r="M93" s="26" t="n"/>
      <c r="N93" s="26" t="n"/>
      <c r="O93" s="26" t="n"/>
      <c r="P93" s="26" t="n"/>
      <c r="Q93" s="26" t="n"/>
      <c r="R93" s="26" t="n"/>
      <c r="S93" s="26" t="n"/>
      <c r="T93" s="26" t="n"/>
      <c r="U93" s="26" t="n"/>
      <c r="V93" s="26" t="n"/>
      <c r="W93" s="26" t="n"/>
      <c r="X93" s="26" t="n"/>
      <c r="Y93" s="26" t="n"/>
      <c r="Z93" s="26" t="n"/>
      <c r="AA93" s="3322" t="n"/>
      <c r="AB93" s="4225" t="n"/>
      <c r="AC93" s="4205" t="n"/>
      <c r="AD93" s="4205" t="n"/>
      <c r="AE93" s="4205" t="n"/>
      <c r="AF93" s="4205" t="n"/>
      <c r="AG93" s="4205" t="n"/>
      <c r="AH93" s="4205" t="n"/>
      <c r="AI93" s="4205" t="n"/>
      <c r="AJ93" s="4205" t="n"/>
      <c r="AK93" s="26" t="n"/>
      <c r="AL93" s="26" t="n"/>
      <c r="AM93" s="26" t="n"/>
      <c r="AN93" s="26" t="n"/>
      <c r="AO93" s="26" t="n"/>
      <c r="AP93" s="26" t="n"/>
      <c r="AQ93" s="26" t="n"/>
      <c r="AR93" s="27" t="n"/>
    </row>
    <row r="94" s="3154" customFormat="1" ht="15" customHeight="1">
      <c r="A94" s="627" t="n"/>
      <c r="B94" s="26" t="n"/>
      <c r="C94" s="26" t="n"/>
      <c r="D94" s="26" t="n"/>
      <c r="E94" s="26" t="n"/>
      <c r="F94" s="26" t="n"/>
      <c r="G94" s="26" t="n"/>
      <c r="H94" s="26" t="n"/>
      <c r="I94" s="26" t="n"/>
      <c r="J94" s="26" t="n"/>
      <c r="K94" s="26" t="n"/>
      <c r="L94" s="26" t="n"/>
      <c r="M94" s="26" t="n"/>
      <c r="N94" s="26" t="n"/>
      <c r="O94" s="26" t="n"/>
      <c r="P94" s="26" t="n"/>
      <c r="Q94" s="26" t="n"/>
      <c r="R94" s="26" t="n"/>
      <c r="S94" s="26" t="n"/>
      <c r="T94" s="26" t="n"/>
      <c r="U94" s="26" t="n"/>
      <c r="V94" s="26" t="n"/>
      <c r="W94" s="26" t="n"/>
      <c r="X94" s="26" t="n"/>
      <c r="Y94" s="26" t="n"/>
      <c r="Z94" s="2655" t="inlineStr">
        <is>
          <t xml:space="preserve">FINANCING COSTS</t>
        </is>
      </c>
      <c r="AA94" s="2660" t="n"/>
      <c r="AB94" s="2660" t="n"/>
      <c r="AC94" s="4205" t="n"/>
      <c r="AD94" s="4205" t="n"/>
      <c r="AE94" s="4205" t="n"/>
      <c r="AF94" s="4205" t="n"/>
      <c r="AG94" s="4205" t="n"/>
      <c r="AH94" s="4205" t="n"/>
      <c r="AI94" s="4205" t="n"/>
      <c r="AJ94" s="4205" t="n"/>
      <c r="AK94" s="26" t="n"/>
      <c r="AL94" s="26" t="n"/>
      <c r="AM94" s="26" t="n"/>
      <c r="AN94" s="26" t="n"/>
      <c r="AO94" s="26" t="n"/>
      <c r="AP94" s="26" t="n"/>
      <c r="AQ94" s="26" t="n"/>
      <c r="AR94" s="27" t="n"/>
    </row>
    <row r="95" s="3154" customFormat="1" ht="15" customHeight="1">
      <c r="A95" s="627" t="n"/>
      <c r="B95" s="26" t="n"/>
      <c r="C95" s="26" t="n"/>
      <c r="D95" s="26" t="n"/>
      <c r="E95" s="26" t="n"/>
      <c r="F95" s="26" t="n"/>
      <c r="G95" s="26" t="n"/>
      <c r="H95" s="26" t="n"/>
      <c r="I95" s="26" t="n"/>
      <c r="J95" s="26" t="n"/>
      <c r="K95" s="26" t="n"/>
      <c r="L95" s="26" t="n"/>
      <c r="M95" s="26" t="n"/>
      <c r="N95" s="26" t="n"/>
      <c r="O95" s="26" t="n"/>
      <c r="P95" s="26" t="n"/>
      <c r="Q95" s="26" t="n"/>
      <c r="R95" s="26" t="n"/>
      <c r="S95" s="26" t="n"/>
      <c r="T95" s="26" t="n"/>
      <c r="U95" s="26" t="n"/>
      <c r="V95" s="26" t="n"/>
      <c r="W95" s="26" t="n"/>
      <c r="X95" s="26" t="n"/>
      <c r="Y95" s="26" t="n"/>
      <c r="Z95" s="429" t="inlineStr">
        <is>
          <t xml:space="preserve">Financing - Fees &amp; Closing Costs</t>
        </is>
      </c>
      <c r="AA95" s="2661" t="n">
        <f t="array" ref="AA95">AB95/$J$34</f>
        <v>1775</v>
      </c>
      <c r="AB95" s="2661" t="n">
        <f t="array" ref="AB95">SUM('Cost Detail'!C71:C79)</f>
        <v>213000</v>
      </c>
      <c r="AC95" s="4205" t="n"/>
      <c r="AD95" s="4205" t="n"/>
      <c r="AE95" s="4205" t="n"/>
      <c r="AF95" s="4205" t="n"/>
      <c r="AG95" s="4205" t="n"/>
      <c r="AH95" s="4205" t="n"/>
      <c r="AI95" s="4205" t="n"/>
      <c r="AJ95" s="4205" t="n"/>
      <c r="AK95" s="26" t="n"/>
      <c r="AL95" s="26" t="n"/>
      <c r="AM95" s="26" t="n"/>
      <c r="AN95" s="26" t="n"/>
      <c r="AO95" s="26" t="n"/>
      <c r="AP95" s="26" t="n"/>
      <c r="AQ95" s="26" t="n"/>
      <c r="AR95" s="27" t="n"/>
    </row>
    <row r="96" s="3154" customFormat="1" ht="15" customHeight="1">
      <c r="A96" s="627" t="n"/>
      <c r="B96" s="26" t="n"/>
      <c r="C96" s="26" t="n"/>
      <c r="D96" s="26" t="n"/>
      <c r="E96" s="26" t="n"/>
      <c r="F96" s="26" t="n"/>
      <c r="G96" s="26" t="n"/>
      <c r="H96" s="26" t="n"/>
      <c r="I96" s="26" t="n"/>
      <c r="J96" s="26" t="n"/>
      <c r="K96" s="26" t="n"/>
      <c r="L96" s="26" t="n"/>
      <c r="M96" s="26" t="n"/>
      <c r="N96" s="26" t="n"/>
      <c r="O96" s="26" t="n"/>
      <c r="P96" s="26" t="n"/>
      <c r="Q96" s="26" t="n"/>
      <c r="R96" s="26" t="n"/>
      <c r="S96" s="26" t="n"/>
      <c r="T96" s="26" t="n"/>
      <c r="U96" s="26" t="n"/>
      <c r="V96" s="26" t="n"/>
      <c r="W96" s="26" t="n"/>
      <c r="X96" s="26" t="n"/>
      <c r="Y96" s="26" t="n"/>
      <c r="Z96" s="429" t="inlineStr">
        <is>
          <t xml:space="preserve">Interest Reserve</t>
        </is>
      </c>
      <c r="AA96" s="2661" t="n">
        <f t="array" ref="AA96">AB96/$J$34</f>
        <v>1875</v>
      </c>
      <c r="AB96" s="2661" t="n">
        <f t="array" ref="AB96">'Cost Detail'!C70</f>
        <v>225000</v>
      </c>
      <c r="AC96" s="4205" t="n"/>
      <c r="AD96" s="4205" t="n"/>
      <c r="AE96" s="4205" t="n"/>
      <c r="AF96" s="4205" t="n"/>
      <c r="AG96" s="4205" t="n"/>
      <c r="AH96" s="4205" t="n"/>
      <c r="AI96" s="4205" t="n"/>
      <c r="AJ96" s="4205" t="n"/>
      <c r="AK96" s="26" t="n"/>
      <c r="AL96" s="26" t="n"/>
      <c r="AM96" s="26" t="n"/>
      <c r="AN96" s="26" t="n"/>
      <c r="AO96" s="26" t="n"/>
      <c r="AP96" s="26" t="n"/>
      <c r="AQ96" s="26" t="n"/>
      <c r="AR96" s="27" t="n"/>
    </row>
    <row r="97" s="3154" customFormat="1" ht="15" customHeight="1">
      <c r="A97" s="627" t="n"/>
      <c r="B97" s="26" t="n"/>
      <c r="C97" s="26" t="n"/>
      <c r="D97" s="26" t="n"/>
      <c r="E97" s="26" t="n"/>
      <c r="F97" s="26" t="n"/>
      <c r="G97" s="26" t="n"/>
      <c r="H97" s="26" t="n"/>
      <c r="I97" s="26" t="n"/>
      <c r="J97" s="26" t="n"/>
      <c r="K97" s="26" t="n"/>
      <c r="L97" s="26" t="n"/>
      <c r="M97" s="26" t="n"/>
      <c r="N97" s="26" t="n"/>
      <c r="O97" s="26" t="n"/>
      <c r="P97" s="26" t="n"/>
      <c r="Q97" s="26" t="n"/>
      <c r="R97" s="26" t="n"/>
      <c r="S97" s="26" t="n"/>
      <c r="T97" s="26" t="n"/>
      <c r="U97" s="26" t="n"/>
      <c r="V97" s="26" t="n"/>
      <c r="W97" s="26" t="n"/>
      <c r="X97" s="26" t="n"/>
      <c r="Y97" s="26" t="n"/>
      <c r="Z97" s="429" t="inlineStr">
        <is>
          <t xml:space="preserve">Operating Shortfall</t>
        </is>
      </c>
      <c r="AA97" s="2657" t="n">
        <f t="array" ref="AA97">AB97/$J$34</f>
        <v>833.3333333333334</v>
      </c>
      <c r="AB97" s="2657" t="n">
        <f t="array" ref="AB97">'Cost Detail'!C80</f>
        <v>100000</v>
      </c>
      <c r="AC97" s="4205" t="n"/>
      <c r="AD97" s="4205" t="n"/>
      <c r="AE97" s="4205" t="n"/>
      <c r="AF97" s="4205" t="n"/>
      <c r="AG97" s="4205" t="n"/>
      <c r="AH97" s="4205" t="n"/>
      <c r="AI97" s="4205" t="n"/>
      <c r="AJ97" s="4205" t="n"/>
      <c r="AK97" s="26" t="n"/>
      <c r="AL97" s="26" t="n"/>
      <c r="AM97" s="26" t="n"/>
      <c r="AN97" s="26" t="n"/>
      <c r="AO97" s="26" t="n"/>
      <c r="AP97" s="26" t="n"/>
      <c r="AQ97" s="26" t="n"/>
      <c r="AR97" s="27" t="n"/>
    </row>
    <row r="98" s="3154" customFormat="1" ht="15" customHeight="1">
      <c r="A98" s="627" t="n"/>
      <c r="B98" s="26" t="n"/>
      <c r="C98" s="26" t="n"/>
      <c r="D98" s="26" t="n"/>
      <c r="E98" s="26" t="n"/>
      <c r="F98" s="26" t="n"/>
      <c r="G98" s="26" t="n"/>
      <c r="H98" s="26" t="n"/>
      <c r="I98" s="26" t="n"/>
      <c r="J98" s="26" t="n"/>
      <c r="K98" s="26" t="n"/>
      <c r="L98" s="26" t="n"/>
      <c r="M98" s="26" t="n"/>
      <c r="N98" s="26" t="n"/>
      <c r="O98" s="26" t="n"/>
      <c r="P98" s="26" t="n"/>
      <c r="Q98" s="26" t="n"/>
      <c r="R98" s="26" t="n"/>
      <c r="S98" s="26" t="n"/>
      <c r="T98" s="26" t="n"/>
      <c r="U98" s="26" t="n"/>
      <c r="V98" s="26" t="n"/>
      <c r="W98" s="26" t="n"/>
      <c r="X98" s="26" t="n"/>
      <c r="Y98" s="26" t="n"/>
      <c r="Z98" s="2609" t="inlineStr">
        <is>
          <t xml:space="preserve">Total Financing Costs</t>
        </is>
      </c>
      <c r="AA98" s="4224" t="n">
        <f t="array" ref="AA98">AB98/$J$34</f>
        <v>4483.333333333333</v>
      </c>
      <c r="AB98" s="4224" t="n">
        <f t="array" ref="AB98">SUM(AB95:AB97)</f>
        <v>538000</v>
      </c>
      <c r="AC98" s="4205" t="n"/>
      <c r="AD98" s="4205" t="n"/>
      <c r="AE98" s="4205" t="n"/>
      <c r="AF98" s="4205" t="n"/>
      <c r="AG98" s="4205" t="n"/>
      <c r="AH98" s="4205" t="n"/>
      <c r="AI98" s="4205" t="n"/>
      <c r="AJ98" s="4205" t="n"/>
      <c r="AK98" s="26" t="n"/>
      <c r="AL98" s="26" t="n"/>
      <c r="AM98" s="26" t="n"/>
      <c r="AN98" s="26" t="n"/>
      <c r="AO98" s="26" t="n"/>
      <c r="AP98" s="26" t="n"/>
      <c r="AQ98" s="26" t="n"/>
      <c r="AR98" s="27" t="n"/>
    </row>
    <row r="99" s="3154" customFormat="1" ht="8" customHeight="1">
      <c r="A99" s="627" t="n"/>
      <c r="B99" s="26" t="n"/>
      <c r="C99" s="26" t="n"/>
      <c r="D99" s="26" t="n"/>
      <c r="E99" s="26" t="n"/>
      <c r="F99" s="26" t="n"/>
      <c r="G99" s="26" t="n"/>
      <c r="H99" s="26" t="n"/>
      <c r="I99" s="26" t="n"/>
      <c r="J99" s="26" t="n"/>
      <c r="K99" s="26" t="n"/>
      <c r="L99" s="26" t="n"/>
      <c r="M99" s="26" t="n"/>
      <c r="N99" s="26" t="n"/>
      <c r="O99" s="26" t="n"/>
      <c r="P99" s="26" t="n"/>
      <c r="Q99" s="26" t="n"/>
      <c r="R99" s="26" t="n"/>
      <c r="S99" s="26" t="n"/>
      <c r="T99" s="26" t="n"/>
      <c r="U99" s="26" t="n"/>
      <c r="V99" s="26" t="n"/>
      <c r="W99" s="26" t="n"/>
      <c r="X99" s="26" t="n"/>
      <c r="Y99" s="26" t="n"/>
      <c r="Z99" s="26" t="n"/>
      <c r="AA99" s="3322" t="n">
        <f t="array" ref="AA99">AB99/$J$34</f>
        <v>0</v>
      </c>
      <c r="AB99" s="4225" t="n"/>
      <c r="AC99" s="26" t="n"/>
      <c r="AD99" s="4205" t="n"/>
      <c r="AE99" s="4205" t="n"/>
      <c r="AF99" s="4205" t="n"/>
      <c r="AG99" s="4205" t="n"/>
      <c r="AH99" s="4205" t="n"/>
      <c r="AI99" s="4205" t="n"/>
      <c r="AJ99" s="4205" t="n"/>
      <c r="AK99" s="26" t="n"/>
      <c r="AL99" s="26" t="n"/>
      <c r="AM99" s="26" t="n"/>
      <c r="AN99" s="26" t="n"/>
      <c r="AO99" s="26" t="n"/>
      <c r="AP99" s="26" t="n"/>
      <c r="AQ99" s="26" t="n"/>
      <c r="AR99" s="27" t="n"/>
    </row>
    <row r="100" s="3154" customFormat="1" ht="15" customHeight="1">
      <c r="A100" s="627" t="n"/>
      <c r="B100" s="26" t="n"/>
      <c r="C100" s="26" t="n"/>
      <c r="D100" s="26" t="n"/>
      <c r="E100" s="26" t="n"/>
      <c r="F100" s="26" t="n"/>
      <c r="G100" s="26" t="n"/>
      <c r="H100" s="26" t="n"/>
      <c r="I100" s="26" t="n"/>
      <c r="J100" s="26" t="n"/>
      <c r="K100" s="26" t="n"/>
      <c r="L100" s="26" t="n"/>
      <c r="M100" s="26" t="n"/>
      <c r="N100" s="26" t="n"/>
      <c r="O100" s="26" t="n"/>
      <c r="P100" s="26" t="n"/>
      <c r="Q100" s="26" t="n"/>
      <c r="R100" s="26" t="n"/>
      <c r="S100" s="26" t="n"/>
      <c r="T100" s="26" t="n"/>
      <c r="U100" s="26" t="n"/>
      <c r="V100" s="26" t="n"/>
      <c r="W100" s="26" t="n"/>
      <c r="X100" s="26" t="n"/>
      <c r="Y100" s="26" t="n"/>
      <c r="Z100" s="2609" t="inlineStr">
        <is>
          <t xml:space="preserve">Total Development Cost</t>
        </is>
      </c>
      <c r="AA100" s="4223" t="n">
        <f t="array" ref="AA100">AB100/$J$34</f>
        <v>58070.96457838934</v>
      </c>
      <c r="AB100" s="4223" t="n">
        <f t="array" ref="AB100">AB92+AB98</f>
        <v>6968515.749406721</v>
      </c>
      <c r="AC100" s="26" t="n"/>
      <c r="AD100" s="4205" t="n"/>
      <c r="AE100" s="4205" t="n"/>
      <c r="AF100" s="4205" t="n"/>
      <c r="AG100" s="4205" t="n"/>
      <c r="AH100" s="4205" t="n"/>
      <c r="AI100" s="4205" t="n"/>
      <c r="AJ100" s="4205" t="n"/>
      <c r="AK100" s="26" t="n"/>
      <c r="AL100" s="26" t="n"/>
      <c r="AM100" s="26" t="n"/>
      <c r="AN100" s="26" t="n"/>
      <c r="AO100" s="26" t="n"/>
      <c r="AP100" s="26" t="n"/>
      <c r="AQ100" s="26" t="n"/>
      <c r="AR100" s="27" t="n"/>
    </row>
    <row r="101" s="3154" customFormat="1" ht="15.75" customHeight="1">
      <c r="A101" s="627" t="n"/>
      <c r="B101" s="26" t="n"/>
      <c r="C101" s="26" t="n"/>
      <c r="D101" s="26" t="n"/>
      <c r="E101" s="26" t="n"/>
      <c r="F101" s="26" t="n"/>
      <c r="G101" s="26" t="n"/>
      <c r="H101" s="26" t="n"/>
      <c r="I101" s="26" t="n"/>
      <c r="J101" s="26" t="n"/>
      <c r="K101" s="26" t="n"/>
      <c r="L101" s="26" t="n"/>
      <c r="M101" s="26" t="n"/>
      <c r="N101" s="26" t="n"/>
      <c r="O101" s="26" t="n"/>
      <c r="P101" s="26" t="n"/>
      <c r="Q101" s="26" t="n"/>
      <c r="R101" s="26" t="n"/>
      <c r="S101" s="26" t="n"/>
      <c r="T101" s="26" t="n"/>
      <c r="U101" s="26" t="n"/>
      <c r="V101" s="26" t="n"/>
      <c r="W101" s="26" t="n"/>
      <c r="X101" s="26" t="n"/>
      <c r="Y101" s="26" t="n"/>
      <c r="Z101" s="26" t="n"/>
      <c r="AA101" s="26" t="n"/>
      <c r="AB101" s="26" t="n"/>
      <c r="AC101" s="26" t="n"/>
      <c r="AD101" s="26" t="n"/>
      <c r="AE101" s="26" t="n"/>
      <c r="AF101" s="26" t="n"/>
      <c r="AG101" s="26" t="n"/>
      <c r="AH101" s="26" t="n"/>
      <c r="AI101" s="26" t="n"/>
      <c r="AJ101" s="26" t="n"/>
      <c r="AK101" s="26" t="n"/>
      <c r="AL101" s="26" t="n"/>
      <c r="AM101" s="26" t="n"/>
      <c r="AN101" s="26" t="n"/>
      <c r="AO101" s="26" t="n"/>
      <c r="AP101" s="26" t="n"/>
      <c r="AQ101" s="26" t="n"/>
      <c r="AR101" s="27" t="n"/>
    </row>
    <row r="102" s="3154" customFormat="1" ht="15" customHeight="1">
      <c r="A102" s="627" t="n"/>
      <c r="B102" s="26" t="n"/>
      <c r="C102" s="26" t="n"/>
      <c r="D102" s="26" t="n"/>
      <c r="E102" s="26" t="n"/>
      <c r="F102" s="26" t="n"/>
      <c r="G102" s="26" t="n"/>
      <c r="H102" s="26" t="n"/>
      <c r="I102" s="26" t="n"/>
      <c r="J102" s="26" t="n"/>
      <c r="K102" s="26" t="n"/>
      <c r="L102" s="26" t="n"/>
      <c r="M102" s="26" t="n"/>
      <c r="N102" s="26" t="n"/>
      <c r="O102" s="26" t="n"/>
      <c r="P102" s="26" t="n"/>
      <c r="Q102" s="26" t="n"/>
      <c r="R102" s="26" t="n"/>
      <c r="S102" s="26" t="n"/>
      <c r="T102" s="26" t="n"/>
      <c r="U102" s="26" t="n"/>
      <c r="V102" s="26" t="n"/>
      <c r="W102" s="26" t="n"/>
      <c r="X102" s="26" t="n"/>
      <c r="Y102" s="26" t="n"/>
      <c r="Z102" s="26" t="n"/>
      <c r="AA102" s="26" t="n"/>
      <c r="AB102" s="4013" t="n"/>
      <c r="AC102" s="26" t="n"/>
      <c r="AD102" s="26" t="n"/>
      <c r="AE102" s="26" t="n"/>
      <c r="AF102" s="26" t="n"/>
      <c r="AG102" s="26" t="n"/>
      <c r="AH102" s="26" t="n"/>
      <c r="AI102" s="26" t="n"/>
      <c r="AJ102" s="26" t="n"/>
      <c r="AK102" s="26" t="n"/>
      <c r="AL102" s="26" t="n"/>
      <c r="AM102" s="26" t="n"/>
      <c r="AN102" s="26" t="n"/>
      <c r="AO102" s="26" t="n"/>
      <c r="AP102" s="26" t="n"/>
      <c r="AQ102" s="26" t="n"/>
      <c r="AR102" s="27" t="n"/>
    </row>
    <row r="103" s="3154" customFormat="1" ht="15" customHeight="1">
      <c r="A103" s="627" t="n"/>
      <c r="B103" s="26" t="n"/>
      <c r="C103" s="26" t="n"/>
      <c r="D103" s="26" t="n"/>
      <c r="E103" s="26" t="n"/>
      <c r="F103" s="26" t="n"/>
      <c r="G103" s="26" t="n"/>
      <c r="H103" s="26" t="n"/>
      <c r="I103" s="26" t="n"/>
      <c r="J103" s="26" t="n"/>
      <c r="K103" s="26" t="n"/>
      <c r="L103" s="26" t="n"/>
      <c r="M103" s="26" t="n"/>
      <c r="N103" s="26" t="n"/>
      <c r="O103" s="26" t="n"/>
      <c r="P103" s="26" t="n"/>
      <c r="Q103" s="26" t="n"/>
      <c r="R103" s="26" t="n"/>
      <c r="S103" s="26" t="n"/>
      <c r="T103" s="26" t="n"/>
      <c r="U103" s="26" t="n"/>
      <c r="V103" s="26" t="n"/>
      <c r="W103" s="26" t="n"/>
      <c r="X103" s="26" t="n"/>
      <c r="Y103" s="26" t="n"/>
      <c r="Z103" s="26" t="n"/>
      <c r="AA103" s="26" t="n"/>
      <c r="AB103" s="26" t="n"/>
      <c r="AC103" s="26" t="n"/>
      <c r="AD103" s="2662" t="inlineStr">
        <is>
          <t xml:space="preserve">DISPOSITION SUMMARY</t>
        </is>
      </c>
      <c r="AH103" s="2608" t="n"/>
      <c r="AI103" s="26" t="n"/>
      <c r="AJ103" s="26" t="n"/>
      <c r="AK103" s="26" t="n"/>
      <c r="AL103" s="26" t="n"/>
      <c r="AM103" s="26" t="n"/>
      <c r="AN103" s="26" t="n"/>
      <c r="AO103" s="26" t="n"/>
      <c r="AP103" s="26" t="n"/>
      <c r="AQ103" s="26" t="n"/>
      <c r="AR103" s="27" t="n"/>
    </row>
    <row r="104" s="3154" customFormat="1" ht="15" customHeight="1">
      <c r="A104" s="627" t="n"/>
      <c r="B104" s="26" t="n"/>
      <c r="C104" s="26" t="n"/>
      <c r="D104" s="26" t="n"/>
      <c r="E104" s="26" t="n"/>
      <c r="F104" s="26" t="n"/>
      <c r="G104" s="26" t="n"/>
      <c r="H104" s="26" t="n"/>
      <c r="I104" s="26" t="n"/>
      <c r="J104" s="26" t="n"/>
      <c r="K104" s="26" t="n"/>
      <c r="L104" s="26" t="n"/>
      <c r="M104" s="26" t="n"/>
      <c r="N104" s="26" t="n"/>
      <c r="O104" s="26" t="n"/>
      <c r="P104" s="26" t="n"/>
      <c r="Q104" s="26" t="n"/>
      <c r="R104" s="26" t="n"/>
      <c r="S104" s="26" t="n"/>
      <c r="T104" s="26" t="n"/>
      <c r="U104" s="26" t="n"/>
      <c r="V104" s="26" t="n"/>
      <c r="W104" s="26" t="n"/>
      <c r="X104" s="26" t="n"/>
      <c r="Y104" s="26" t="n"/>
      <c r="Z104" s="26" t="n"/>
      <c r="AA104" s="26" t="n"/>
      <c r="AB104" s="26" t="n"/>
      <c r="AC104" s="26" t="n"/>
      <c r="AD104" s="2664" t="inlineStr">
        <is>
          <t xml:space="preserve">Sale Date</t>
        </is>
      </c>
      <c r="AE104" s="2665" t="n"/>
      <c r="AF104" s="2651" t="n"/>
      <c r="AG104" s="4226" t="n">
        <f t="array" ref="AG104">'Project Summary'!H13</f>
        <v>50010</v>
      </c>
      <c r="AH104" s="4201" t="n"/>
      <c r="AI104" s="26" t="n"/>
      <c r="AJ104" s="26" t="n"/>
      <c r="AK104" s="26" t="n"/>
      <c r="AL104" s="26" t="n"/>
      <c r="AM104" s="26" t="n"/>
      <c r="AN104" s="26" t="n"/>
      <c r="AO104" s="26" t="n"/>
      <c r="AP104" s="26" t="n"/>
      <c r="AQ104" s="26" t="n"/>
      <c r="AR104" s="27" t="n"/>
    </row>
    <row r="105" s="3154" customFormat="1" ht="15" customHeight="1">
      <c r="A105" s="627" t="n"/>
      <c r="B105" s="26" t="n"/>
      <c r="C105" s="26" t="n"/>
      <c r="D105" s="26" t="n"/>
      <c r="E105" s="26" t="n"/>
      <c r="F105" s="26" t="n"/>
      <c r="G105" s="26" t="n"/>
      <c r="H105" s="26" t="n"/>
      <c r="I105" s="26" t="n"/>
      <c r="J105" s="26" t="n"/>
      <c r="K105" s="26" t="n"/>
      <c r="L105" s="26" t="n"/>
      <c r="M105" s="26" t="n"/>
      <c r="N105" s="2208" t="n"/>
      <c r="O105" s="2208" t="n"/>
      <c r="P105" s="2208" t="n"/>
      <c r="Q105" s="26" t="n"/>
      <c r="R105" s="26" t="n"/>
      <c r="S105" s="26" t="n"/>
      <c r="T105" s="26" t="n"/>
      <c r="U105" s="26" t="n"/>
      <c r="V105" s="26" t="n"/>
      <c r="W105" s="26" t="n"/>
      <c r="X105" s="26" t="n"/>
      <c r="Y105" s="26" t="n"/>
      <c r="Z105" s="26" t="n"/>
      <c r="AA105" s="26" t="n"/>
      <c r="AB105" s="26" t="n"/>
      <c r="AC105" s="26" t="n"/>
      <c r="AD105" s="2664" t="inlineStr">
        <is>
          <t xml:space="preserve">Exit Cap Rate</t>
        </is>
      </c>
      <c r="AE105" s="2665" t="n"/>
      <c r="AF105" s="2665" t="n"/>
      <c r="AG105" s="2667" t="n">
        <f t="array" ref="AG105">'Project Summary'!I14</f>
        <v>0.085</v>
      </c>
      <c r="AH105" s="4204" t="n"/>
      <c r="AI105" s="26" t="n"/>
      <c r="AJ105" s="26" t="n"/>
      <c r="AK105" s="26" t="n"/>
      <c r="AL105" s="26" t="n"/>
      <c r="AM105" s="26" t="n"/>
      <c r="AN105" s="26" t="n"/>
      <c r="AO105" s="26" t="n"/>
      <c r="AP105" s="26" t="n"/>
      <c r="AQ105" s="26" t="n"/>
      <c r="AR105" s="27" t="n"/>
    </row>
    <row r="106" s="3154" customFormat="1" ht="8" customHeight="1">
      <c r="A106" s="627" t="n"/>
      <c r="B106" s="26" t="n"/>
      <c r="C106" s="26" t="n"/>
      <c r="D106" s="26" t="n"/>
      <c r="E106" s="26" t="n"/>
      <c r="F106" s="26" t="n"/>
      <c r="G106" s="26" t="n"/>
      <c r="H106" s="26" t="n"/>
      <c r="I106" s="26" t="n"/>
      <c r="J106" s="26" t="n"/>
      <c r="K106" s="26" t="n"/>
      <c r="L106" s="26" t="n"/>
      <c r="M106" s="26" t="n"/>
      <c r="N106" s="26" t="n"/>
      <c r="O106" s="26" t="n"/>
      <c r="P106" s="26" t="n"/>
      <c r="Q106" s="26" t="n"/>
      <c r="R106" s="26" t="n"/>
      <c r="S106" s="26" t="n"/>
      <c r="T106" s="26" t="n"/>
      <c r="U106" s="26" t="n"/>
      <c r="V106" s="26" t="n"/>
      <c r="W106" s="26" t="n"/>
      <c r="X106" s="26" t="n"/>
      <c r="Y106" s="26" t="n"/>
      <c r="Z106" s="26" t="n"/>
      <c r="AA106" s="26" t="n"/>
      <c r="AB106" s="26" t="n"/>
      <c r="AC106" s="26" t="n"/>
      <c r="AD106" s="405" t="n"/>
      <c r="AE106" s="405" t="n"/>
      <c r="AF106" s="405" t="n"/>
      <c r="AG106" s="3333" t="n"/>
      <c r="AH106" s="4205" t="n"/>
      <c r="AI106" s="26" t="n"/>
      <c r="AJ106" s="26" t="n"/>
      <c r="AK106" s="26" t="n"/>
      <c r="AL106" s="26" t="n"/>
      <c r="AM106" s="26" t="n"/>
      <c r="AN106" s="26" t="n"/>
      <c r="AO106" s="26" t="n"/>
      <c r="AP106" s="26" t="n"/>
      <c r="AQ106" s="26" t="n"/>
      <c r="AR106" s="27" t="n"/>
    </row>
    <row r="107" s="3154" customFormat="1" ht="15.75" customHeight="1">
      <c r="A107" s="627" t="n"/>
      <c r="B107" s="26" t="n"/>
      <c r="C107" s="26" t="n"/>
      <c r="D107" s="26" t="n"/>
      <c r="E107" s="26" t="n"/>
      <c r="F107" s="26" t="n"/>
      <c r="G107" s="26" t="n"/>
      <c r="H107" s="26" t="n"/>
      <c r="I107" s="26" t="n"/>
      <c r="J107" s="26" t="n"/>
      <c r="K107" s="26" t="n"/>
      <c r="L107" s="26" t="n"/>
      <c r="M107" s="26" t="n"/>
      <c r="N107" s="26" t="n"/>
      <c r="O107" s="26" t="n"/>
      <c r="P107" s="26" t="n"/>
      <c r="Q107" s="26" t="n"/>
      <c r="R107" s="26" t="n"/>
      <c r="S107" s="26" t="n"/>
      <c r="T107" s="26" t="n"/>
      <c r="U107" s="26" t="n"/>
      <c r="V107" s="26" t="n"/>
      <c r="W107" s="26" t="n"/>
      <c r="X107" s="26" t="n"/>
      <c r="Y107" s="26" t="n"/>
      <c r="Z107" s="26" t="n"/>
      <c r="AA107" s="26" t="n"/>
      <c r="AB107" s="26" t="n"/>
      <c r="AC107" s="26" t="n"/>
      <c r="AD107" s="2668" t="n"/>
      <c r="AE107" s="2668" t="n"/>
      <c r="AF107" s="2669" t="inlineStr">
        <is>
          <t xml:space="preserve">$ / Key</t>
        </is>
      </c>
      <c r="AG107" s="2669" t="inlineStr">
        <is>
          <t xml:space="preserve">Total $</t>
        </is>
      </c>
      <c r="AH107" s="4205" t="n"/>
      <c r="AI107" s="26" t="n"/>
      <c r="AJ107" s="26" t="n"/>
      <c r="AK107" s="26" t="n"/>
      <c r="AL107" s="26" t="n"/>
      <c r="AM107" s="26" t="n"/>
      <c r="AN107" s="26" t="n"/>
      <c r="AO107" s="26" t="n"/>
      <c r="AP107" s="26" t="n"/>
      <c r="AQ107" s="26" t="n"/>
      <c r="AR107" s="27" t="n"/>
    </row>
    <row r="108" s="3154" customFormat="1" ht="15.75" customHeight="1">
      <c r="A108" s="627" t="n"/>
      <c r="B108" s="26" t="n"/>
      <c r="C108" s="26" t="n"/>
      <c r="D108" s="26" t="n"/>
      <c r="E108" s="26" t="n"/>
      <c r="F108" s="26" t="n"/>
      <c r="G108" s="26" t="n"/>
      <c r="H108" s="26" t="n"/>
      <c r="I108" s="26" t="n"/>
      <c r="J108" s="26" t="n"/>
      <c r="K108" s="26" t="n"/>
      <c r="L108" s="26" t="n"/>
      <c r="M108" s="26" t="n"/>
      <c r="N108" s="26" t="n"/>
      <c r="O108" s="26" t="n"/>
      <c r="P108" s="26" t="n"/>
      <c r="Q108" s="26" t="n"/>
      <c r="R108" s="26" t="n"/>
      <c r="S108" s="26" t="n"/>
      <c r="T108" s="26" t="n"/>
      <c r="U108" s="26" t="n"/>
      <c r="V108" s="26" t="n"/>
      <c r="W108" s="26" t="n"/>
      <c r="X108" s="26" t="n"/>
      <c r="Y108" s="26" t="n"/>
      <c r="Z108" s="26" t="n"/>
      <c r="AA108" s="26" t="n"/>
      <c r="AB108" s="26" t="n"/>
      <c r="AC108" s="26" t="n"/>
      <c r="AD108" s="160" t="inlineStr">
        <is>
          <t xml:space="preserve">NOI at Sale Year</t>
        </is>
      </c>
      <c r="AE108" s="405" t="n"/>
      <c r="AF108" s="4043" t="e">
        <f t="array" ref="AF108">AG108/'Project Summary'!$I$7</f>
      </c>
      <c r="AG108" s="4043" t="e">
        <f t="array" ref="AG108">'Project Summary'!I15</f>
      </c>
      <c r="AH108" s="4205" t="n"/>
      <c r="AI108" s="26" t="n"/>
      <c r="AJ108" s="26" t="n"/>
      <c r="AK108" s="26" t="n"/>
      <c r="AL108" s="26" t="n"/>
      <c r="AM108" s="26" t="n"/>
      <c r="AN108" s="26" t="n"/>
      <c r="AO108" s="26" t="n"/>
      <c r="AP108" s="26" t="n"/>
      <c r="AQ108" s="26" t="n"/>
      <c r="AR108" s="27" t="n"/>
    </row>
    <row r="109" s="3154" customFormat="1" ht="15.75" customHeight="1">
      <c r="A109" s="627" t="n"/>
      <c r="B109" s="26" t="n"/>
      <c r="C109" s="26" t="n"/>
      <c r="D109" s="26" t="n"/>
      <c r="E109" s="26" t="n"/>
      <c r="F109" s="26" t="n"/>
      <c r="G109" s="26" t="n"/>
      <c r="H109" s="26" t="n"/>
      <c r="I109" s="26" t="n"/>
      <c r="J109" s="26" t="n"/>
      <c r="K109" s="26" t="n"/>
      <c r="L109" s="26" t="n"/>
      <c r="M109" s="26" t="n"/>
      <c r="N109" s="2670" t="n"/>
      <c r="O109" s="2670" t="n"/>
      <c r="P109" s="2670" t="n"/>
      <c r="Q109" s="2670" t="n"/>
      <c r="R109" s="26" t="n"/>
      <c r="S109" s="26" t="n"/>
      <c r="T109" s="26" t="n"/>
      <c r="U109" s="26" t="n"/>
      <c r="V109" s="26" t="n"/>
      <c r="W109" s="26" t="n"/>
      <c r="X109" s="26" t="n"/>
      <c r="Y109" s="26" t="n"/>
      <c r="Z109" s="26" t="n"/>
      <c r="AA109" s="26" t="n"/>
      <c r="AB109" s="26" t="n"/>
      <c r="AC109" s="26" t="n"/>
      <c r="AD109" s="160" t="inlineStr">
        <is>
          <t xml:space="preserve">Gross Sale Proceeds</t>
        </is>
      </c>
      <c r="AE109" s="405" t="n"/>
      <c r="AF109" s="2622" t="e">
        <f t="array" ref="AF109">AG109/'Project Summary'!$I$7</f>
      </c>
      <c r="AG109" s="2622" t="e">
        <f t="array" ref="AG109">'Project Summary'!I16</f>
      </c>
      <c r="AH109" s="4205" t="n"/>
      <c r="AI109" s="26" t="n"/>
      <c r="AJ109" s="26" t="n"/>
      <c r="AK109" s="26" t="n"/>
      <c r="AL109" s="26" t="n"/>
      <c r="AM109" s="26" t="n"/>
      <c r="AN109" s="26" t="n"/>
      <c r="AO109" s="26" t="n"/>
      <c r="AP109" s="26" t="n"/>
      <c r="AQ109" s="26" t="n"/>
      <c r="AR109" s="27" t="n"/>
    </row>
    <row r="110" s="3154" customFormat="1" ht="15.75" customHeight="1">
      <c r="A110" s="627" t="n"/>
      <c r="B110" s="26" t="n"/>
      <c r="C110" s="26" t="n"/>
      <c r="D110" s="26" t="n"/>
      <c r="E110" s="26" t="n"/>
      <c r="F110" s="26" t="n"/>
      <c r="G110" s="26" t="n"/>
      <c r="H110" s="26" t="n"/>
      <c r="I110" s="26" t="n"/>
      <c r="J110" s="26" t="n"/>
      <c r="K110" s="26" t="n"/>
      <c r="L110" s="26" t="n"/>
      <c r="M110" s="26" t="n"/>
      <c r="N110" s="26" t="n"/>
      <c r="O110" s="26" t="n"/>
      <c r="P110" s="26" t="n"/>
      <c r="Q110" s="26" t="n"/>
      <c r="R110" s="26" t="n"/>
      <c r="S110" s="26" t="n"/>
      <c r="T110" s="26" t="n"/>
      <c r="U110" s="26" t="n"/>
      <c r="V110" s="26" t="n"/>
      <c r="W110" s="26" t="n"/>
      <c r="X110" s="26" t="n"/>
      <c r="Y110" s="26" t="n"/>
      <c r="Z110" s="26" t="n"/>
      <c r="AA110" s="26" t="n"/>
      <c r="AB110" s="26" t="n"/>
      <c r="AC110" s="26" t="n"/>
      <c r="AD110" s="458" t="inlineStr">
        <is>
          <t xml:space="preserve">Cost of Sale (1.5%)</t>
        </is>
      </c>
      <c r="AE110" s="422" t="n"/>
      <c r="AF110" s="2607" t="e">
        <f t="array" ref="AF110">AG110/'Project Summary'!$I$7</f>
      </c>
      <c r="AG110" s="2607" t="e">
        <f t="array" ref="AG110">'Project Summary'!I18</f>
      </c>
      <c r="AH110" s="4205" t="n"/>
      <c r="AI110" s="26" t="n"/>
      <c r="AJ110" s="26" t="n"/>
      <c r="AK110" s="26" t="n"/>
      <c r="AL110" s="26" t="n"/>
      <c r="AM110" s="26" t="n"/>
      <c r="AN110" s="26" t="n"/>
      <c r="AO110" s="26" t="n"/>
      <c r="AP110" s="26" t="n"/>
      <c r="AQ110" s="26" t="n"/>
      <c r="AR110" s="27" t="n"/>
    </row>
    <row r="111" s="3154" customFormat="1" ht="15.75" customHeight="1">
      <c r="A111" s="627" t="n"/>
      <c r="B111" s="26" t="n"/>
      <c r="C111" s="26" t="n"/>
      <c r="D111" s="26" t="n"/>
      <c r="E111" s="26" t="n"/>
      <c r="F111" s="26" t="n"/>
      <c r="G111" s="26" t="n"/>
      <c r="H111" s="26" t="n"/>
      <c r="I111" s="26" t="n"/>
      <c r="J111" s="26" t="n"/>
      <c r="K111" s="26" t="n"/>
      <c r="L111" s="26" t="n"/>
      <c r="M111" s="26" t="n"/>
      <c r="N111" s="26" t="n"/>
      <c r="O111" s="26" t="n"/>
      <c r="P111" s="26" t="n"/>
      <c r="Q111" s="26" t="n"/>
      <c r="R111" s="26" t="n"/>
      <c r="S111" s="26" t="n"/>
      <c r="T111" s="26" t="n"/>
      <c r="U111" s="26" t="n"/>
      <c r="V111" s="26" t="n"/>
      <c r="W111" s="26" t="n"/>
      <c r="X111" s="26" t="n"/>
      <c r="Y111" s="26" t="n"/>
      <c r="Z111" s="26" t="n"/>
      <c r="AA111" s="26" t="n"/>
      <c r="AB111" s="26" t="n"/>
      <c r="AC111" s="26" t="n"/>
      <c r="AD111" s="456" t="inlineStr">
        <is>
          <t xml:space="preserve">Net Sale Proceeds</t>
        </is>
      </c>
      <c r="AE111" s="403" t="n"/>
      <c r="AF111" s="4046" t="e">
        <f t="array" ref="AF111">AG111/'Project Summary'!$I$7</f>
      </c>
      <c r="AG111" s="4046" t="e">
        <f t="array" ref="AG111">AG109-AG110</f>
      </c>
      <c r="AH111" s="4205" t="n"/>
      <c r="AI111" s="26" t="n"/>
      <c r="AJ111" s="26" t="n"/>
      <c r="AK111" s="26" t="n"/>
      <c r="AL111" s="26" t="n"/>
      <c r="AM111" s="26" t="n"/>
      <c r="AN111" s="26" t="n"/>
      <c r="AO111" s="26" t="n"/>
      <c r="AP111" s="26" t="n"/>
      <c r="AQ111" s="26" t="n"/>
      <c r="AR111" s="27" t="n"/>
    </row>
    <row r="112" s="3154" customFormat="1" ht="8" customHeight="1">
      <c r="A112" s="627" t="n"/>
      <c r="B112" s="26" t="n"/>
      <c r="C112" s="26" t="n"/>
      <c r="D112" s="26" t="n"/>
      <c r="E112" s="26" t="n"/>
      <c r="F112" s="26" t="n"/>
      <c r="G112" s="26" t="n"/>
      <c r="H112" s="26" t="n"/>
      <c r="I112" s="26" t="n"/>
      <c r="J112" s="26" t="n"/>
      <c r="K112" s="26" t="n"/>
      <c r="L112" s="26" t="n"/>
      <c r="M112" s="26" t="n"/>
      <c r="N112" s="26" t="n"/>
      <c r="O112" s="26" t="n"/>
      <c r="P112" s="26" t="n"/>
      <c r="Q112" s="26" t="n"/>
      <c r="R112" s="26" t="n"/>
      <c r="S112" s="26" t="n"/>
      <c r="T112" s="26" t="n"/>
      <c r="U112" s="26" t="n"/>
      <c r="V112" s="26" t="n"/>
      <c r="W112" s="26" t="n"/>
      <c r="X112" s="26" t="n"/>
      <c r="Y112" s="26" t="n"/>
      <c r="Z112" s="26" t="n"/>
      <c r="AA112" s="26" t="n"/>
      <c r="AB112" s="26" t="n"/>
      <c r="AC112" s="26" t="n"/>
      <c r="AD112" s="26" t="n"/>
      <c r="AE112" s="26" t="n"/>
      <c r="AF112" s="26" t="n"/>
      <c r="AG112" s="26" t="n"/>
      <c r="AH112" s="4205" t="n"/>
      <c r="AI112" s="26" t="n"/>
      <c r="AJ112" s="26" t="n"/>
      <c r="AK112" s="26" t="n"/>
      <c r="AL112" s="26" t="n"/>
      <c r="AM112" s="26" t="n"/>
      <c r="AN112" s="26" t="n"/>
      <c r="AO112" s="26" t="n"/>
      <c r="AP112" s="26" t="n"/>
      <c r="AQ112" s="26" t="n"/>
      <c r="AR112" s="27" t="n"/>
    </row>
    <row r="113" s="3154" customFormat="1" ht="15.75" customHeight="1">
      <c r="A113" s="627" t="n"/>
      <c r="B113" s="26" t="n"/>
      <c r="C113" s="26" t="n"/>
      <c r="D113" s="26" t="n"/>
      <c r="E113" s="26" t="n"/>
      <c r="F113" s="26" t="n"/>
      <c r="G113" s="26" t="n"/>
      <c r="H113" s="26" t="n"/>
      <c r="I113" s="26" t="n"/>
      <c r="J113" s="26" t="n"/>
      <c r="K113" s="26" t="n"/>
      <c r="L113" s="26" t="n"/>
      <c r="M113" s="26" t="n"/>
      <c r="N113" s="26" t="n"/>
      <c r="O113" s="26" t="n"/>
      <c r="P113" s="26" t="n"/>
      <c r="Q113" s="26" t="n"/>
      <c r="R113" s="26" t="n"/>
      <c r="S113" s="26" t="n"/>
      <c r="T113" s="26" t="n"/>
      <c r="U113" s="26" t="n"/>
      <c r="V113" s="26" t="n"/>
      <c r="W113" s="26" t="n"/>
      <c r="X113" s="26" t="n"/>
      <c r="Y113" s="26" t="n"/>
      <c r="Z113" s="26" t="n"/>
      <c r="AA113" s="26" t="n"/>
      <c r="AB113" s="26" t="n"/>
      <c r="AC113" s="26" t="n"/>
      <c r="AD113" s="1957" t="inlineStr">
        <is>
          <t xml:space="preserve">Debt Payoff</t>
        </is>
      </c>
      <c r="AE113" s="163" t="n"/>
      <c r="AF113" s="2607" t="e">
        <f t="array" ref="AF113">AG113/'Project Summary'!$I$7</f>
      </c>
      <c r="AG113" s="2607" t="e">
        <f t="array" ref="AG113">-'Annual CF'!L26</f>
      </c>
      <c r="AH113" s="4205" t="n"/>
      <c r="AI113" s="26" t="n"/>
      <c r="AJ113" s="26" t="n"/>
      <c r="AK113" s="26" t="n"/>
      <c r="AL113" s="26" t="n"/>
      <c r="AM113" s="26" t="n"/>
      <c r="AN113" s="26" t="n"/>
      <c r="AO113" s="26" t="n"/>
      <c r="AP113" s="26" t="n"/>
      <c r="AQ113" s="26" t="n"/>
      <c r="AR113" s="27" t="n"/>
    </row>
    <row r="114" s="3154" customFormat="1" ht="15.75" customHeight="1">
      <c r="A114" s="627" t="n"/>
      <c r="B114" s="26" t="n"/>
      <c r="C114" s="26" t="n"/>
      <c r="D114" s="26" t="n"/>
      <c r="E114" s="26" t="n"/>
      <c r="F114" s="26" t="n"/>
      <c r="G114" s="26" t="n"/>
      <c r="H114" s="26" t="n"/>
      <c r="I114" s="26" t="n"/>
      <c r="J114" s="26" t="n"/>
      <c r="K114" s="26" t="n"/>
      <c r="L114" s="26" t="n"/>
      <c r="M114" s="26" t="n"/>
      <c r="N114" s="26" t="n"/>
      <c r="O114" s="26" t="n"/>
      <c r="P114" s="26" t="n"/>
      <c r="Q114" s="26" t="n"/>
      <c r="R114" s="26" t="n"/>
      <c r="S114" s="26" t="n"/>
      <c r="T114" s="26" t="n"/>
      <c r="U114" s="26" t="n"/>
      <c r="V114" s="26" t="n"/>
      <c r="W114" s="26" t="n"/>
      <c r="X114" s="26" t="n"/>
      <c r="Y114" s="26" t="n"/>
      <c r="Z114" s="26" t="n"/>
      <c r="AA114" s="26" t="n"/>
      <c r="AB114" s="26" t="n"/>
      <c r="AC114" s="26" t="n"/>
      <c r="AD114" s="456" t="inlineStr">
        <is>
          <t xml:space="preserve">Net Profit </t>
        </is>
      </c>
      <c r="AE114" s="403" t="n"/>
      <c r="AF114" s="4046" t="e">
        <f t="array" ref="AF114">AG114/'Project Summary'!$I$7</f>
      </c>
      <c r="AG114" s="4046" t="e">
        <f t="array" ref="AG114">AG111-AG113</f>
      </c>
      <c r="AH114" s="4205" t="n"/>
      <c r="AI114" s="4205" t="n"/>
      <c r="AJ114" s="4205" t="n"/>
      <c r="AK114" s="26" t="n"/>
      <c r="AL114" s="26" t="n"/>
      <c r="AM114" s="26" t="n"/>
      <c r="AN114" s="26" t="n"/>
      <c r="AO114" s="26" t="n"/>
      <c r="AP114" s="26" t="n"/>
      <c r="AQ114" s="26" t="n"/>
      <c r="AR114" s="27" t="n"/>
    </row>
    <row r="115" s="3154" customFormat="1" ht="8.25" customHeight="1">
      <c r="A115" s="627" t="n"/>
      <c r="B115" s="26" t="n"/>
      <c r="C115" s="26" t="n"/>
      <c r="D115" s="26" t="n"/>
      <c r="E115" s="26" t="n"/>
      <c r="F115" s="26" t="n"/>
      <c r="G115" s="26" t="n"/>
      <c r="H115" s="26" t="n"/>
      <c r="I115" s="26" t="n"/>
      <c r="J115" s="26" t="n"/>
      <c r="K115" s="26" t="n"/>
      <c r="L115" s="26" t="n"/>
      <c r="M115" s="26" t="n"/>
      <c r="N115" s="26" t="n"/>
      <c r="O115" s="26" t="n"/>
      <c r="P115" s="26" t="n"/>
      <c r="Q115" s="26" t="n"/>
      <c r="R115" s="26" t="n"/>
      <c r="S115" s="26" t="n"/>
      <c r="T115" s="26" t="n"/>
      <c r="U115" s="26" t="n"/>
      <c r="V115" s="26" t="n"/>
      <c r="W115" s="26" t="n"/>
      <c r="X115" s="26" t="n"/>
      <c r="Y115" s="26" t="n"/>
      <c r="Z115" s="26" t="n"/>
      <c r="AA115" s="26" t="n"/>
      <c r="AB115" s="26" t="n"/>
      <c r="AC115" s="26" t="n"/>
      <c r="AD115" s="26" t="n"/>
      <c r="AE115" s="26" t="n"/>
      <c r="AF115" s="26" t="n"/>
      <c r="AG115" s="26" t="n"/>
      <c r="AH115" s="26" t="n"/>
      <c r="AI115" s="26" t="n"/>
      <c r="AJ115" s="26" t="n"/>
      <c r="AK115" s="26" t="n"/>
      <c r="AL115" s="26" t="n"/>
      <c r="AM115" s="26" t="n"/>
      <c r="AN115" s="26" t="n"/>
      <c r="AO115" s="26" t="n"/>
      <c r="AP115" s="26" t="n"/>
      <c r="AQ115" s="26" t="n"/>
      <c r="AR115" s="27" t="n"/>
    </row>
    <row r="116" s="3154" customFormat="1" ht="15.75" customHeight="1">
      <c r="A116" s="627" t="n"/>
      <c r="B116" s="26" t="n"/>
      <c r="C116" s="26" t="n"/>
      <c r="D116" s="26" t="n"/>
      <c r="E116" s="26" t="n"/>
      <c r="F116" s="26" t="n"/>
      <c r="G116" s="26" t="n"/>
      <c r="H116" s="26" t="n"/>
      <c r="I116" s="26" t="n"/>
      <c r="J116" s="26" t="n"/>
      <c r="K116" s="26" t="n"/>
      <c r="L116" s="26" t="n"/>
      <c r="M116" s="26" t="n"/>
      <c r="N116" s="26" t="n"/>
      <c r="O116" s="26" t="n"/>
      <c r="P116" s="26" t="n"/>
      <c r="Q116" s="26" t="n"/>
      <c r="R116" s="26" t="n"/>
      <c r="S116" s="26" t="n"/>
      <c r="T116" s="26" t="n"/>
      <c r="U116" s="26" t="n"/>
      <c r="V116" s="26" t="n"/>
      <c r="W116" s="26" t="n"/>
      <c r="X116" s="26" t="n"/>
      <c r="Y116" s="26" t="n"/>
      <c r="Z116" s="26" t="n"/>
      <c r="AA116" s="26" t="n"/>
      <c r="AB116" s="26" t="n"/>
      <c r="AC116" s="26" t="n"/>
      <c r="AD116" s="26" t="n"/>
      <c r="AE116" s="26" t="n"/>
      <c r="AF116" s="26" t="n"/>
      <c r="AG116" s="26" t="n"/>
      <c r="AH116" s="26" t="n"/>
      <c r="AI116" s="2671" t="inlineStr">
        <is>
          <t xml:space="preserve">ACTIVITY</t>
        </is>
      </c>
      <c r="AJ116" s="2671" t="inlineStr">
        <is>
          <t xml:space="preserve">NOTE</t>
        </is>
      </c>
      <c r="AK116" s="2672" t="inlineStr">
        <is>
          <t xml:space="preserve">AMOUNT</t>
        </is>
      </c>
      <c r="AL116" s="26" t="n"/>
      <c r="AM116" s="26" t="n"/>
      <c r="AN116" s="26" t="n"/>
      <c r="AO116" s="26" t="n"/>
      <c r="AP116" s="26" t="n"/>
      <c r="AQ116" s="26" t="n"/>
      <c r="AR116" s="27" t="n"/>
    </row>
    <row r="117" s="3154" customFormat="1" ht="15.75" customHeight="1">
      <c r="A117" s="627" t="n"/>
      <c r="B117" s="26" t="n"/>
      <c r="C117" s="26" t="n"/>
      <c r="D117" s="26" t="n"/>
      <c r="E117" s="26" t="n"/>
      <c r="F117" s="26" t="n"/>
      <c r="G117" s="26" t="n"/>
      <c r="H117" s="26" t="n"/>
      <c r="I117" s="26" t="n"/>
      <c r="J117" s="26" t="n"/>
      <c r="K117" s="26" t="n"/>
      <c r="L117" s="26" t="n"/>
      <c r="M117" s="26" t="n"/>
      <c r="N117" s="26" t="n"/>
      <c r="O117" s="26" t="n"/>
      <c r="P117" s="26" t="n"/>
      <c r="Q117" s="26" t="n"/>
      <c r="R117" s="26" t="n"/>
      <c r="S117" s="26" t="n"/>
      <c r="T117" s="26" t="n"/>
      <c r="U117" s="26" t="n"/>
      <c r="V117" s="26" t="n"/>
      <c r="W117" s="26" t="n"/>
      <c r="X117" s="26" t="n"/>
      <c r="Y117" s="26" t="n"/>
      <c r="Z117" s="26" t="n"/>
      <c r="AA117" s="26" t="n"/>
      <c r="AB117" s="26" t="n"/>
      <c r="AC117" s="26" t="n"/>
      <c r="AD117" s="26" t="n"/>
      <c r="AE117" s="26" t="n"/>
      <c r="AF117" s="26" t="n"/>
      <c r="AG117" s="26" t="n"/>
      <c r="AH117" s="26" t="n"/>
      <c r="AI117" s="2673" t="inlineStr">
        <is>
          <t xml:space="preserve">Land Acquisition</t>
        </is>
      </c>
      <c r="AJ117" s="2628" t="n"/>
      <c r="AK117" s="4227" t="n">
        <v>3400000</v>
      </c>
      <c r="AL117" s="26" t="n"/>
      <c r="AM117" s="26" t="n"/>
      <c r="AN117" s="26" t="n"/>
      <c r="AO117" s="26" t="n"/>
      <c r="AP117" s="26" t="n"/>
      <c r="AQ117" s="26" t="n"/>
      <c r="AR117" s="27" t="n"/>
    </row>
    <row r="118" s="3154" customFormat="1" ht="15" customHeight="1">
      <c r="A118" s="627" t="n"/>
      <c r="B118" s="26" t="n"/>
      <c r="C118" s="26" t="n"/>
      <c r="D118" s="26" t="n"/>
      <c r="E118" s="26" t="n"/>
      <c r="F118" s="26" t="n"/>
      <c r="G118" s="26" t="n"/>
      <c r="H118" s="26" t="n"/>
      <c r="I118" s="26" t="n"/>
      <c r="J118" s="26" t="n"/>
      <c r="K118" s="26" t="n"/>
      <c r="L118" s="26" t="n"/>
      <c r="M118" s="26" t="n"/>
      <c r="N118" s="26" t="n"/>
      <c r="O118" s="26" t="n"/>
      <c r="P118" s="26" t="n"/>
      <c r="Q118" s="26" t="n"/>
      <c r="R118" s="26" t="n"/>
      <c r="S118" s="26" t="n"/>
      <c r="T118" s="26" t="n"/>
      <c r="U118" s="26" t="n"/>
      <c r="V118" s="26" t="n"/>
      <c r="W118" s="26" t="n"/>
      <c r="X118" s="26" t="n"/>
      <c r="Y118" s="26" t="n"/>
      <c r="Z118" s="26" t="n"/>
      <c r="AA118" s="26" t="n"/>
      <c r="AB118" s="26" t="n"/>
      <c r="AC118" s="26" t="n"/>
      <c r="AD118" s="26" t="n"/>
      <c r="AE118" s="26" t="n"/>
      <c r="AF118" s="26" t="n"/>
      <c r="AG118" s="26" t="n"/>
      <c r="AH118" s="26" t="n"/>
      <c r="AI118" s="2673" t="inlineStr">
        <is>
          <t xml:space="preserve">Legal / Land Use</t>
        </is>
      </c>
      <c r="AJ118" s="2673" t="inlineStr">
        <is>
          <t xml:space="preserve">[1]</t>
        </is>
      </c>
      <c r="AK118" s="2675" t="n">
        <v>75000</v>
      </c>
      <c r="AL118" s="26" t="n"/>
      <c r="AM118" s="26" t="n"/>
      <c r="AN118" s="26" t="n"/>
      <c r="AO118" s="26" t="n"/>
      <c r="AP118" s="26" t="n"/>
      <c r="AQ118" s="26" t="n"/>
      <c r="AR118" s="27" t="n"/>
    </row>
    <row r="119" s="3154" customFormat="1" ht="15" customHeight="1">
      <c r="A119" s="627" t="n"/>
      <c r="B119" s="26" t="n"/>
      <c r="C119" s="26" t="n"/>
      <c r="D119" s="26" t="n"/>
      <c r="E119" s="26" t="n"/>
      <c r="F119" s="26" t="n"/>
      <c r="G119" s="26" t="n"/>
      <c r="H119" s="26" t="n"/>
      <c r="I119" s="26" t="n"/>
      <c r="J119" s="26" t="n"/>
      <c r="K119" s="26" t="n"/>
      <c r="L119" s="26" t="n"/>
      <c r="M119" s="26" t="n"/>
      <c r="N119" s="26" t="n"/>
      <c r="O119" s="26" t="n"/>
      <c r="P119" s="26" t="n"/>
      <c r="Q119" s="26" t="n"/>
      <c r="R119" s="26" t="n"/>
      <c r="S119" s="26" t="n"/>
      <c r="T119" s="26" t="n"/>
      <c r="U119" s="26" t="n"/>
      <c r="V119" s="26" t="n"/>
      <c r="W119" s="26" t="n"/>
      <c r="X119" s="26" t="n"/>
      <c r="Y119" s="26" t="n"/>
      <c r="Z119" s="26" t="n"/>
      <c r="AA119" s="26" t="n"/>
      <c r="AB119" s="26" t="n"/>
      <c r="AC119" s="26" t="n"/>
      <c r="AD119" s="26" t="n"/>
      <c r="AE119" s="26" t="n"/>
      <c r="AF119" s="26" t="n"/>
      <c r="AG119" s="26" t="n"/>
      <c r="AH119" s="26" t="n"/>
      <c r="AI119" s="2673" t="inlineStr">
        <is>
          <t xml:space="preserve">Architecture (Preliminary)</t>
        </is>
      </c>
      <c r="AJ119" s="2673" t="inlineStr">
        <is>
          <t xml:space="preserve">[2]</t>
        </is>
      </c>
      <c r="AK119" s="2675" t="n">
        <v>150000</v>
      </c>
      <c r="AL119" s="26" t="n"/>
      <c r="AM119" s="26" t="n"/>
      <c r="AN119" s="26" t="n"/>
      <c r="AO119" s="26" t="n"/>
      <c r="AP119" s="26" t="n"/>
      <c r="AQ119" s="26" t="n"/>
      <c r="AR119" s="27" t="n"/>
    </row>
    <row r="120" s="3154" customFormat="1" ht="15" customHeight="1">
      <c r="A120" s="627" t="n"/>
      <c r="B120" s="26" t="n"/>
      <c r="C120" s="26" t="n"/>
      <c r="D120" s="26" t="n"/>
      <c r="E120" s="26" t="n"/>
      <c r="F120" s="26" t="n"/>
      <c r="G120" s="26" t="n"/>
      <c r="H120" s="26" t="n"/>
      <c r="I120" s="26" t="n"/>
      <c r="J120" s="26" t="n"/>
      <c r="K120" s="26" t="n"/>
      <c r="L120" s="26" t="n"/>
      <c r="M120" s="26" t="n"/>
      <c r="N120" s="26" t="n"/>
      <c r="O120" s="26" t="n"/>
      <c r="P120" s="26" t="n"/>
      <c r="Q120" s="26" t="n"/>
      <c r="R120" s="26" t="n"/>
      <c r="S120" s="26" t="n"/>
      <c r="T120" s="26" t="n"/>
      <c r="U120" s="26" t="n"/>
      <c r="V120" s="26" t="n"/>
      <c r="W120" s="26" t="n"/>
      <c r="X120" s="26" t="n"/>
      <c r="Y120" s="26" t="n"/>
      <c r="Z120" s="26" t="n"/>
      <c r="AA120" s="26" t="n"/>
      <c r="AB120" s="26" t="n"/>
      <c r="AC120" s="26" t="n"/>
      <c r="AD120" s="26" t="n"/>
      <c r="AE120" s="26" t="n"/>
      <c r="AF120" s="26" t="n"/>
      <c r="AG120" s="26" t="n"/>
      <c r="AH120" s="26" t="n"/>
      <c r="AI120" s="2673" t="inlineStr">
        <is>
          <t xml:space="preserve">Civil Engineering</t>
        </is>
      </c>
      <c r="AJ120" s="2673" t="inlineStr">
        <is>
          <t xml:space="preserve">[3]</t>
        </is>
      </c>
      <c r="AK120" s="2675" t="n">
        <v>150000</v>
      </c>
      <c r="AL120" s="26" t="n"/>
      <c r="AM120" s="26" t="n"/>
      <c r="AN120" s="26" t="n"/>
      <c r="AO120" s="26" t="n"/>
      <c r="AP120" s="26" t="n"/>
      <c r="AQ120" s="26" t="n"/>
      <c r="AR120" s="27" t="n"/>
    </row>
    <row r="121" s="3154" customFormat="1" ht="15" customHeight="1">
      <c r="A121" s="627" t="n"/>
      <c r="B121" s="26" t="n"/>
      <c r="C121" s="26" t="n"/>
      <c r="D121" s="26" t="n"/>
      <c r="E121" s="26" t="n"/>
      <c r="F121" s="26" t="n"/>
      <c r="G121" s="26" t="n"/>
      <c r="H121" s="26" t="n"/>
      <c r="I121" s="26" t="n"/>
      <c r="J121" s="26" t="n"/>
      <c r="K121" s="26" t="n"/>
      <c r="L121" s="26" t="n"/>
      <c r="M121" s="26" t="n"/>
      <c r="N121" s="26" t="n"/>
      <c r="O121" s="26" t="n"/>
      <c r="P121" s="26" t="n"/>
      <c r="Q121" s="26" t="n"/>
      <c r="R121" s="26" t="n"/>
      <c r="S121" s="26" t="n"/>
      <c r="T121" s="26" t="n"/>
      <c r="U121" s="26" t="n"/>
      <c r="V121" s="26" t="n"/>
      <c r="W121" s="26" t="n"/>
      <c r="X121" s="26" t="n"/>
      <c r="Y121" s="26" t="n"/>
      <c r="Z121" s="26" t="n"/>
      <c r="AA121" s="26" t="n"/>
      <c r="AB121" s="26" t="n"/>
      <c r="AC121" s="26" t="n"/>
      <c r="AD121" s="26" t="n"/>
      <c r="AE121" s="26" t="n"/>
      <c r="AF121" s="26" t="n"/>
      <c r="AG121" s="26" t="n"/>
      <c r="AH121" s="26" t="n"/>
      <c r="AI121" s="2673" t="inlineStr">
        <is>
          <t xml:space="preserve">Survey</t>
        </is>
      </c>
      <c r="AJ121" s="2673" t="inlineStr">
        <is>
          <t xml:space="preserve">[4]</t>
        </is>
      </c>
      <c r="AK121" s="2675" t="n">
        <v>40000</v>
      </c>
      <c r="AL121" s="26" t="n"/>
      <c r="AM121" s="26" t="n"/>
      <c r="AN121" s="26" t="n"/>
      <c r="AO121" s="26" t="n"/>
      <c r="AP121" s="26" t="n"/>
      <c r="AQ121" s="26" t="n"/>
      <c r="AR121" s="27" t="n"/>
    </row>
    <row r="122" s="3154" customFormat="1" ht="15" customHeight="1">
      <c r="A122" s="627" t="n"/>
      <c r="B122" s="26" t="n"/>
      <c r="C122" s="26" t="n"/>
      <c r="D122" s="26" t="n"/>
      <c r="E122" s="26" t="n"/>
      <c r="F122" s="26" t="n"/>
      <c r="G122" s="26" t="n"/>
      <c r="H122" s="26" t="n"/>
      <c r="I122" s="26" t="n"/>
      <c r="J122" s="26" t="n"/>
      <c r="K122" s="26" t="n"/>
      <c r="L122" s="26" t="n"/>
      <c r="M122" s="26" t="n"/>
      <c r="N122" s="26" t="n"/>
      <c r="O122" s="26" t="n"/>
      <c r="P122" s="26" t="n"/>
      <c r="Q122" s="26" t="n"/>
      <c r="R122" s="26" t="n"/>
      <c r="S122" s="26" t="n"/>
      <c r="T122" s="26" t="n"/>
      <c r="U122" s="26" t="n"/>
      <c r="V122" s="26" t="n"/>
      <c r="W122" s="26" t="n"/>
      <c r="X122" s="26" t="n"/>
      <c r="Y122" s="26" t="n"/>
      <c r="Z122" s="26" t="n"/>
      <c r="AA122" s="26" t="n"/>
      <c r="AB122" s="26" t="n"/>
      <c r="AC122" s="26" t="n"/>
      <c r="AD122" s="26" t="n"/>
      <c r="AE122" s="26" t="n"/>
      <c r="AF122" s="26" t="n"/>
      <c r="AG122" s="26" t="n"/>
      <c r="AH122" s="26" t="n"/>
      <c r="AI122" s="2673" t="inlineStr">
        <is>
          <t xml:space="preserve">Geotech / Soils</t>
        </is>
      </c>
      <c r="AJ122" s="2673" t="inlineStr">
        <is>
          <t xml:space="preserve">[5]</t>
        </is>
      </c>
      <c r="AK122" s="2675" t="n">
        <f t="array" ref="AK122">10000*5</f>
        <v>50000</v>
      </c>
      <c r="AL122" s="26" t="n"/>
      <c r="AM122" s="26" t="n"/>
      <c r="AN122" s="26" t="n"/>
      <c r="AO122" s="26" t="n"/>
      <c r="AP122" s="26" t="n"/>
      <c r="AQ122" s="26" t="n"/>
      <c r="AR122" s="27" t="n"/>
    </row>
    <row r="123" s="3154" customFormat="1" ht="15" customHeight="1">
      <c r="A123" s="627" t="n"/>
      <c r="B123" s="26" t="n"/>
      <c r="C123" s="26" t="n"/>
      <c r="D123" s="26" t="n"/>
      <c r="E123" s="26" t="n"/>
      <c r="F123" s="26" t="n"/>
      <c r="G123" s="26" t="n"/>
      <c r="H123" s="26" t="n"/>
      <c r="I123" s="26" t="n"/>
      <c r="J123" s="26" t="n"/>
      <c r="K123" s="26" t="n"/>
      <c r="L123" s="26" t="n"/>
      <c r="M123" s="26" t="n"/>
      <c r="N123" s="26" t="n"/>
      <c r="O123" s="26" t="n"/>
      <c r="P123" s="26" t="n"/>
      <c r="Q123" s="26" t="n"/>
      <c r="R123" s="26" t="n"/>
      <c r="S123" s="26" t="n"/>
      <c r="T123" s="26" t="n"/>
      <c r="U123" s="26" t="n"/>
      <c r="V123" s="26" t="n"/>
      <c r="W123" s="26" t="n"/>
      <c r="X123" s="26" t="n"/>
      <c r="Y123" s="26" t="n"/>
      <c r="Z123" s="26" t="n"/>
      <c r="AA123" s="26" t="n"/>
      <c r="AB123" s="26" t="n"/>
      <c r="AC123" s="26" t="n"/>
      <c r="AD123" s="26" t="n"/>
      <c r="AE123" s="26" t="n"/>
      <c r="AF123" s="26" t="n"/>
      <c r="AG123" s="26" t="n"/>
      <c r="AH123" s="26" t="n"/>
      <c r="AI123" s="2673" t="inlineStr">
        <is>
          <t xml:space="preserve">Project Management</t>
        </is>
      </c>
      <c r="AJ123" s="2628" t="n"/>
      <c r="AK123" s="2675" t="n">
        <f t="array" ref="AK123">10000*5</f>
        <v>50000</v>
      </c>
      <c r="AL123" s="26" t="n"/>
      <c r="AM123" s="26" t="n"/>
      <c r="AN123" s="26" t="n"/>
      <c r="AO123" s="26" t="n"/>
      <c r="AP123" s="26" t="n"/>
      <c r="AQ123" s="26" t="n"/>
      <c r="AR123" s="27" t="n"/>
    </row>
    <row r="124" s="3154" customFormat="1" ht="15" customHeight="1">
      <c r="A124" s="627" t="n"/>
      <c r="B124" s="26" t="n"/>
      <c r="C124" s="26" t="n"/>
      <c r="D124" s="26" t="n"/>
      <c r="E124" s="26" t="n"/>
      <c r="F124" s="26" t="n"/>
      <c r="G124" s="26" t="n"/>
      <c r="H124" s="26" t="n"/>
      <c r="I124" s="26" t="n"/>
      <c r="J124" s="26" t="n"/>
      <c r="K124" s="26" t="n"/>
      <c r="L124" s="26" t="n"/>
      <c r="M124" s="26" t="n"/>
      <c r="N124" s="26" t="n"/>
      <c r="O124" s="26" t="n"/>
      <c r="P124" s="26" t="n"/>
      <c r="Q124" s="26" t="n"/>
      <c r="R124" s="26" t="n"/>
      <c r="S124" s="26" t="n"/>
      <c r="T124" s="26" t="n"/>
      <c r="U124" s="26" t="n"/>
      <c r="V124" s="26" t="n"/>
      <c r="W124" s="26" t="n"/>
      <c r="X124" s="26" t="n"/>
      <c r="Y124" s="26" t="n"/>
      <c r="Z124" s="26" t="n"/>
      <c r="AA124" s="26" t="n"/>
      <c r="AB124" s="26" t="n"/>
      <c r="AC124" s="26" t="n"/>
      <c r="AD124" s="26" t="n"/>
      <c r="AE124" s="26" t="n"/>
      <c r="AF124" s="26" t="n"/>
      <c r="AG124" s="26" t="n"/>
      <c r="AH124" s="26" t="n"/>
      <c r="AI124" s="2673" t="inlineStr">
        <is>
          <t xml:space="preserve">Contingency</t>
        </is>
      </c>
      <c r="AJ124" s="2676" t="n">
        <v>0.1</v>
      </c>
      <c r="AK124" s="2677" t="n">
        <f t="array" ref="AK124">SUM(AK118:AK123)*0.1</f>
        <v>51500</v>
      </c>
      <c r="AL124" s="26" t="n"/>
      <c r="AM124" s="26" t="n"/>
      <c r="AN124" s="26" t="n"/>
      <c r="AO124" s="26" t="n"/>
      <c r="AP124" s="26" t="n"/>
      <c r="AQ124" s="26" t="n"/>
      <c r="AR124" s="27" t="n"/>
    </row>
    <row r="125" s="3154" customFormat="1" ht="15" customHeight="1">
      <c r="A125" s="633" t="n"/>
      <c r="B125" s="634" t="n"/>
      <c r="C125" s="634" t="n"/>
      <c r="D125" s="634" t="n"/>
      <c r="E125" s="634" t="n"/>
      <c r="F125" s="634" t="n"/>
      <c r="G125" s="634" t="n"/>
      <c r="H125" s="634" t="n"/>
      <c r="I125" s="634" t="n"/>
      <c r="J125" s="634" t="n"/>
      <c r="K125" s="634" t="n"/>
      <c r="L125" s="634" t="n"/>
      <c r="M125" s="634" t="n"/>
      <c r="N125" s="634" t="n"/>
      <c r="O125" s="634" t="n"/>
      <c r="P125" s="634" t="n"/>
      <c r="Q125" s="634" t="n"/>
      <c r="R125" s="634" t="n"/>
      <c r="S125" s="634" t="n"/>
      <c r="T125" s="634" t="n"/>
      <c r="U125" s="634" t="n"/>
      <c r="V125" s="634" t="n"/>
      <c r="W125" s="634" t="n"/>
      <c r="X125" s="634" t="n"/>
      <c r="Y125" s="634" t="n"/>
      <c r="Z125" s="634" t="n"/>
      <c r="AA125" s="634" t="n"/>
      <c r="AB125" s="634" t="n"/>
      <c r="AC125" s="634" t="n"/>
      <c r="AD125" s="634" t="n"/>
      <c r="AE125" s="634" t="n"/>
      <c r="AF125" s="634" t="n"/>
      <c r="AG125" s="634" t="n"/>
      <c r="AH125" s="634" t="n"/>
      <c r="AI125" s="2678" t="inlineStr">
        <is>
          <t xml:space="preserve">Total Pursuit Costs</t>
        </is>
      </c>
      <c r="AJ125" s="2679" t="n"/>
      <c r="AK125" s="4228" t="n">
        <f t="array" ref="AK125">SUM(AK117:AK124)</f>
        <v>3966500</v>
      </c>
      <c r="AL125" s="634" t="n"/>
      <c r="AM125" s="634" t="n"/>
      <c r="AN125" s="634" t="n"/>
      <c r="AO125" s="634" t="n"/>
      <c r="AP125" s="634" t="n"/>
      <c r="AQ125" s="634" t="n"/>
      <c r="AR125" s="635" t="n"/>
    </row>
  </sheetData>
  <mergeCells>
    <mergeCell ref="AD103:AG103"/>
    <mergeCell ref="B29:C29"/>
  </mergeCells>
  <pageMargins left="0.7" right="0.7" top="0.75" bottom="0.75" header="0.3" footer="0.3"/>
</worksheet>
</file>

<file path=xl/worksheets/sheet25.xml><?xml version="1.0" encoding="utf-8"?>
<worksheet xmlns="http://schemas.openxmlformats.org/spreadsheetml/2006/main">
  <sheetViews>
    <sheetView showGridLines="0" workbookViewId="0"/>
  </sheetViews>
  <sheetFormatPr baseColWidth="8" defaultColWidth="9" defaultRowHeight="15"/>
  <cols>
    <col min="1" max="1" width="9" style="3136" customWidth="1"/>
    <col min="2" max="2" width="22.171899795532227" style="3136" customWidth="1"/>
    <col min="3" max="5" width="10.5" style="3136" customWidth="1"/>
    <col min="6" max="6" width="13.671899795532227" style="3136" customWidth="1"/>
    <col min="7" max="7" width="14.35159969329834" style="3136" customWidth="1"/>
    <col min="8" max="15" width="11.85159969329834" style="3136" customWidth="1"/>
    <col min="16" max="16" width="2.671880006790161" style="3136" customWidth="1"/>
    <col min="17" max="17" width="18.351600646972656" style="3136" customWidth="1"/>
    <col min="18" max="18" width="27" style="3136" customWidth="1"/>
    <col min="19" max="19" width="11.171899795532227" style="3136" customWidth="1"/>
    <col min="20" max="22" width="12.35159969329834" style="3136" customWidth="1"/>
    <col min="23" max="23" width="10.171899795532227" style="3136" customWidth="1"/>
    <col min="24" max="26" width="11.35159969329834" style="3136" customWidth="1"/>
    <col min="27" max="27" width="23.171899795532227" style="3136" customWidth="1"/>
    <col min="28" max="28" width="7.171879768371582" style="3136" customWidth="1"/>
    <col min="29" max="29" width="10.85159969329834" style="3136" customWidth="1"/>
    <col min="30" max="16384" width="9" style="3136" customWidth="1"/>
  </cols>
  <sheetData>
    <row r="1" s="3154" customFormat="1" ht="15" customHeight="1">
      <c r="A1" s="2597" t="n"/>
      <c r="B1" s="11" t="n"/>
      <c r="C1" s="11" t="n"/>
      <c r="D1" s="11" t="n"/>
      <c r="E1" s="11" t="n"/>
      <c r="F1" s="11" t="n"/>
      <c r="G1" s="11" t="n"/>
      <c r="H1" s="11" t="n"/>
      <c r="I1" s="11" t="n"/>
      <c r="J1" s="11" t="n"/>
      <c r="K1" s="11" t="n"/>
      <c r="L1" s="11" t="n"/>
      <c r="M1" s="11" t="n"/>
      <c r="N1" s="11" t="n"/>
      <c r="O1" s="11" t="n"/>
      <c r="P1" s="11" t="n"/>
      <c r="Q1" s="11" t="n"/>
      <c r="R1" s="11" t="n"/>
      <c r="S1" s="11" t="n"/>
      <c r="T1" s="11" t="n"/>
      <c r="U1" s="11" t="n"/>
      <c r="V1" s="11" t="n"/>
      <c r="W1" s="11" t="n"/>
      <c r="X1" s="11" t="n"/>
      <c r="Y1" s="11" t="n"/>
      <c r="Z1" s="11" t="n"/>
      <c r="AA1" s="11" t="n"/>
      <c r="AB1" s="11" t="n"/>
      <c r="AC1" s="13" t="n"/>
    </row>
    <row r="2" s="3154" customFormat="1" ht="15" customHeight="1">
      <c r="A2" s="627" t="n"/>
      <c r="B2" s="26" t="n"/>
      <c r="C2" s="26" t="n"/>
      <c r="D2" s="26" t="n"/>
      <c r="E2" s="26" t="n"/>
      <c r="F2" s="26" t="n"/>
      <c r="G2" s="26" t="n"/>
      <c r="H2" s="26" t="n"/>
      <c r="I2" s="26" t="n"/>
      <c r="J2" s="26" t="n"/>
      <c r="K2" s="26" t="n"/>
      <c r="L2" s="26" t="n"/>
      <c r="M2" s="26" t="n"/>
      <c r="N2" s="26" t="n"/>
      <c r="O2" s="26" t="n"/>
      <c r="P2" s="26" t="n"/>
      <c r="Q2" s="26" t="n"/>
      <c r="R2" s="26" t="n"/>
      <c r="S2" s="26" t="n"/>
      <c r="T2" s="26" t="n"/>
      <c r="U2" s="26" t="n"/>
      <c r="V2" s="26" t="n"/>
      <c r="W2" s="26" t="n"/>
      <c r="X2" s="26" t="n"/>
      <c r="Y2" s="26" t="n"/>
      <c r="Z2" s="26" t="n"/>
      <c r="AA2" s="26" t="n"/>
      <c r="AB2" s="26" t="n"/>
      <c r="AC2" s="27" t="n"/>
    </row>
    <row r="3" s="3154" customFormat="1" ht="15" customHeight="1">
      <c r="A3" s="627" t="n"/>
      <c r="B3" s="2598" t="inlineStr">
        <is>
          <t xml:space="preserve">General Information</t>
        </is>
      </c>
      <c r="C3" s="2682" t="n"/>
      <c r="D3" s="2638" t="n"/>
      <c r="E3" s="2638" t="n"/>
      <c r="F3" s="26" t="n"/>
      <c r="G3" s="26" t="n"/>
      <c r="H3" s="26" t="n"/>
      <c r="I3" s="26" t="n"/>
      <c r="J3" s="26" t="n"/>
      <c r="K3" s="26" t="n"/>
      <c r="L3" s="26" t="n"/>
      <c r="M3" s="26" t="n"/>
      <c r="N3" s="26" t="n"/>
      <c r="O3" s="26" t="n"/>
      <c r="P3" s="26" t="n"/>
      <c r="Q3" s="26" t="n"/>
      <c r="R3" s="26" t="n"/>
      <c r="S3" s="26" t="n"/>
      <c r="T3" s="26" t="n"/>
      <c r="U3" s="26" t="n"/>
      <c r="V3" s="26" t="n"/>
      <c r="W3" s="26" t="n"/>
      <c r="X3" s="26" t="n"/>
      <c r="Y3" s="26" t="n"/>
      <c r="Z3" s="26" t="n"/>
      <c r="AA3" s="26" t="n"/>
      <c r="AB3" s="26" t="n"/>
      <c r="AC3" s="27" t="n"/>
    </row>
    <row r="4" s="3154" customFormat="1" ht="15" customHeight="1">
      <c r="A4" s="627" t="n"/>
      <c r="B4" s="429" t="inlineStr">
        <is>
          <t xml:space="preserve">Total Gross Building Area</t>
        </is>
      </c>
      <c r="C4" s="4196" t="n"/>
      <c r="D4" s="4043" t="n"/>
      <c r="E4" s="562" t="inlineStr">
        <is>
          <t xml:space="preserve">90,000 SF</t>
        </is>
      </c>
      <c r="F4" s="26" t="n"/>
      <c r="G4" s="26" t="n"/>
      <c r="H4" s="26" t="n"/>
      <c r="I4" s="26" t="n"/>
      <c r="J4" s="26" t="n"/>
      <c r="K4" s="26" t="n"/>
      <c r="L4" s="26" t="n"/>
      <c r="M4" s="26" t="n"/>
      <c r="N4" s="26" t="n"/>
      <c r="O4" s="26" t="n"/>
      <c r="P4" s="26" t="n"/>
      <c r="Q4" s="26" t="n"/>
      <c r="R4" s="26" t="n"/>
      <c r="S4" s="26" t="n"/>
      <c r="T4" s="26" t="n"/>
      <c r="U4" s="26" t="n"/>
      <c r="V4" s="26" t="n"/>
      <c r="W4" s="26" t="n"/>
      <c r="X4" s="26" t="n"/>
      <c r="Y4" s="26" t="n"/>
      <c r="Z4" s="26" t="n"/>
      <c r="AA4" s="26" t="n"/>
      <c r="AB4" s="26" t="n"/>
      <c r="AC4" s="27" t="n"/>
    </row>
    <row r="5" s="3154" customFormat="1" ht="15" customHeight="1">
      <c r="A5" s="627" t="n"/>
      <c r="B5" s="429" t="inlineStr">
        <is>
          <t xml:space="preserve">Total Keys</t>
        </is>
      </c>
      <c r="C5" s="26" t="n"/>
      <c r="D5" s="26" t="n"/>
      <c r="E5" s="4229" t="n">
        <f t="array" ref="E5">'Project Summary'!I7</f>
        <v>100</v>
      </c>
      <c r="F5" s="26" t="n"/>
      <c r="G5" s="26" t="n"/>
      <c r="H5" s="26" t="n"/>
      <c r="I5" s="26" t="n"/>
      <c r="J5" s="26" t="n"/>
      <c r="K5" s="26" t="n"/>
      <c r="L5" s="4020" t="n"/>
      <c r="M5" s="4020" t="n"/>
      <c r="N5" s="26" t="n"/>
      <c r="O5" s="26" t="n"/>
      <c r="P5" s="26" t="n"/>
      <c r="Q5" s="4205" t="n"/>
      <c r="R5" s="26" t="n"/>
      <c r="S5" s="26" t="n"/>
      <c r="T5" s="26" t="n"/>
      <c r="U5" s="26" t="n"/>
      <c r="V5" s="26" t="n"/>
      <c r="W5" s="26" t="n"/>
      <c r="X5" s="26" t="n"/>
      <c r="Y5" s="26" t="n"/>
      <c r="Z5" s="26" t="n"/>
      <c r="AA5" s="26" t="n"/>
      <c r="AB5" s="26" t="n"/>
      <c r="AC5" s="27" t="n"/>
    </row>
    <row r="6" s="3154" customFormat="1" ht="15" customHeight="1">
      <c r="A6" s="627" t="n"/>
      <c r="B6" s="429" t="inlineStr">
        <is>
          <t xml:space="preserve">Meeting Space</t>
        </is>
      </c>
      <c r="C6" s="26" t="n"/>
      <c r="D6" s="2121" t="n"/>
      <c r="E6" s="562" t="inlineStr">
        <is>
          <t xml:space="preserve">5,000 SF</t>
        </is>
      </c>
      <c r="F6" s="26" t="n"/>
      <c r="G6" s="26" t="n"/>
      <c r="H6" s="26" t="n"/>
      <c r="I6" s="26" t="n"/>
      <c r="J6" s="26" t="n"/>
      <c r="K6" s="26" t="n"/>
      <c r="L6" s="4020" t="n"/>
      <c r="M6" s="4020" t="n"/>
      <c r="N6" s="26" t="n"/>
      <c r="O6" s="26" t="n"/>
      <c r="P6" s="26" t="n"/>
      <c r="Q6" s="4205" t="n"/>
      <c r="R6" s="26" t="n"/>
      <c r="S6" s="26" t="n"/>
      <c r="T6" s="26" t="n"/>
      <c r="U6" s="26" t="n"/>
      <c r="V6" s="26" t="n"/>
      <c r="W6" s="26" t="n"/>
      <c r="X6" s="26" t="n"/>
      <c r="Y6" s="26" t="n"/>
      <c r="Z6" s="26" t="n"/>
      <c r="AA6" s="26" t="n"/>
      <c r="AB6" s="26" t="n"/>
      <c r="AC6" s="27" t="n"/>
    </row>
    <row r="7" s="3154" customFormat="1" ht="15" customHeight="1">
      <c r="A7" s="627" t="n"/>
      <c r="B7" s="429" t="inlineStr">
        <is>
          <t xml:space="preserve">ADR</t>
        </is>
      </c>
      <c r="C7" s="26" t="n"/>
      <c r="D7" s="26" t="n"/>
      <c r="E7" s="4048" t="n">
        <f t="array" ref="E7">'Assumptions'!F32</f>
        <v>74</v>
      </c>
      <c r="F7" s="26" t="n"/>
      <c r="G7" s="26" t="n"/>
      <c r="H7" s="26" t="n"/>
      <c r="I7" s="26" t="n"/>
      <c r="J7" s="26" t="n"/>
      <c r="K7" s="26" t="n"/>
      <c r="L7" s="4020" t="n"/>
      <c r="M7" s="4020" t="n"/>
      <c r="N7" s="26" t="n"/>
      <c r="O7" s="26" t="n"/>
      <c r="P7" s="26" t="n"/>
      <c r="Q7" s="4205" t="n"/>
      <c r="R7" s="26" t="n"/>
      <c r="S7" s="26" t="n"/>
      <c r="T7" s="26" t="n"/>
      <c r="U7" s="26" t="n"/>
      <c r="V7" s="26" t="n"/>
      <c r="W7" s="26" t="n"/>
      <c r="X7" s="26" t="n"/>
      <c r="Y7" s="26" t="n"/>
      <c r="Z7" s="26" t="n"/>
      <c r="AA7" s="26" t="n"/>
      <c r="AB7" s="26" t="n"/>
      <c r="AC7" s="27" t="n"/>
    </row>
    <row r="8" s="3154" customFormat="1" ht="15" customHeight="1">
      <c r="A8" s="627" t="n"/>
      <c r="B8" s="429" t="inlineStr">
        <is>
          <t xml:space="preserve">Stabilized Occupancy</t>
        </is>
      </c>
      <c r="C8" s="26" t="n"/>
      <c r="D8" s="26" t="n"/>
      <c r="E8" s="1922" t="n">
        <f t="array" ref="E8">'Assumptions'!I30</f>
        <v>0.72</v>
      </c>
      <c r="F8" s="26" t="n"/>
      <c r="G8" s="26" t="n"/>
      <c r="H8" s="26" t="n"/>
      <c r="I8" s="26" t="n"/>
      <c r="J8" s="26" t="n"/>
      <c r="K8" s="26" t="n"/>
      <c r="L8" s="26" t="n"/>
      <c r="M8" s="26" t="n"/>
      <c r="N8" s="26" t="n"/>
      <c r="O8" s="26" t="n"/>
      <c r="P8" s="26" t="n"/>
      <c r="Q8" s="26" t="n"/>
      <c r="R8" s="26" t="n"/>
      <c r="S8" s="26" t="n"/>
      <c r="T8" s="26" t="n"/>
      <c r="U8" s="26" t="n"/>
      <c r="V8" s="26" t="n"/>
      <c r="W8" s="26" t="n"/>
      <c r="X8" s="26" t="n"/>
      <c r="Y8" s="26" t="n"/>
      <c r="Z8" s="26" t="n"/>
      <c r="AA8" s="26" t="n"/>
      <c r="AB8" s="26" t="n"/>
      <c r="AC8" s="27" t="n"/>
    </row>
    <row r="9" s="3154" customFormat="1" ht="15" customHeight="1">
      <c r="A9" s="627" t="n"/>
      <c r="B9" s="429" t="inlineStr">
        <is>
          <t xml:space="preserve">RevPar</t>
        </is>
      </c>
      <c r="C9" s="26" t="n"/>
      <c r="D9" s="26" t="n"/>
      <c r="E9" s="4048" t="n">
        <f t="array" ref="E9">'Assumptions'!F34</f>
        <v>40.7</v>
      </c>
      <c r="F9" s="26" t="n"/>
      <c r="G9" s="26" t="n"/>
      <c r="H9" s="2637" t="n"/>
      <c r="I9" s="2637" t="n"/>
      <c r="J9" s="2637" t="n"/>
      <c r="K9" s="2637" t="n"/>
      <c r="L9" s="2637" t="n"/>
      <c r="M9" s="2637" t="n"/>
      <c r="N9" s="2637" t="n"/>
      <c r="O9" s="2637" t="n"/>
      <c r="P9" s="26" t="n"/>
      <c r="Q9" s="26" t="n"/>
      <c r="R9" s="26" t="n"/>
      <c r="S9" s="26" t="n"/>
      <c r="T9" s="26" t="n"/>
      <c r="U9" s="26" t="n"/>
      <c r="V9" s="26" t="n"/>
      <c r="W9" s="26" t="n"/>
      <c r="X9" s="26" t="n"/>
      <c r="Y9" s="26" t="n"/>
      <c r="Z9" s="26" t="n"/>
      <c r="AA9" s="26" t="n"/>
      <c r="AB9" s="26" t="n"/>
      <c r="AC9" s="27" t="n"/>
    </row>
    <row r="10" s="3154" customFormat="1" ht="15" customHeight="1">
      <c r="A10" s="627" t="n"/>
      <c r="B10" s="429" t="inlineStr">
        <is>
          <t xml:space="preserve">RevPar Growth</t>
        </is>
      </c>
      <c r="C10" s="26" t="n"/>
      <c r="D10" s="26" t="n"/>
      <c r="E10" s="2121" t="n">
        <v>0.055</v>
      </c>
      <c r="F10" s="26" t="n"/>
      <c r="G10" s="26" t="n"/>
      <c r="H10" s="26" t="n"/>
      <c r="I10" s="26" t="n"/>
      <c r="J10" s="26" t="n"/>
      <c r="K10" s="26" t="n"/>
      <c r="L10" s="26" t="n"/>
      <c r="M10" s="26" t="n"/>
      <c r="N10" s="26" t="n"/>
      <c r="O10" s="26" t="n"/>
      <c r="P10" s="26" t="n"/>
      <c r="Q10" s="26" t="n"/>
      <c r="R10" s="26" t="n"/>
      <c r="S10" s="26" t="n"/>
      <c r="T10" s="26" t="n"/>
      <c r="U10" s="26" t="n"/>
      <c r="V10" s="26" t="n"/>
      <c r="W10" s="26" t="n"/>
      <c r="X10" s="26" t="n"/>
      <c r="Y10" s="26" t="n"/>
      <c r="Z10" s="26" t="n"/>
      <c r="AA10" s="2628" t="n"/>
      <c r="AB10" s="2628" t="n"/>
      <c r="AC10" s="2684" t="n"/>
    </row>
    <row r="11" s="3154" customFormat="1" ht="15" customHeight="1">
      <c r="A11" s="627" t="n"/>
      <c r="B11" s="429" t="inlineStr">
        <is>
          <t xml:space="preserve">Hold Period</t>
        </is>
      </c>
      <c r="C11" s="26" t="n"/>
      <c r="D11" s="26" t="n"/>
      <c r="E11" s="2685" t="inlineStr">
        <is>
          <t xml:space="preserve">10 Years</t>
        </is>
      </c>
      <c r="F11" s="26" t="n"/>
      <c r="G11" s="26" t="n"/>
      <c r="H11" s="26" t="n"/>
      <c r="I11" s="26" t="n"/>
      <c r="J11" s="26" t="n"/>
      <c r="K11" s="26" t="n"/>
      <c r="L11" s="26" t="n"/>
      <c r="M11" s="26" t="n"/>
      <c r="N11" s="26" t="n"/>
      <c r="O11" s="26" t="n"/>
      <c r="P11" s="26" t="n"/>
      <c r="Q11" s="26" t="n"/>
      <c r="R11" s="26" t="n"/>
      <c r="S11" s="26" t="n"/>
      <c r="T11" s="26" t="n"/>
      <c r="U11" s="26" t="n"/>
      <c r="V11" s="26" t="n"/>
      <c r="W11" s="26" t="n"/>
      <c r="X11" s="26" t="n"/>
      <c r="Y11" s="26" t="n"/>
      <c r="Z11" s="26" t="n"/>
      <c r="AA11" s="2628" t="n"/>
      <c r="AB11" s="2628" t="n"/>
      <c r="AC11" s="2684" t="n"/>
    </row>
    <row r="12" s="3154" customFormat="1" ht="15" customHeight="1">
      <c r="A12" s="627" t="n"/>
      <c r="B12" s="2598" t="inlineStr">
        <is>
          <t xml:space="preserve">Debt Terms</t>
        </is>
      </c>
      <c r="C12" s="2633" t="n"/>
      <c r="D12" s="2633" t="n"/>
      <c r="E12" s="2633" t="n"/>
      <c r="F12" s="26" t="n"/>
      <c r="G12" s="26" t="n"/>
      <c r="H12" s="26" t="n"/>
      <c r="I12" s="26" t="n"/>
      <c r="J12" s="26" t="n"/>
      <c r="K12" s="26" t="n"/>
      <c r="L12" s="26" t="n"/>
      <c r="M12" s="26" t="n"/>
      <c r="N12" s="26" t="n"/>
      <c r="O12" s="26" t="n"/>
      <c r="P12" s="26" t="n"/>
      <c r="Q12" s="26" t="n"/>
      <c r="R12" s="26" t="n"/>
      <c r="S12" s="26" t="n"/>
      <c r="T12" s="26" t="n"/>
      <c r="U12" s="26" t="n"/>
      <c r="V12" s="26" t="n"/>
      <c r="W12" s="26" t="n"/>
      <c r="X12" s="26" t="n"/>
      <c r="Y12" s="26" t="n"/>
      <c r="Z12" s="26" t="n"/>
      <c r="AA12" s="2628" t="n"/>
      <c r="AB12" s="2628" t="n"/>
      <c r="AC12" s="2684" t="n"/>
    </row>
    <row r="13" s="3154" customFormat="1" ht="15" customHeight="1">
      <c r="A13" s="627" t="n"/>
      <c r="B13" s="2655" t="inlineStr">
        <is>
          <t xml:space="preserve">Constuction Loan</t>
        </is>
      </c>
      <c r="C13" s="26" t="n"/>
      <c r="D13" s="1922" t="n">
        <v>0.65</v>
      </c>
      <c r="E13" s="4043" t="n">
        <f t="array" ref="E13">'Project Summary'!C8</f>
        <v>5003304.429259213</v>
      </c>
      <c r="F13" s="26" t="n"/>
      <c r="G13" s="26" t="n"/>
      <c r="H13" s="26" t="n"/>
      <c r="I13" s="26" t="n"/>
      <c r="J13" s="26" t="n"/>
      <c r="K13" s="26" t="n"/>
      <c r="L13" s="26" t="n"/>
      <c r="M13" s="26" t="n"/>
      <c r="N13" s="26" t="n"/>
      <c r="O13" s="26" t="n"/>
      <c r="P13" s="26" t="n"/>
      <c r="Q13" s="26" t="n"/>
      <c r="R13" s="26" t="n"/>
      <c r="S13" s="26" t="n"/>
      <c r="T13" s="26" t="n"/>
      <c r="U13" s="26" t="n"/>
      <c r="V13" s="26" t="n"/>
      <c r="W13" s="26" t="n"/>
      <c r="X13" s="26" t="n"/>
      <c r="Y13" s="26" t="n"/>
      <c r="Z13" s="26" t="n"/>
      <c r="AA13" s="2628" t="n"/>
      <c r="AB13" s="2628" t="n"/>
      <c r="AC13" s="2684" t="n"/>
    </row>
    <row r="14" s="3154" customFormat="1" ht="15" customHeight="1">
      <c r="A14" s="627" t="n"/>
      <c r="B14" s="429" t="inlineStr">
        <is>
          <t xml:space="preserve">Loan Term</t>
        </is>
      </c>
      <c r="C14" s="26" t="n"/>
      <c r="D14" s="26" t="n"/>
      <c r="E14" s="2685" t="inlineStr">
        <is>
          <t xml:space="preserve">3 Years</t>
        </is>
      </c>
      <c r="F14" s="26" t="n"/>
      <c r="G14" s="26" t="n"/>
      <c r="H14" s="26" t="n"/>
      <c r="I14" s="26" t="n"/>
      <c r="J14" s="26" t="n"/>
      <c r="K14" s="26" t="n"/>
      <c r="L14" s="26" t="n"/>
      <c r="M14" s="26" t="n"/>
      <c r="N14" s="26" t="n"/>
      <c r="O14" s="26" t="n"/>
      <c r="P14" s="26" t="n"/>
      <c r="Q14" s="26" t="n"/>
      <c r="R14" s="26" t="n"/>
      <c r="S14" s="26" t="n"/>
      <c r="T14" s="26" t="n"/>
      <c r="U14" s="26" t="n"/>
      <c r="V14" s="26" t="n"/>
      <c r="W14" s="26" t="n"/>
      <c r="X14" s="26" t="n"/>
      <c r="Y14" s="26" t="n"/>
      <c r="Z14" s="26" t="n"/>
      <c r="AA14" s="2628" t="n"/>
      <c r="AB14" s="2676" t="n"/>
      <c r="AC14" s="2686" t="n"/>
    </row>
    <row r="15" s="3154" customFormat="1" ht="15" customHeight="1">
      <c r="A15" s="627" t="n"/>
      <c r="B15" s="429" t="inlineStr">
        <is>
          <t xml:space="preserve">Interest Rate</t>
        </is>
      </c>
      <c r="C15" s="26" t="n"/>
      <c r="D15" s="26" t="n"/>
      <c r="E15" s="4020" t="n">
        <v>0.08</v>
      </c>
      <c r="F15" s="26" t="n"/>
      <c r="G15" s="26" t="n"/>
      <c r="H15" s="26" t="n"/>
      <c r="I15" s="26" t="n"/>
      <c r="J15" s="26" t="n"/>
      <c r="K15" s="26" t="n"/>
      <c r="L15" s="26" t="n"/>
      <c r="M15" s="26" t="n"/>
      <c r="N15" s="26" t="n"/>
      <c r="O15" s="26" t="n"/>
      <c r="P15" s="26" t="n"/>
      <c r="Q15" s="26" t="n"/>
      <c r="R15" s="26" t="n"/>
      <c r="S15" s="26" t="n"/>
      <c r="T15" s="26" t="n"/>
      <c r="U15" s="26" t="n"/>
      <c r="V15" s="26" t="n"/>
      <c r="W15" s="26" t="n"/>
      <c r="X15" s="26" t="n"/>
      <c r="Y15" s="26" t="n"/>
      <c r="Z15" s="26" t="n"/>
      <c r="AA15" s="2628" t="n"/>
      <c r="AB15" s="2628" t="n"/>
      <c r="AC15" s="4230" t="n"/>
    </row>
    <row r="16" s="3154" customFormat="1" ht="15" customHeight="1">
      <c r="A16" s="627" t="n"/>
      <c r="B16" s="2655" t="inlineStr">
        <is>
          <t xml:space="preserve">Perm Loan</t>
        </is>
      </c>
      <c r="C16" s="26" t="n"/>
      <c r="D16" s="1922" t="n">
        <f t="array" ref="D16">'Assumptions'!D120</f>
        <v>0.7</v>
      </c>
      <c r="E16" s="4043" t="n">
        <f t="array" ref="E16">'Project Summary'!M13</f>
        <v>5003304.429259213</v>
      </c>
      <c r="F16" s="26" t="n"/>
      <c r="G16" s="26" t="n"/>
      <c r="H16" s="26" t="n"/>
      <c r="I16" s="26" t="n"/>
      <c r="J16" s="26" t="n"/>
      <c r="K16" s="26" t="n"/>
      <c r="L16" s="26" t="n"/>
      <c r="M16" s="26" t="n"/>
      <c r="N16" s="26" t="n"/>
      <c r="O16" s="26" t="n"/>
      <c r="P16" s="26" t="n"/>
      <c r="Q16" s="26" t="n"/>
      <c r="R16" s="26" t="n"/>
      <c r="S16" s="26" t="n"/>
      <c r="T16" s="26" t="n"/>
      <c r="U16" s="26" t="n"/>
      <c r="V16" s="26" t="n"/>
      <c r="W16" s="26" t="n"/>
      <c r="X16" s="26" t="n"/>
      <c r="Y16" s="26" t="n"/>
      <c r="Z16" s="26" t="n"/>
      <c r="AA16" s="26" t="n"/>
      <c r="AB16" s="26" t="n"/>
      <c r="AC16" s="27" t="n"/>
    </row>
    <row r="17" s="3154" customFormat="1" ht="15" customHeight="1">
      <c r="A17" s="627" t="n"/>
      <c r="B17" s="429" t="inlineStr">
        <is>
          <t xml:space="preserve">Interest Rate</t>
        </is>
      </c>
      <c r="C17" s="26" t="n"/>
      <c r="D17" s="26" t="n"/>
      <c r="E17" s="2121" t="n">
        <v>0.0675</v>
      </c>
      <c r="F17" s="26" t="n"/>
      <c r="G17" s="26" t="n"/>
      <c r="H17" s="26" t="n"/>
      <c r="I17" s="26" t="n"/>
      <c r="J17" s="26" t="n"/>
      <c r="K17" s="26" t="n"/>
      <c r="L17" s="26" t="n"/>
      <c r="M17" s="26" t="n"/>
      <c r="N17" s="26" t="n"/>
      <c r="O17" s="26" t="n"/>
      <c r="P17" s="26" t="n"/>
      <c r="Q17" s="26" t="n"/>
      <c r="R17" s="26" t="n"/>
      <c r="S17" s="26" t="n"/>
      <c r="T17" s="26" t="n"/>
      <c r="U17" s="26" t="n"/>
      <c r="V17" s="26" t="n"/>
      <c r="W17" s="26" t="n"/>
      <c r="X17" s="26" t="n"/>
      <c r="Y17" s="26" t="n"/>
      <c r="Z17" s="26" t="n"/>
      <c r="AA17" s="26" t="n"/>
      <c r="AB17" s="26" t="n"/>
      <c r="AC17" s="27" t="n"/>
    </row>
    <row r="18" s="3154" customFormat="1" ht="15" customHeight="1">
      <c r="A18" s="627" t="n"/>
      <c r="B18" s="429" t="inlineStr">
        <is>
          <t xml:space="preserve">Term / Amortization</t>
        </is>
      </c>
      <c r="C18" s="26" t="n"/>
      <c r="D18" s="2685" t="inlineStr">
        <is>
          <t xml:space="preserve">7 Years</t>
        </is>
      </c>
      <c r="E18" s="2685" t="inlineStr">
        <is>
          <t xml:space="preserve">25 YR</t>
        </is>
      </c>
      <c r="F18" s="26" t="n"/>
      <c r="G18" s="26" t="n"/>
      <c r="H18" s="26" t="n"/>
      <c r="I18" s="26" t="n"/>
      <c r="J18" s="26" t="n"/>
      <c r="K18" s="26" t="n"/>
      <c r="L18" s="26" t="n"/>
      <c r="M18" s="26" t="n"/>
      <c r="N18" s="26" t="n"/>
      <c r="O18" s="26" t="n"/>
      <c r="P18" s="26" t="n"/>
      <c r="Q18" s="26" t="n"/>
      <c r="R18" s="26" t="n"/>
      <c r="S18" s="26" t="n"/>
      <c r="T18" s="26" t="n"/>
      <c r="U18" s="26" t="n"/>
      <c r="V18" s="26" t="n"/>
      <c r="W18" s="26" t="n"/>
      <c r="X18" s="26" t="n"/>
      <c r="Y18" s="26" t="n"/>
      <c r="Z18" s="26" t="n"/>
      <c r="AA18" s="26" t="n"/>
      <c r="AB18" s="26" t="n"/>
      <c r="AC18" s="27" t="n"/>
    </row>
    <row r="19" s="3154" customFormat="1" ht="15" customHeight="1">
      <c r="A19" s="627" t="n"/>
      <c r="B19" s="429" t="inlineStr">
        <is>
          <t xml:space="preserve">Debt Yield</t>
        </is>
      </c>
      <c r="C19" s="26" t="n"/>
      <c r="D19" s="26" t="n"/>
      <c r="E19" s="2121" t="n">
        <f t="array" ref="E19">'Assumptions'!D119</f>
        <v>0.1</v>
      </c>
      <c r="F19" s="26" t="n"/>
      <c r="G19" s="26" t="n"/>
      <c r="H19" s="26" t="n"/>
      <c r="I19" s="26" t="n"/>
      <c r="J19" s="26" t="n"/>
      <c r="K19" s="26" t="n"/>
      <c r="L19" s="26" t="n"/>
      <c r="M19" s="26" t="n"/>
      <c r="N19" s="26" t="n"/>
      <c r="O19" s="26" t="n"/>
      <c r="P19" s="26" t="n"/>
      <c r="Q19" s="26" t="n"/>
      <c r="R19" s="26" t="n"/>
      <c r="S19" s="26" t="n"/>
      <c r="T19" s="26" t="n"/>
      <c r="U19" s="26" t="n"/>
      <c r="V19" s="26" t="n"/>
      <c r="W19" s="26" t="n"/>
      <c r="X19" s="26" t="n"/>
      <c r="Y19" s="26" t="n"/>
      <c r="Z19" s="26" t="n"/>
      <c r="AA19" s="26" t="n"/>
      <c r="AB19" s="26" t="n"/>
      <c r="AC19" s="27" t="n"/>
    </row>
    <row r="20" s="3154" customFormat="1" ht="15" customHeight="1">
      <c r="A20" s="627" t="n"/>
      <c r="B20" s="2598" t="inlineStr">
        <is>
          <t xml:space="preserve">Terminal Sale Analysis</t>
        </is>
      </c>
      <c r="C20" s="2599" t="inlineStr">
        <is>
          <t xml:space="preserve">Sale Date</t>
        </is>
      </c>
      <c r="D20" s="2599" t="inlineStr">
        <is>
          <t xml:space="preserve">$ / Key</t>
        </is>
      </c>
      <c r="E20" s="2599" t="inlineStr">
        <is>
          <t xml:space="preserve">Total </t>
        </is>
      </c>
      <c r="F20" s="26" t="n"/>
      <c r="G20" s="26" t="n"/>
      <c r="H20" s="26" t="n"/>
      <c r="I20" s="26" t="n"/>
      <c r="J20" s="26" t="n"/>
      <c r="K20" s="26" t="n"/>
      <c r="L20" s="26" t="n"/>
      <c r="M20" s="26" t="n"/>
      <c r="N20" s="26" t="n"/>
      <c r="O20" s="26" t="n"/>
      <c r="P20" s="26" t="n"/>
      <c r="Q20" s="26" t="n"/>
      <c r="R20" s="26" t="n"/>
      <c r="S20" s="26" t="n"/>
      <c r="T20" s="26" t="n"/>
      <c r="U20" s="26" t="n"/>
      <c r="V20" s="26" t="n"/>
      <c r="W20" s="26" t="n"/>
      <c r="X20" s="26" t="n"/>
      <c r="Y20" s="26" t="n"/>
      <c r="Z20" s="26" t="n"/>
      <c r="AA20" s="26" t="n"/>
      <c r="AB20" s="26" t="n"/>
      <c r="AC20" s="27" t="n"/>
    </row>
    <row r="21" s="3154" customFormat="1" ht="15" customHeight="1">
      <c r="A21" s="627" t="n"/>
      <c r="B21" s="429" t="inlineStr">
        <is>
          <t xml:space="preserve">Net Operating Income</t>
        </is>
      </c>
      <c r="C21" s="4231" t="n">
        <f t="array" ref="C21">'Project Summary'!H13</f>
        <v>50010</v>
      </c>
      <c r="D21" s="4043" t="e">
        <f t="array" ref="D21">E21/$E$5</f>
      </c>
      <c r="E21" s="4043" t="e">
        <f t="array" ref="E21">'Project Summary'!I15</f>
      </c>
      <c r="F21" s="26" t="n"/>
      <c r="G21" s="26" t="n"/>
      <c r="H21" s="26" t="n"/>
      <c r="I21" s="26" t="n"/>
      <c r="J21" s="26" t="n"/>
      <c r="K21" s="26" t="n"/>
      <c r="L21" s="26" t="n"/>
      <c r="M21" s="26" t="n"/>
      <c r="N21" s="26" t="n"/>
      <c r="O21" s="26" t="n"/>
      <c r="P21" s="26" t="n"/>
      <c r="Q21" s="26" t="n"/>
      <c r="R21" s="26" t="n"/>
      <c r="S21" s="26" t="n"/>
      <c r="T21" s="26" t="n"/>
      <c r="U21" s="26" t="n"/>
      <c r="V21" s="26" t="n"/>
      <c r="W21" s="26" t="n"/>
      <c r="X21" s="26" t="n"/>
      <c r="Y21" s="26" t="n"/>
      <c r="Z21" s="26" t="n"/>
      <c r="AA21" s="26" t="n"/>
      <c r="AB21" s="26" t="n"/>
      <c r="AC21" s="27" t="n"/>
    </row>
    <row r="22" s="3154" customFormat="1" ht="15" customHeight="1">
      <c r="A22" s="627" t="n"/>
      <c r="B22" s="429" t="inlineStr">
        <is>
          <t xml:space="preserve">Exit Cap Rate</t>
        </is>
      </c>
      <c r="C22" s="26" t="n"/>
      <c r="D22" s="26" t="n"/>
      <c r="E22" s="2121" t="n">
        <f t="array" ref="E22">'Project Summary'!I14</f>
        <v>0.085</v>
      </c>
      <c r="F22" s="26" t="n"/>
      <c r="G22" s="26" t="n"/>
      <c r="H22" s="26" t="n"/>
      <c r="I22" s="26" t="n"/>
      <c r="J22" s="26" t="n"/>
      <c r="K22" s="26" t="n"/>
      <c r="L22" s="26" t="n"/>
      <c r="M22" s="26" t="n"/>
      <c r="N22" s="26" t="n"/>
      <c r="O22" s="26" t="n"/>
      <c r="P22" s="26" t="n"/>
      <c r="Q22" s="26" t="n"/>
      <c r="R22" s="26" t="n"/>
      <c r="S22" s="26" t="n"/>
      <c r="T22" s="26" t="n"/>
      <c r="U22" s="26" t="n"/>
      <c r="V22" s="26" t="n"/>
      <c r="W22" s="26" t="n"/>
      <c r="X22" s="26" t="n"/>
      <c r="Y22" s="26" t="n"/>
      <c r="Z22" s="26" t="n"/>
      <c r="AA22" s="26" t="n"/>
      <c r="AB22" s="26" t="n"/>
      <c r="AC22" s="27" t="n"/>
    </row>
    <row r="23" s="3154" customFormat="1" ht="15" customHeight="1">
      <c r="A23" s="627" t="n"/>
      <c r="B23" s="429" t="inlineStr">
        <is>
          <t xml:space="preserve">Gross Sale Price</t>
        </is>
      </c>
      <c r="C23" s="26" t="n"/>
      <c r="D23" s="4043" t="e">
        <f t="array" ref="D23">E23/$E$5</f>
      </c>
      <c r="E23" s="4043" t="e">
        <f t="array" ref="E23">'Project Summary'!I16</f>
      </c>
      <c r="F23" s="26" t="n"/>
      <c r="G23" s="26" t="n"/>
      <c r="H23" s="26" t="n"/>
      <c r="I23" s="26" t="n"/>
      <c r="J23" s="26" t="n"/>
      <c r="K23" s="26" t="n"/>
      <c r="L23" s="26" t="n"/>
      <c r="M23" s="26" t="n"/>
      <c r="N23" s="26" t="n"/>
      <c r="O23" s="26" t="n"/>
      <c r="P23" s="26" t="n"/>
      <c r="Q23" s="26" t="n"/>
      <c r="R23" s="26" t="n"/>
      <c r="S23" s="26" t="n"/>
      <c r="T23" s="26" t="n"/>
      <c r="U23" s="26" t="n"/>
      <c r="V23" s="26" t="n"/>
      <c r="W23" s="26" t="n"/>
      <c r="X23" s="26" t="n"/>
      <c r="Y23" s="26" t="n"/>
      <c r="Z23" s="26" t="n"/>
      <c r="AA23" s="26" t="n"/>
      <c r="AB23" s="26" t="n"/>
      <c r="AC23" s="27" t="n"/>
    </row>
    <row r="24" s="3154" customFormat="1" ht="15" customHeight="1">
      <c r="A24" s="627" t="n"/>
      <c r="B24" s="429" t="inlineStr">
        <is>
          <t xml:space="preserve">Cost of Sale</t>
        </is>
      </c>
      <c r="C24" s="26" t="n"/>
      <c r="D24" s="4043" t="e">
        <f t="array" ref="D24">E24/$E$5</f>
      </c>
      <c r="E24" s="4043" t="e">
        <f t="array" ref="E24">'Project Summary'!I18</f>
      </c>
      <c r="F24" s="26" t="n"/>
      <c r="G24" s="26" t="n"/>
      <c r="H24" s="26" t="n"/>
      <c r="I24" s="26" t="n"/>
      <c r="J24" s="26" t="n"/>
      <c r="K24" s="26" t="n"/>
      <c r="L24" s="26" t="n"/>
      <c r="M24" s="26" t="n"/>
      <c r="N24" s="26" t="n"/>
      <c r="O24" s="26" t="n"/>
      <c r="P24" s="26" t="n"/>
      <c r="Q24" s="26" t="n"/>
      <c r="R24" s="26" t="n"/>
      <c r="S24" s="26" t="n"/>
      <c r="T24" s="26" t="n"/>
      <c r="U24" s="26" t="n"/>
      <c r="V24" s="26" t="n"/>
      <c r="W24" s="26" t="n"/>
      <c r="X24" s="26" t="n"/>
      <c r="Y24" s="26" t="n"/>
      <c r="Z24" s="26" t="n"/>
      <c r="AA24" s="26" t="n"/>
      <c r="AB24" s="26" t="n"/>
      <c r="AC24" s="27" t="n"/>
    </row>
    <row r="25" s="3154" customFormat="1" ht="15" customHeight="1">
      <c r="A25" s="627" t="n"/>
      <c r="B25" s="429" t="inlineStr">
        <is>
          <t xml:space="preserve">Loan Payoff </t>
        </is>
      </c>
      <c r="C25" s="26" t="n"/>
      <c r="D25" s="4232" t="e">
        <f t="array" ref="D25">E25/$E$5</f>
      </c>
      <c r="E25" s="4232" t="e">
        <f t="array" ref="E25">-'Annual CF'!L26</f>
      </c>
      <c r="F25" s="26" t="n"/>
      <c r="G25" s="26" t="n"/>
      <c r="H25" s="26" t="n"/>
      <c r="I25" s="26" t="n"/>
      <c r="J25" s="26" t="n"/>
      <c r="K25" s="26" t="n"/>
      <c r="L25" s="26" t="n"/>
      <c r="M25" s="26" t="n"/>
      <c r="N25" s="26" t="n"/>
      <c r="O25" s="26" t="n"/>
      <c r="P25" s="26" t="n"/>
      <c r="Q25" s="26" t="n"/>
      <c r="R25" s="26" t="n"/>
      <c r="S25" s="26" t="n"/>
      <c r="T25" s="26" t="n"/>
      <c r="U25" s="26" t="n"/>
      <c r="V25" s="26" t="n"/>
      <c r="W25" s="26" t="n"/>
      <c r="X25" s="26" t="n"/>
      <c r="Y25" s="26" t="n"/>
      <c r="Z25" s="26" t="n"/>
      <c r="AA25" s="26" t="n"/>
      <c r="AB25" s="26" t="n"/>
      <c r="AC25" s="27" t="n"/>
    </row>
    <row r="26" s="3154" customFormat="1" ht="15" customHeight="1">
      <c r="A26" s="633" t="n"/>
      <c r="B26" s="2690" t="inlineStr">
        <is>
          <t xml:space="preserve">Net Profit</t>
        </is>
      </c>
      <c r="C26" s="634" t="n"/>
      <c r="D26" s="4233" t="e">
        <f t="array" ref="D26">E26/$E$5</f>
      </c>
      <c r="E26" s="4233" t="e">
        <f t="array" ref="E26">E23-E24-E25</f>
      </c>
      <c r="F26" s="634" t="n"/>
      <c r="G26" s="634" t="n"/>
      <c r="H26" s="634" t="n"/>
      <c r="I26" s="634" t="n"/>
      <c r="J26" s="634" t="n"/>
      <c r="K26" s="634" t="n"/>
      <c r="L26" s="634" t="n"/>
      <c r="M26" s="634" t="n"/>
      <c r="N26" s="634" t="n"/>
      <c r="O26" s="634" t="n"/>
      <c r="P26" s="634" t="n"/>
      <c r="Q26" s="634" t="n"/>
      <c r="R26" s="634" t="n"/>
      <c r="S26" s="634" t="n"/>
      <c r="T26" s="634" t="n"/>
      <c r="U26" s="634" t="n"/>
      <c r="V26" s="634" t="n"/>
      <c r="W26" s="634" t="n"/>
      <c r="X26" s="634" t="n"/>
      <c r="Y26" s="634" t="n"/>
      <c r="Z26" s="634" t="n"/>
      <c r="AA26" s="634" t="n"/>
      <c r="AB26" s="634" t="n"/>
      <c r="AC26" s="635" t="n"/>
    </row>
  </sheetData>
  <pageMargins left="0.7" right="0.7" top="0.75" bottom="0.75" header="0.3" footer="0.3"/>
</worksheet>
</file>

<file path=xl/worksheets/sheet26.xml><?xml version="1.0" encoding="utf-8"?>
<worksheet xmlns="http://schemas.openxmlformats.org/spreadsheetml/2006/main">
  <sheetViews>
    <sheetView showGridLines="0" workbookViewId="0"/>
  </sheetViews>
  <sheetFormatPr baseColWidth="8" defaultColWidth="9" defaultRowHeight="13.5"/>
  <cols>
    <col min="1" max="1" width="1.3515599966049194" style="3136" customWidth="1"/>
    <col min="2" max="12" width="11.85159969329834" style="3136" customWidth="1"/>
    <col min="13" max="13" width="2.671880006790161" style="3136" customWidth="1"/>
    <col min="14" max="14" width="11.85159969329834" style="3136" customWidth="1"/>
    <col min="15" max="15" width="13.35159969329834" style="3136" customWidth="1"/>
    <col min="16" max="16384" width="9" style="3136" customWidth="1"/>
  </cols>
  <sheetData>
    <row r="1" s="3154" customFormat="1" ht="19.5" customHeight="1">
      <c r="A1" s="2597" t="n"/>
      <c r="B1" s="2693" t="inlineStr">
        <is>
          <t xml:space="preserve">CO-GP PROJECT SUMMARY</t>
        </is>
      </c>
      <c r="C1" s="153" t="n"/>
      <c r="D1" s="153" t="n"/>
      <c r="E1" s="153" t="n"/>
      <c r="F1" s="153" t="n"/>
      <c r="G1" s="153" t="n"/>
      <c r="H1" s="153" t="n"/>
      <c r="I1" s="153" t="n"/>
      <c r="J1" s="153" t="n"/>
      <c r="K1" s="153" t="n"/>
      <c r="L1" s="2694" t="inlineStr">
        <is>
          <t xml:space="preserve">MODEL REVISED: Mar 25, 2025</t>
        </is>
      </c>
      <c r="M1" s="11" t="n"/>
      <c r="N1" s="11" t="n"/>
      <c r="O1" s="13" t="n"/>
    </row>
    <row r="2" s="3154" customFormat="1" ht="17.25" customHeight="1">
      <c r="A2" s="627" t="n"/>
      <c r="B2" s="2695" t="str">
        <f t="array" ref="B2">'Project Summary'!A2</f>
        <v>INDEPENDENT (No Flag) · SLEEP SPACE — 100-KEY PREFAB (50 EP + 50 E)</v>
      </c>
      <c r="C2" s="158" t="n"/>
      <c r="D2" s="158" t="n"/>
      <c r="E2" s="158" t="n"/>
      <c r="F2" s="158" t="n"/>
      <c r="G2" s="158" t="n"/>
      <c r="H2" s="158" t="n"/>
      <c r="I2" s="158" t="n"/>
      <c r="J2" s="158" t="n"/>
      <c r="K2" s="158" t="n"/>
      <c r="L2" s="158" t="n"/>
      <c r="M2" s="26" t="n"/>
      <c r="N2" s="26" t="n"/>
      <c r="O2" s="27" t="n"/>
    </row>
    <row r="3" s="3154" customFormat="1" ht="15.75" customHeight="1">
      <c r="A3" s="627" t="n"/>
      <c r="B3" s="2670" t="n">
        <f t="array" ref="B3">'Project Summary'!A3</f>
        <v>0</v>
      </c>
      <c r="C3" s="26" t="n"/>
      <c r="D3" s="26" t="n"/>
      <c r="E3" s="26" t="n"/>
      <c r="F3" s="26" t="n"/>
      <c r="G3" s="26" t="n"/>
      <c r="H3" s="26" t="n"/>
      <c r="I3" s="26" t="n"/>
      <c r="J3" s="26" t="n"/>
      <c r="K3" s="26" t="n"/>
      <c r="L3" s="26" t="n"/>
      <c r="M3" s="26" t="n"/>
      <c r="N3" s="26" t="n"/>
      <c r="O3" s="27" t="n"/>
    </row>
    <row r="4" s="3154" customFormat="1" ht="13.5" customHeight="1">
      <c r="A4" s="627" t="n"/>
      <c r="B4" s="26" t="n"/>
      <c r="C4" s="26" t="n"/>
      <c r="D4" s="26" t="n"/>
      <c r="E4" s="26" t="n"/>
      <c r="F4" s="26" t="n"/>
      <c r="G4" s="26" t="n"/>
      <c r="H4" s="26" t="n"/>
      <c r="I4" s="26" t="n"/>
      <c r="J4" s="26" t="n"/>
      <c r="K4" s="26" t="n"/>
      <c r="L4" s="26" t="n"/>
      <c r="M4" s="26" t="n"/>
      <c r="N4" s="26" t="n"/>
      <c r="O4" s="27" t="n"/>
    </row>
    <row r="5" s="3154" customFormat="1" ht="13.5" customHeight="1">
      <c r="A5" s="627" t="n"/>
      <c r="B5" s="2696" t="inlineStr">
        <is>
          <t xml:space="preserve">GP/LP EQUITY &amp; PROMOTE SPLITS</t>
        </is>
      </c>
      <c r="C5" s="229" t="n"/>
      <c r="D5" s="229" t="n"/>
      <c r="E5" s="229" t="n"/>
      <c r="F5" s="229" t="n"/>
      <c r="G5" s="229" t="n"/>
      <c r="H5" s="229" t="n"/>
      <c r="I5" s="229" t="n"/>
      <c r="J5" s="26" t="n"/>
      <c r="K5" s="26" t="n"/>
      <c r="L5" s="26" t="n"/>
      <c r="M5" s="26" t="n"/>
      <c r="N5" s="429" t="inlineStr">
        <is>
          <t xml:space="preserve">CL Debt:</t>
        </is>
      </c>
      <c r="O5" s="2697" t="n">
        <f t="array" ref="O5">'Assumptions'!D93</f>
        <v>0.085</v>
      </c>
    </row>
    <row r="6" s="3154" customFormat="1" ht="13.5" customHeight="1">
      <c r="A6" s="627" t="n"/>
      <c r="B6" s="2651" t="n"/>
      <c r="C6" s="2651" t="n"/>
      <c r="D6" s="2651" t="n"/>
      <c r="E6" s="2698" t="inlineStr">
        <is>
          <t xml:space="preserve">Equity</t>
        </is>
      </c>
      <c r="F6" s="2698" t="inlineStr">
        <is>
          <t xml:space="preserve">% Equity</t>
        </is>
      </c>
      <c r="G6" s="2698" t="inlineStr">
        <is>
          <t xml:space="preserve">GP Equity</t>
        </is>
      </c>
      <c r="H6" s="2698" t="inlineStr">
        <is>
          <t xml:space="preserve">GP Promote</t>
        </is>
      </c>
      <c r="I6" s="2698" t="inlineStr">
        <is>
          <t xml:space="preserve">Dev Fees</t>
        </is>
      </c>
      <c r="J6" s="26" t="n"/>
      <c r="K6" s="26" t="n"/>
      <c r="L6" s="26" t="n"/>
      <c r="M6" s="26" t="n"/>
      <c r="N6" s="26" t="n"/>
      <c r="O6" s="27" t="n"/>
    </row>
    <row r="7" s="3154" customFormat="1" ht="13.5" customHeight="1">
      <c r="A7" s="627" t="n"/>
      <c r="B7" s="429" t="inlineStr">
        <is>
          <t xml:space="preserve">LP</t>
        </is>
      </c>
      <c r="C7" s="256" t="inlineStr">
        <is>
          <t xml:space="preserve">Limited Partners</t>
        </is>
      </c>
      <c r="D7" s="26" t="n"/>
      <c r="E7" s="4234" t="n">
        <f t="array" ref="E7">'Assumptions'!D107</f>
        <v>2215211.3201475088</v>
      </c>
      <c r="F7" s="2700" t="n">
        <f t="array" ref="F7">E7/$E$10</f>
        <v>1</v>
      </c>
      <c r="G7" s="1100" t="n"/>
      <c r="H7" s="1100" t="n"/>
      <c r="I7" s="1100" t="n"/>
      <c r="J7" s="26" t="n"/>
      <c r="K7" s="26" t="n"/>
      <c r="L7" s="26" t="n"/>
      <c r="M7" s="26" t="n"/>
      <c r="N7" s="26" t="n"/>
      <c r="O7" s="27" t="n"/>
    </row>
    <row r="8" s="3154" customFormat="1" ht="13.5" customHeight="1">
      <c r="A8" s="627" t="n"/>
      <c r="B8" s="429" t="inlineStr">
        <is>
          <t xml:space="preserve">GP1</t>
        </is>
      </c>
      <c r="C8" s="256" t="inlineStr">
        <is>
          <t xml:space="preserve">Doradus Development</t>
        </is>
      </c>
      <c r="D8" s="26" t="n"/>
      <c r="E8" s="4234" t="n">
        <f t="array" ref="E8">'Assumptions'!D105</f>
        <v>0</v>
      </c>
      <c r="F8" s="2700" t="n">
        <f t="array" ref="F8">E8/$E$10</f>
        <v>0</v>
      </c>
      <c r="G8" s="2701" t="n">
        <v>0</v>
      </c>
      <c r="H8" s="2701" t="n">
        <v>0.3</v>
      </c>
      <c r="I8" s="2701" t="n">
        <v>0.7</v>
      </c>
      <c r="J8" s="26" t="n"/>
      <c r="K8" s="26" t="n"/>
      <c r="L8" s="26" t="n"/>
      <c r="M8" s="26" t="n"/>
      <c r="N8" s="26" t="n"/>
      <c r="O8" s="27" t="n"/>
    </row>
    <row r="9" s="3154" customFormat="1" ht="13.5" customHeight="1">
      <c r="A9" s="627" t="n"/>
      <c r="B9" s="1957" t="inlineStr">
        <is>
          <t xml:space="preserve">GP2</t>
        </is>
      </c>
      <c r="C9" s="2702" t="inlineStr">
        <is>
          <t xml:space="preserve">CEIDA/Poarch Creek</t>
        </is>
      </c>
      <c r="D9" s="163" t="n"/>
      <c r="E9" s="4235" t="n">
        <f t="array" ref="E9">'Assumptions'!D106</f>
        <v>0</v>
      </c>
      <c r="F9" s="2704" t="n">
        <f t="array" ref="F9">E9/$E$10</f>
        <v>0</v>
      </c>
      <c r="G9" s="2704" t="n">
        <f t="array" ref="G9">1-G8</f>
        <v>1</v>
      </c>
      <c r="H9" s="2704" t="n">
        <f t="array" ref="H9">1-H8</f>
        <v>0.7</v>
      </c>
      <c r="I9" s="2704" t="n">
        <f t="array" ref="I9">1-I8</f>
        <v>0.30000000000000004</v>
      </c>
      <c r="J9" s="26" t="n"/>
      <c r="K9" s="26" t="n"/>
      <c r="L9" s="26" t="n"/>
      <c r="M9" s="26" t="n"/>
      <c r="N9" s="26" t="n"/>
      <c r="O9" s="27" t="n"/>
    </row>
    <row r="10" s="3154" customFormat="1" ht="13.5" customHeight="1">
      <c r="A10" s="627" t="n"/>
      <c r="B10" s="1953" t="inlineStr">
        <is>
          <t xml:space="preserve">Total</t>
        </is>
      </c>
      <c r="C10" s="158" t="n"/>
      <c r="D10" s="158" t="n"/>
      <c r="E10" s="4236" t="n">
        <f t="array" ref="E10">SUM(E7:E9)</f>
        <v>2215211.3201475088</v>
      </c>
      <c r="F10" s="2706" t="n">
        <f t="array" ref="F10">E10/$E$10</f>
        <v>1</v>
      </c>
      <c r="G10" s="158" t="n"/>
      <c r="H10" s="158" t="n"/>
      <c r="I10" s="158" t="n"/>
      <c r="J10" s="26" t="n"/>
      <c r="K10" s="26" t="n"/>
      <c r="L10" s="26" t="n"/>
      <c r="M10" s="26" t="n"/>
      <c r="N10" s="26" t="n"/>
      <c r="O10" s="27" t="n"/>
    </row>
    <row r="11" s="3154" customFormat="1" ht="12.75" customHeight="1">
      <c r="A11" s="627" t="n"/>
      <c r="B11" s="26" t="n"/>
      <c r="C11" s="26" t="n"/>
      <c r="D11" s="26" t="n"/>
      <c r="E11" s="26" t="n"/>
      <c r="F11" s="26" t="n"/>
      <c r="G11" s="26" t="n"/>
      <c r="H11" s="26" t="n"/>
      <c r="I11" s="26" t="n"/>
      <c r="J11" s="26" t="n"/>
      <c r="K11" s="26" t="n"/>
      <c r="L11" s="26" t="n"/>
      <c r="M11" s="26" t="n"/>
      <c r="N11" s="26" t="n"/>
      <c r="O11" s="27" t="n"/>
    </row>
    <row r="12" s="3154" customFormat="1" ht="13.5" customHeight="1">
      <c r="A12" s="627" t="n"/>
      <c r="B12" s="2696" t="inlineStr">
        <is>
          <t xml:space="preserve">PRE-WATERFALL CASH FLOWS &amp; RETURNS</t>
        </is>
      </c>
      <c r="C12" s="229" t="n"/>
      <c r="D12" s="229" t="n"/>
      <c r="E12" s="229" t="n"/>
      <c r="F12" s="229" t="n"/>
      <c r="G12" s="229" t="n"/>
      <c r="H12" s="229" t="n"/>
      <c r="I12" s="229" t="n"/>
      <c r="J12" s="229" t="n"/>
      <c r="K12" s="229" t="n"/>
      <c r="L12" s="229" t="n"/>
      <c r="M12" s="2707" t="n"/>
      <c r="N12" s="26" t="n"/>
      <c r="O12" s="27" t="n"/>
    </row>
    <row r="13" s="3154" customFormat="1" ht="13.5" customHeight="1">
      <c r="A13" s="627" t="n"/>
      <c r="B13" s="2651" t="n"/>
      <c r="C13" s="2698" t="inlineStr">
        <is>
          <t xml:space="preserve">IRR</t>
        </is>
      </c>
      <c r="D13" s="2708" t="n">
        <f t="array" ref="D13">'Promote'!D$21</f>
        <v>2026</v>
      </c>
      <c r="E13" s="2709" t="n">
        <f t="array" ref="E13">'Promote'!E$21</f>
        <v>2027</v>
      </c>
      <c r="F13" s="2709" t="n">
        <f t="array" ref="F13">'Promote'!F$21</f>
        <v>2028</v>
      </c>
      <c r="G13" s="2709" t="n">
        <f t="array" ref="G13">'Promote'!G$21</f>
        <v>2029</v>
      </c>
      <c r="H13" s="2709" t="n">
        <f t="array" ref="H13">'Promote'!H$21</f>
        <v>2030</v>
      </c>
      <c r="I13" s="2709" t="n">
        <f t="array" ref="I13">'Promote'!I$21</f>
        <v>2031</v>
      </c>
      <c r="J13" s="2709" t="n">
        <f t="array" ref="J13">'Promote'!J$21</f>
        <v>2032</v>
      </c>
      <c r="K13" s="2709" t="n">
        <f t="array" ref="K13">'Promote'!K$21</f>
        <v>2033</v>
      </c>
      <c r="L13" s="2710" t="n">
        <f t="array" ref="L13">'Promote'!L$21</f>
        <v>2034</v>
      </c>
      <c r="M13" s="2208" t="n">
        <f t="array" ref="M13">'Promote'!M$21</f>
        <v>2035</v>
      </c>
      <c r="N13" s="26" t="n">
        <f t="array" ref="N13">'Promote'!N$21</f>
        <v>2036</v>
      </c>
      <c r="O13" s="27" t="n"/>
    </row>
    <row r="14" s="3154" customFormat="1" ht="13.5" customHeight="1">
      <c r="A14" s="627" t="n"/>
      <c r="B14" s="429" t="inlineStr">
        <is>
          <t xml:space="preserve">Equity</t>
        </is>
      </c>
      <c r="C14" s="2208" t="n"/>
      <c r="D14" s="4237" t="n">
        <f t="array" ref="D14">'Promote'!D23</f>
        <v>0</v>
      </c>
      <c r="E14" s="4238" t="n">
        <f t="array" ref="E14">'Promote'!E23</f>
        <v>0</v>
      </c>
      <c r="F14" s="4238" t="n">
        <f t="array" ref="F14">'Promote'!F23</f>
        <v>0</v>
      </c>
      <c r="G14" s="4238" t="n">
        <f t="array" ref="G14">'Promote'!G23</f>
        <v>0</v>
      </c>
      <c r="H14" s="4238" t="n">
        <f t="array" ref="H14">'Promote'!H23</f>
        <v>0</v>
      </c>
      <c r="I14" s="4238" t="n">
        <f t="array" ref="I14">'Promote'!I23</f>
        <v>0</v>
      </c>
      <c r="J14" s="4238" t="n">
        <f t="array" ref="J14">'Promote'!J23</f>
        <v>0</v>
      </c>
      <c r="K14" s="4238" t="n">
        <f t="array" ref="K14">'Promote'!K23</f>
        <v>0</v>
      </c>
      <c r="L14" s="4239" t="n">
        <f t="array" ref="L14">'Promote'!L23</f>
        <v>0</v>
      </c>
      <c r="M14" s="4027" t="n">
        <f t="array" ref="M14">'Promote'!M23</f>
        <v>0</v>
      </c>
      <c r="N14" s="3322" t="n">
        <f t="array" ref="N14">'Promote'!N23</f>
        <v>0</v>
      </c>
      <c r="O14" s="4022" t="n"/>
    </row>
    <row r="15" s="3154" customFormat="1" ht="13.5" customHeight="1">
      <c r="A15" s="627" t="n"/>
      <c r="B15" s="429" t="inlineStr">
        <is>
          <t xml:space="preserve">Cash Flows</t>
        </is>
      </c>
      <c r="C15" s="2208" t="n"/>
      <c r="D15" s="4240" t="e">
        <f t="array" ref="D15">'Promote'!D22</f>
      </c>
      <c r="E15" s="4241" t="e">
        <f t="array" ref="E15">'Promote'!E22</f>
      </c>
      <c r="F15" s="4241" t="e">
        <f t="array" ref="F15">'Promote'!F22</f>
      </c>
      <c r="G15" s="4241" t="e">
        <f t="array" ref="G15">'Promote'!G22</f>
      </c>
      <c r="H15" s="4241" t="e">
        <f t="array" ref="H15">'Promote'!H22</f>
      </c>
      <c r="I15" s="4241" t="e">
        <f t="array" ref="I15">'Promote'!I22</f>
      </c>
      <c r="J15" s="4241" t="e">
        <f t="array" ref="J15">'Promote'!J22</f>
      </c>
      <c r="K15" s="4241" t="e">
        <f t="array" ref="K15">'Promote'!K22</f>
      </c>
      <c r="L15" s="4242" t="e">
        <f t="array" ref="L15">'Promote'!L22</f>
      </c>
      <c r="M15" s="4027" t="e">
        <f t="array" ref="M15">'Promote'!M22</f>
      </c>
      <c r="N15" s="3322" t="e">
        <f t="array" ref="N15">'Promote'!N22</f>
      </c>
      <c r="O15" s="4022" t="n"/>
    </row>
    <row r="16" s="3154" customFormat="1" ht="13.5" customHeight="1">
      <c r="A16" s="627" t="n"/>
      <c r="B16" s="429" t="inlineStr">
        <is>
          <t xml:space="preserve">Total CFs</t>
        </is>
      </c>
      <c r="C16" s="3260" t="e">
        <f t="array" ref="C16">IRR(D16:N16)</f>
      </c>
      <c r="D16" s="4243" t="e">
        <f t="array" ref="D16">'Promote'!D24</f>
      </c>
      <c r="E16" s="4244" t="e">
        <f t="array" ref="E16">'Promote'!E24</f>
      </c>
      <c r="F16" s="4244" t="e">
        <f t="array" ref="F16">'Promote'!F24</f>
      </c>
      <c r="G16" s="4244" t="e">
        <f t="array" ref="G16">'Promote'!G24</f>
      </c>
      <c r="H16" s="4244" t="e">
        <f t="array" ref="H16">'Promote'!H24</f>
      </c>
      <c r="I16" s="4244" t="e">
        <f t="array" ref="I16">'Promote'!I24</f>
      </c>
      <c r="J16" s="4244" t="e">
        <f t="array" ref="J16">'Promote'!J24</f>
      </c>
      <c r="K16" s="4244" t="e">
        <f t="array" ref="K16">'Promote'!K24</f>
      </c>
      <c r="L16" s="4245" t="e">
        <f t="array" ref="L16">'Promote'!L24</f>
      </c>
      <c r="M16" s="3322" t="e">
        <f t="array" ref="M16">'Promote'!M24</f>
      </c>
      <c r="N16" s="3322" t="e">
        <f t="array" ref="N16">'Promote'!N24</f>
      </c>
      <c r="O16" s="27" t="n"/>
    </row>
    <row r="17" s="3154" customFormat="1" ht="12.75" customHeight="1">
      <c r="A17" s="627" t="n"/>
      <c r="B17" s="26" t="n"/>
      <c r="C17" s="26" t="n"/>
      <c r="D17" s="4246" t="n"/>
      <c r="E17" s="4247" t="n"/>
      <c r="F17" s="4247" t="n"/>
      <c r="G17" s="4247" t="n"/>
      <c r="H17" s="4247" t="n"/>
      <c r="I17" s="4247" t="n"/>
      <c r="J17" s="4247" t="n"/>
      <c r="K17" s="4247" t="n"/>
      <c r="L17" s="4248" t="n"/>
      <c r="M17" s="3322" t="n"/>
      <c r="N17" s="26" t="n"/>
      <c r="O17" s="27" t="n"/>
    </row>
    <row r="18" s="3154" customFormat="1" ht="13.5" customHeight="1">
      <c r="A18" s="627" t="n"/>
      <c r="B18" s="2696" t="inlineStr">
        <is>
          <t xml:space="preserve">POST WATERFALL CASH FLOWS &amp; RETURNS</t>
        </is>
      </c>
      <c r="C18" s="2723" t="n"/>
      <c r="D18" s="2724" t="n"/>
      <c r="E18" s="2724" t="n"/>
      <c r="F18" s="2724" t="n"/>
      <c r="G18" s="2724" t="n"/>
      <c r="H18" s="2724" t="n"/>
      <c r="I18" s="2724" t="n"/>
      <c r="J18" s="2724" t="n"/>
      <c r="K18" s="2724" t="n"/>
      <c r="L18" s="2724" t="n"/>
      <c r="M18" s="2208" t="n"/>
      <c r="N18" s="26" t="n"/>
      <c r="O18" s="27" t="n"/>
    </row>
    <row r="19" s="3154" customFormat="1" ht="13.5" customHeight="1">
      <c r="A19" s="627" t="n"/>
      <c r="B19" s="429" t="inlineStr">
        <is>
          <t xml:space="preserve">LP's</t>
        </is>
      </c>
      <c r="C19" s="3260" t="e">
        <f t="array" ref="C19">IRR(D19:N19)</f>
      </c>
      <c r="D19" s="4246" t="e">
        <f t="array" ref="D19">'Promote'!D87</f>
      </c>
      <c r="E19" s="4247" t="e">
        <f t="array" ref="E19">'Promote'!E87</f>
      </c>
      <c r="F19" s="4247" t="e">
        <f t="array" ref="F19">'Promote'!F87</f>
      </c>
      <c r="G19" s="4247" t="e">
        <f t="array" ref="G19">'Promote'!G87</f>
      </c>
      <c r="H19" s="4247" t="e">
        <f t="array" ref="H19">'Promote'!H87</f>
      </c>
      <c r="I19" s="4247" t="e">
        <f t="array" ref="I19">'Promote'!I87</f>
      </c>
      <c r="J19" s="4247" t="e">
        <f t="array" ref="J19">'Promote'!J87</f>
      </c>
      <c r="K19" s="4247" t="e">
        <f t="array" ref="K19">'Promote'!K87</f>
      </c>
      <c r="L19" s="4248" t="e">
        <f t="array" ref="L19">'Promote'!L87</f>
      </c>
      <c r="M19" s="3322" t="e">
        <f t="array" ref="M19">'Promote'!M87</f>
      </c>
      <c r="N19" s="3322" t="e">
        <f t="array" ref="N19">'Promote'!N87</f>
      </c>
      <c r="O19" s="4042" t="n"/>
    </row>
    <row r="20" s="3154" customFormat="1" ht="13.5" customHeight="1">
      <c r="A20" s="627" t="n"/>
      <c r="B20" s="429" t="inlineStr">
        <is>
          <t xml:space="preserve">GP's</t>
        </is>
      </c>
      <c r="C20" s="3260" t="n">
        <f t="array" ref="C20">IFERROR(IRR(D20:N20),0)</f>
        <v>0</v>
      </c>
      <c r="D20" s="4249" t="e">
        <f t="array" ref="D20">'Promote'!D94</f>
      </c>
      <c r="E20" s="4250" t="e">
        <f t="array" ref="E20">'Promote'!E94</f>
      </c>
      <c r="F20" s="4250" t="e">
        <f t="array" ref="F20">'Promote'!F94</f>
      </c>
      <c r="G20" s="4250" t="e">
        <f t="array" ref="G20">'Promote'!G94</f>
      </c>
      <c r="H20" s="4250" t="e">
        <f t="array" ref="H20">'Promote'!H94</f>
      </c>
      <c r="I20" s="4250" t="e">
        <f t="array" ref="I20">'Promote'!I94</f>
      </c>
      <c r="J20" s="4250" t="e">
        <f t="array" ref="J20">'Promote'!J94</f>
      </c>
      <c r="K20" s="4250" t="e">
        <f t="array" ref="K20">'Promote'!K94</f>
      </c>
      <c r="L20" s="4251" t="e">
        <f t="array" ref="L20">'Promote'!L94</f>
      </c>
      <c r="M20" s="3322" t="e">
        <f t="array" ref="M20">'Promote'!M94</f>
      </c>
      <c r="N20" s="3322" t="e">
        <f t="array" ref="N20">'Promote'!N94</f>
      </c>
      <c r="O20" s="27" t="n"/>
    </row>
    <row r="21" s="3154" customFormat="1" ht="13.5" customHeight="1">
      <c r="A21" s="627" t="n"/>
      <c r="B21" s="429" t="inlineStr">
        <is>
          <t xml:space="preserve">Total CF's</t>
        </is>
      </c>
      <c r="C21" s="3260" t="n"/>
      <c r="D21" s="4243" t="e">
        <f t="array" ref="D21">SUM(D19:D20)</f>
      </c>
      <c r="E21" s="4244" t="e">
        <f t="array" ref="E21">SUM(E19:E20)</f>
      </c>
      <c r="F21" s="4244" t="e">
        <f t="array" ref="F21">SUM(F19:F20)</f>
      </c>
      <c r="G21" s="4244" t="e">
        <f t="array" ref="G21">SUM(G19:G20)</f>
      </c>
      <c r="H21" s="4244" t="e">
        <f t="array" ref="H21">SUM(H19:H20)</f>
      </c>
      <c r="I21" s="4244" t="e">
        <f t="array" ref="I21">SUM(I19:I20)</f>
      </c>
      <c r="J21" s="4244" t="e">
        <f t="array" ref="J21">SUM(J19:J20)</f>
      </c>
      <c r="K21" s="4244" t="e">
        <f t="array" ref="K21">SUM(K19:K20)</f>
      </c>
      <c r="L21" s="4245" t="e">
        <f t="array" ref="L21">SUM(L19:L20)</f>
      </c>
      <c r="M21" s="3322" t="e">
        <f t="array" ref="M21">SUM(M19:M20)</f>
      </c>
      <c r="N21" s="3322" t="e">
        <f t="array" ref="N21">SUM(N19:N20)</f>
      </c>
      <c r="O21" s="27" t="n"/>
    </row>
    <row r="22" s="3154" customFormat="1" ht="12.75" customHeight="1">
      <c r="A22" s="627" t="n"/>
      <c r="B22" s="26" t="n"/>
      <c r="C22" s="26" t="n"/>
      <c r="D22" s="2728" t="e">
        <f t="array" ref="D22">IF(D21&lt;&gt;D16,"check","")</f>
      </c>
      <c r="E22" s="2729" t="e">
        <f t="array" ref="E22">IF(E21&lt;&gt;E16,"check","")</f>
      </c>
      <c r="F22" s="2729" t="e">
        <f t="array" ref="F22">IF(F21&lt;&gt;F16,"check","")</f>
      </c>
      <c r="G22" s="2729" t="e">
        <f t="array" ref="G22">IF(G21&lt;&gt;G16,"check","")</f>
      </c>
      <c r="H22" s="2729" t="e">
        <f t="array" ref="H22">IF(H21&lt;&gt;H16,"check","")</f>
      </c>
      <c r="I22" s="2729" t="e">
        <f t="array" ref="I22">IF(I21&lt;&gt;I16,"check","")</f>
      </c>
      <c r="J22" s="2729" t="e">
        <f t="array" ref="J22">IF(J21&lt;&gt;J16,"check","")</f>
      </c>
      <c r="K22" s="2729" t="e">
        <f t="array" ref="K22">IF(K21&lt;&gt;K16,"check","")</f>
      </c>
      <c r="L22" s="2730" t="e">
        <f t="array" ref="L22">IF(L21&lt;&gt;L16,"check","")</f>
      </c>
      <c r="M22" s="1961" t="n"/>
      <c r="N22" s="26" t="n"/>
      <c r="O22" s="27" t="n"/>
    </row>
    <row r="23" s="3154" customFormat="1" ht="13.5" customHeight="1">
      <c r="A23" s="627" t="n"/>
      <c r="B23" s="2696" t="inlineStr">
        <is>
          <t xml:space="preserve">GP POST WATERFALL CASH FLOWS &amp; RETURNS</t>
        </is>
      </c>
      <c r="C23" s="229" t="n"/>
      <c r="D23" s="229" t="n"/>
      <c r="E23" s="229" t="n"/>
      <c r="F23" s="229" t="n"/>
      <c r="G23" s="229" t="n"/>
      <c r="H23" s="229" t="n"/>
      <c r="I23" s="229" t="n"/>
      <c r="J23" s="229" t="n"/>
      <c r="K23" s="229" t="n"/>
      <c r="L23" s="229" t="n"/>
      <c r="M23" s="2707" t="n"/>
      <c r="N23" s="26" t="n"/>
      <c r="O23" s="27" t="n"/>
    </row>
    <row r="24" s="3154" customFormat="1" ht="13.5" customHeight="1">
      <c r="A24" s="627" t="n"/>
      <c r="B24" s="2104" t="inlineStr">
        <is>
          <t xml:space="preserve">Total GP CFs</t>
        </is>
      </c>
      <c r="C24" s="3260" t="n">
        <f t="array" ref="C24">IFERROR(IRR(D24:N24),0)</f>
        <v>0</v>
      </c>
      <c r="D24" s="4246" t="e">
        <f t="array" ref="D24">D20</f>
      </c>
      <c r="E24" s="4247" t="e">
        <f t="array" ref="E24">E20</f>
      </c>
      <c r="F24" s="4247" t="e">
        <f t="array" ref="F24">F20</f>
      </c>
      <c r="G24" s="4247" t="e">
        <f t="array" ref="G24">G20</f>
      </c>
      <c r="H24" s="4247" t="e">
        <f t="array" ref="H24">H20</f>
      </c>
      <c r="I24" s="4247" t="e">
        <f t="array" ref="I24">I20</f>
      </c>
      <c r="J24" s="4247" t="e">
        <f t="array" ref="J24">J20</f>
      </c>
      <c r="K24" s="4247" t="e">
        <f t="array" ref="K24">K20</f>
      </c>
      <c r="L24" s="4248" t="e">
        <f t="array" ref="L24">L20</f>
      </c>
      <c r="M24" s="3322" t="e">
        <f t="array" ref="M24">M20</f>
      </c>
      <c r="N24" s="3322" t="e">
        <f t="array" ref="N24">N20</f>
      </c>
      <c r="O24" s="27" t="n"/>
    </row>
    <row r="25" s="3154" customFormat="1" ht="8" customHeight="1">
      <c r="A25" s="627" t="n"/>
      <c r="B25" s="1100" t="n"/>
      <c r="C25" s="26" t="n"/>
      <c r="D25" s="4246" t="n"/>
      <c r="E25" s="4247" t="n"/>
      <c r="F25" s="4247" t="n"/>
      <c r="G25" s="4247" t="n"/>
      <c r="H25" s="4247" t="n"/>
      <c r="I25" s="4247" t="n"/>
      <c r="J25" s="4247" t="n"/>
      <c r="K25" s="4247" t="n"/>
      <c r="L25" s="4248" t="n"/>
      <c r="M25" s="3322" t="n"/>
      <c r="N25" s="26" t="n"/>
      <c r="O25" s="27" t="n"/>
    </row>
    <row r="26" s="3154" customFormat="1" ht="13.5" customHeight="1">
      <c r="A26" s="627" t="n"/>
      <c r="B26" s="2650" t="str">
        <f t="array" ref="B26">B8&amp;": "&amp;C8</f>
        <v>GP1: Doradus Development</v>
      </c>
      <c r="C26" s="2651" t="n"/>
      <c r="D26" s="2731" t="n"/>
      <c r="E26" s="2732" t="n"/>
      <c r="F26" s="2732" t="n"/>
      <c r="G26" s="2732" t="n"/>
      <c r="H26" s="2732" t="n"/>
      <c r="I26" s="2732" t="n"/>
      <c r="J26" s="2732" t="n"/>
      <c r="K26" s="2732" t="n"/>
      <c r="L26" s="2733" t="n"/>
      <c r="M26" s="26" t="n"/>
      <c r="N26" s="26" t="n"/>
      <c r="O26" s="27" t="n"/>
    </row>
    <row r="27" s="3154" customFormat="1" ht="13.5" customHeight="1">
      <c r="A27" s="627" t="n"/>
      <c r="B27" s="429" t="inlineStr">
        <is>
          <t xml:space="preserve">Equity</t>
        </is>
      </c>
      <c r="C27" s="4020" t="n"/>
      <c r="D27" s="4246" t="e">
        <f t="array" ref="D27">IF(D24&lt;0,D24*$G$8,0)</f>
      </c>
      <c r="E27" s="4247" t="e">
        <f t="array" ref="E27">IF(E24&lt;0,E24*$G$8,0)</f>
      </c>
      <c r="F27" s="4247" t="e">
        <f t="array" ref="F27">IF(F24&lt;0,F24*$G$8,0)</f>
      </c>
      <c r="G27" s="4247" t="e">
        <f t="array" ref="G27">IF(G24&lt;0,G24*$G$8,0)</f>
      </c>
      <c r="H27" s="4247" t="e">
        <f t="array" ref="H27">IF(H24&lt;0,H24*$G$8,0)</f>
      </c>
      <c r="I27" s="4247" t="e">
        <f t="array" ref="I27">IF(I24&lt;0,I24*$G$8,0)</f>
      </c>
      <c r="J27" s="4247" t="e">
        <f t="array" ref="J27">IF(J24&lt;0,J24*$G$8,0)</f>
      </c>
      <c r="K27" s="4247" t="e">
        <f t="array" ref="K27">IF(K24&lt;0,K24*$G$8,0)</f>
      </c>
      <c r="L27" s="4248" t="e">
        <f t="array" ref="L27">IF(L24&lt;0,L24*$G$8,0)</f>
      </c>
      <c r="M27" s="3322" t="e">
        <f t="array" ref="M27">IF(M24&lt;0,M24*$G$8,0)</f>
      </c>
      <c r="N27" s="3322" t="e">
        <f t="array" ref="N27">IF(N24&lt;0,N24*$G$8,0)</f>
      </c>
      <c r="O27" s="27" t="n"/>
    </row>
    <row r="28" s="3154" customFormat="1" ht="13.5" customHeight="1">
      <c r="A28" s="627" t="n"/>
      <c r="B28" s="429" t="inlineStr">
        <is>
          <t xml:space="preserve">Cash Flows</t>
        </is>
      </c>
      <c r="C28" s="4020" t="n"/>
      <c r="D28" s="4249" t="e">
        <f t="array" ref="D28">IF(D24&gt;0,D24*$H$8,0)</f>
      </c>
      <c r="E28" s="4250" t="e">
        <f t="array" ref="E28">IF(E24&gt;0,E24*$H$8,0)</f>
      </c>
      <c r="F28" s="4250" t="e">
        <f t="array" ref="F28">IF(F24&gt;0,F24*$H$8,0)</f>
      </c>
      <c r="G28" s="4250" t="e">
        <f t="array" ref="G28">IF(G24&gt;0,G24*$H$8,0)</f>
      </c>
      <c r="H28" s="4250" t="e">
        <f t="array" ref="H28">IF(H24&gt;0,H24*$H$8,0)</f>
      </c>
      <c r="I28" s="4250" t="e">
        <f t="array" ref="I28">IF(I24&gt;0,I24*$H$8,0)</f>
      </c>
      <c r="J28" s="4250" t="e">
        <f t="array" ref="J28">IF(J24&gt;0,J24*$H$8,0)</f>
      </c>
      <c r="K28" s="4250" t="e">
        <f t="array" ref="K28">IF(K24&gt;0,K24*$H$8,0)</f>
      </c>
      <c r="L28" s="4251" t="e">
        <f t="array" ref="L28">IF(L24&gt;0,L24*$H$8,0)</f>
      </c>
      <c r="M28" s="3322" t="e">
        <f t="array" ref="M28">IF(M24&gt;0,M24*$H$8,0)</f>
      </c>
      <c r="N28" s="3322" t="e">
        <f t="array" ref="N28">IF(N24&gt;0,N24*$H$8,0)</f>
      </c>
      <c r="O28" s="27" t="n"/>
    </row>
    <row r="29" s="3154" customFormat="1" ht="13.5" customHeight="1">
      <c r="A29" s="627" t="n"/>
      <c r="B29" s="2104" t="inlineStr">
        <is>
          <t xml:space="preserve">GP1 Total</t>
        </is>
      </c>
      <c r="C29" s="592" t="inlineStr">
        <is>
          <t xml:space="preserve">--</t>
        </is>
      </c>
      <c r="D29" s="4243" t="e">
        <f t="array" ref="D29">SUM(D27:D28)</f>
      </c>
      <c r="E29" s="4244" t="e">
        <f t="array" ref="E29">SUM(E27:E28)</f>
      </c>
      <c r="F29" s="4244" t="e">
        <f t="array" ref="F29">SUM(F27:F28)</f>
      </c>
      <c r="G29" s="4244" t="e">
        <f t="array" ref="G29">SUM(G27:G28)</f>
      </c>
      <c r="H29" s="4244" t="e">
        <f t="array" ref="H29">SUM(H27:H28)</f>
      </c>
      <c r="I29" s="4244" t="e">
        <f t="array" ref="I29">SUM(I27:I28)</f>
      </c>
      <c r="J29" s="4244" t="e">
        <f t="array" ref="J29">SUM(J27:J28)</f>
      </c>
      <c r="K29" s="4244" t="e">
        <f t="array" ref="K29">SUM(K27:K28)</f>
      </c>
      <c r="L29" s="4245" t="e">
        <f t="array" ref="L29">SUM(L27:L28)</f>
      </c>
      <c r="M29" s="3322" t="e">
        <f t="array" ref="M29">SUM(M27:M28)</f>
      </c>
      <c r="N29" s="3322" t="e">
        <f t="array" ref="N29">SUM(N27:N28)</f>
      </c>
      <c r="O29" s="27" t="n"/>
    </row>
    <row r="30" s="3154" customFormat="1" ht="8" customHeight="1">
      <c r="A30" s="627" t="n"/>
      <c r="B30" s="1100" t="n"/>
      <c r="C30" s="4252" t="n"/>
      <c r="D30" s="4246" t="n"/>
      <c r="E30" s="4247" t="n"/>
      <c r="F30" s="4247" t="n"/>
      <c r="G30" s="4247" t="n"/>
      <c r="H30" s="4247" t="n"/>
      <c r="I30" s="4247" t="n"/>
      <c r="J30" s="4247" t="n"/>
      <c r="K30" s="4247" t="n"/>
      <c r="L30" s="4248" t="n"/>
      <c r="M30" s="3322" t="n"/>
      <c r="N30" s="26" t="n"/>
      <c r="O30" s="27" t="n"/>
    </row>
    <row r="31" s="3154" customFormat="1" ht="13.5" customHeight="1">
      <c r="A31" s="627" t="n"/>
      <c r="B31" s="2650" t="str">
        <f t="array" ref="B31">B9&amp;": "&amp;C9</f>
        <v>GP2: CEIDA/Poarch Creek</v>
      </c>
      <c r="C31" s="2651" t="n"/>
      <c r="D31" s="2731" t="n"/>
      <c r="E31" s="2732" t="n"/>
      <c r="F31" s="2732" t="n"/>
      <c r="G31" s="2732" t="n"/>
      <c r="H31" s="2732" t="n"/>
      <c r="I31" s="2732" t="n"/>
      <c r="J31" s="2732" t="n"/>
      <c r="K31" s="2732" t="n"/>
      <c r="L31" s="2733" t="n"/>
      <c r="M31" s="26" t="n"/>
      <c r="N31" s="26" t="n"/>
      <c r="O31" s="27" t="n"/>
    </row>
    <row r="32" s="3154" customFormat="1" ht="13.5" customHeight="1">
      <c r="A32" s="627" t="n"/>
      <c r="B32" s="429" t="inlineStr">
        <is>
          <t xml:space="preserve">Equity</t>
        </is>
      </c>
      <c r="C32" s="4020" t="n"/>
      <c r="D32" s="4246" t="e">
        <f t="array" ref="D32">IF(D24&lt;0,D24*$G$9,0)</f>
      </c>
      <c r="E32" s="4247" t="e">
        <f t="array" ref="E32">IF(E24&lt;0,E24*$G$9,0)</f>
      </c>
      <c r="F32" s="4247" t="e">
        <f t="array" ref="F32">IF(F24&lt;0,F24*$G$9,0)</f>
      </c>
      <c r="G32" s="4247" t="e">
        <f t="array" ref="G32">IF(G24&lt;0,G24*$G$9,0)</f>
      </c>
      <c r="H32" s="4247" t="e">
        <f t="array" ref="H32">IF(H24&lt;0,H24*$G$9,0)</f>
      </c>
      <c r="I32" s="4247" t="e">
        <f t="array" ref="I32">IF(I24&lt;0,I24*$G$9,0)</f>
      </c>
      <c r="J32" s="4247" t="e">
        <f t="array" ref="J32">IF(J24&lt;0,J24*$G$9,0)</f>
      </c>
      <c r="K32" s="4247" t="e">
        <f t="array" ref="K32">IF(K24&lt;0,K24*$G$9,0)</f>
      </c>
      <c r="L32" s="4248" t="e">
        <f t="array" ref="L32">IF(L24&lt;0,L24*$G$9,0)</f>
      </c>
      <c r="M32" s="3322" t="e">
        <f t="array" ref="M32">IF(M24&lt;0,M24*$G$9,0)</f>
      </c>
      <c r="N32" s="3322" t="e">
        <f t="array" ref="N32">IF(N24&lt;0,N24*$G$9,0)</f>
      </c>
      <c r="O32" s="27" t="n"/>
    </row>
    <row r="33" s="3154" customFormat="1" ht="13.5" customHeight="1">
      <c r="A33" s="627" t="n"/>
      <c r="B33" s="429" t="inlineStr">
        <is>
          <t xml:space="preserve">Cash Flows</t>
        </is>
      </c>
      <c r="C33" s="4020" t="n"/>
      <c r="D33" s="4249" t="e">
        <f t="array" ref="D33">IF(D24&gt;0,D24*$H$9,0)</f>
      </c>
      <c r="E33" s="4250" t="e">
        <f t="array" ref="E33">IF(E24&gt;0,E24*$H$9,0)</f>
      </c>
      <c r="F33" s="4250" t="e">
        <f t="array" ref="F33">IF(F24&gt;0,F24*$H$9,0)</f>
      </c>
      <c r="G33" s="4250" t="e">
        <f t="array" ref="G33">IF(G24&gt;0,G24*$H$9,0)</f>
      </c>
      <c r="H33" s="4250" t="e">
        <f t="array" ref="H33">IF(H24&gt;0,H24*$H$9,0)</f>
      </c>
      <c r="I33" s="4250" t="e">
        <f t="array" ref="I33">IF(I24&gt;0,I24*$H$9,0)</f>
      </c>
      <c r="J33" s="4250" t="e">
        <f t="array" ref="J33">IF(J24&gt;0,J24*$H$9,0)</f>
      </c>
      <c r="K33" s="4250" t="e">
        <f t="array" ref="K33">IF(K24&gt;0,K24*$H$9,0)</f>
      </c>
      <c r="L33" s="4251" t="e">
        <f t="array" ref="L33">IF(L24&gt;0,L24*$H$9,0)</f>
      </c>
      <c r="M33" s="3322" t="e">
        <f t="array" ref="M33">IF(M24&gt;0,M24*$H$9,0)</f>
      </c>
      <c r="N33" s="3322" t="e">
        <f t="array" ref="N33">IF(N24&gt;0,N24*$H$9,0)</f>
      </c>
      <c r="O33" s="27" t="n"/>
    </row>
    <row r="34" s="3154" customFormat="1" ht="13.5" customHeight="1">
      <c r="A34" s="627" t="n"/>
      <c r="B34" s="2104" t="inlineStr">
        <is>
          <t xml:space="preserve">GP2 Total</t>
        </is>
      </c>
      <c r="C34" s="3260" t="n">
        <f t="array" ref="C34">IFERROR(IRR(D34:N34),0)</f>
        <v>0</v>
      </c>
      <c r="D34" s="4243" t="e">
        <f t="array" ref="D34">SUM(D32:D33)</f>
      </c>
      <c r="E34" s="4244" t="e">
        <f t="array" ref="E34">SUM(E32:E33)</f>
      </c>
      <c r="F34" s="4244" t="e">
        <f t="array" ref="F34">SUM(F32:F33)</f>
      </c>
      <c r="G34" s="4244" t="e">
        <f t="array" ref="G34">SUM(G32:G33)</f>
      </c>
      <c r="H34" s="4244" t="e">
        <f t="array" ref="H34">SUM(H32:H33)</f>
      </c>
      <c r="I34" s="4244" t="e">
        <f t="array" ref="I34">SUM(I32:I33)</f>
      </c>
      <c r="J34" s="4244" t="e">
        <f t="array" ref="J34">SUM(J32:J33)</f>
      </c>
      <c r="K34" s="4244" t="e">
        <f t="array" ref="K34">SUM(K32:K33)</f>
      </c>
      <c r="L34" s="4245" t="e">
        <f t="array" ref="L34">SUM(L32:L33)</f>
      </c>
      <c r="M34" s="3322" t="e">
        <f t="array" ref="M34">SUM(M32:M33)</f>
      </c>
      <c r="N34" s="3322" t="e">
        <f t="array" ref="N34">SUM(N32:N33)</f>
      </c>
      <c r="O34" s="27" t="n"/>
    </row>
    <row r="35" s="3154" customFormat="1" ht="8" customHeight="1">
      <c r="A35" s="627" t="n"/>
      <c r="B35" s="26" t="n"/>
      <c r="C35" s="26" t="n"/>
      <c r="D35" s="2735" t="n"/>
      <c r="E35" s="2736" t="n"/>
      <c r="F35" s="2736" t="n"/>
      <c r="G35" s="2736" t="n"/>
      <c r="H35" s="2736" t="n"/>
      <c r="I35" s="2736" t="n"/>
      <c r="J35" s="2736" t="n"/>
      <c r="K35" s="2736" t="n"/>
      <c r="L35" s="2737" t="n"/>
      <c r="M35" s="26" t="n"/>
      <c r="N35" s="26" t="n"/>
      <c r="O35" s="27" t="n"/>
    </row>
    <row r="36" s="3154" customFormat="1" ht="13.5" customHeight="1">
      <c r="A36" s="627" t="n"/>
      <c r="B36" s="2104" t="inlineStr">
        <is>
          <t xml:space="preserve">Total GP CF's</t>
        </is>
      </c>
      <c r="C36" s="4020" t="n"/>
      <c r="D36" s="4246" t="e">
        <f t="array" ref="D36">D29+D34</f>
      </c>
      <c r="E36" s="4247" t="e">
        <f t="array" ref="E36">E29+E34</f>
      </c>
      <c r="F36" s="4247" t="e">
        <f t="array" ref="F36">F29+F34</f>
      </c>
      <c r="G36" s="4247" t="e">
        <f t="array" ref="G36">G29+G34</f>
      </c>
      <c r="H36" s="4247" t="e">
        <f t="array" ref="H36">H29+H34</f>
      </c>
      <c r="I36" s="4247" t="e">
        <f t="array" ref="I36">I29+I34</f>
      </c>
      <c r="J36" s="4247" t="e">
        <f t="array" ref="J36">J29+J34</f>
      </c>
      <c r="K36" s="4247" t="e">
        <f t="array" ref="K36">K29+K34</f>
      </c>
      <c r="L36" s="4248" t="e">
        <f t="array" ref="L36">L29+L34</f>
      </c>
      <c r="M36" s="3322" t="e">
        <f t="array" ref="M36">M29+M34</f>
      </c>
      <c r="N36" s="3322" t="e">
        <f t="array" ref="N36">N29+N34</f>
      </c>
      <c r="O36" s="27" t="n"/>
    </row>
    <row r="37" s="3154" customFormat="1" ht="12.75" customHeight="1">
      <c r="A37" s="627" t="n"/>
      <c r="B37" s="26" t="n"/>
      <c r="C37" s="26" t="n"/>
      <c r="D37" s="38" t="e">
        <f t="array" ref="D37">IF(D36&lt;&gt;D24,"check","")</f>
      </c>
      <c r="E37" s="38" t="e">
        <f t="array" ref="E37">IF(E36&lt;&gt;E24,"check","")</f>
      </c>
      <c r="F37" s="38" t="e">
        <f t="array" ref="F37">IF(F36&lt;&gt;F24,"check","")</f>
      </c>
      <c r="G37" s="38" t="e">
        <f t="array" ref="G37">IF(G36&lt;&gt;G24,"check","")</f>
      </c>
      <c r="H37" s="38" t="e">
        <f t="array" ref="H37">IF(H36&lt;&gt;H24,"check","")</f>
      </c>
      <c r="I37" s="38" t="e">
        <f t="array" ref="I37">IF(I36&lt;&gt;I24,"check","")</f>
      </c>
      <c r="J37" s="38" t="e">
        <f t="array" ref="J37">IF(J36&lt;&gt;J24,"check","")</f>
      </c>
      <c r="K37" s="38" t="e">
        <f t="array" ref="K37">IF(K36&lt;&gt;K24,"check","")</f>
      </c>
      <c r="L37" s="38" t="e">
        <f t="array" ref="L37">IF(L36&lt;&gt;L24,"check","")</f>
      </c>
      <c r="M37" s="26" t="n"/>
      <c r="N37" s="26" t="n"/>
      <c r="O37" s="27" t="n"/>
    </row>
    <row r="38" s="3154" customFormat="1" ht="13.5" customHeight="1">
      <c r="A38" s="627" t="n"/>
      <c r="B38" s="2696" t="inlineStr">
        <is>
          <t xml:space="preserve">SUMMARY OF RETURNS</t>
        </is>
      </c>
      <c r="C38" s="229" t="n"/>
      <c r="D38" s="229" t="n"/>
      <c r="E38" s="229" t="n"/>
      <c r="F38" s="229" t="n"/>
      <c r="G38" s="229" t="n"/>
      <c r="H38" s="229" t="n"/>
      <c r="I38" s="2738" t="n"/>
      <c r="J38" s="2739" t="n"/>
      <c r="K38" s="26" t="n"/>
      <c r="L38" s="26" t="n"/>
      <c r="M38" s="26" t="n"/>
      <c r="N38" s="26" t="n"/>
      <c r="O38" s="27" t="n"/>
    </row>
    <row r="39" s="3154" customFormat="1" ht="13.5" customHeight="1">
      <c r="A39" s="627" t="n"/>
      <c r="B39" s="2651" t="n"/>
      <c r="C39" s="2651" t="n"/>
      <c r="D39" s="2698" t="inlineStr">
        <is>
          <t xml:space="preserve">Equity</t>
        </is>
      </c>
      <c r="E39" s="2698" t="inlineStr">
        <is>
          <t xml:space="preserve">Profit</t>
        </is>
      </c>
      <c r="F39" s="2740" t="inlineStr">
        <is>
          <t xml:space="preserve">IRR</t>
        </is>
      </c>
      <c r="G39" s="2740" t="inlineStr">
        <is>
          <t xml:space="preserve">MOIC</t>
        </is>
      </c>
      <c r="H39" s="2698" t="inlineStr">
        <is>
          <t xml:space="preserve">Dev Fee</t>
        </is>
      </c>
      <c r="I39" s="2741" t="inlineStr">
        <is>
          <t xml:space="preserve">Guar Fee</t>
        </is>
      </c>
      <c r="J39" s="2742" t="inlineStr">
        <is>
          <t xml:space="preserve">Total</t>
        </is>
      </c>
      <c r="K39" s="26" t="n"/>
      <c r="L39" s="26" t="n"/>
      <c r="M39" s="26" t="n"/>
      <c r="N39" s="26" t="n"/>
      <c r="O39" s="27" t="n"/>
    </row>
    <row r="40" s="3154" customFormat="1" ht="13.5" customHeight="1">
      <c r="A40" s="627" t="n"/>
      <c r="B40" s="38" t="str">
        <f t="array" ref="B40">C7</f>
        <v>Limited Partners</v>
      </c>
      <c r="C40" s="26" t="n"/>
      <c r="D40" s="4234" t="n">
        <f t="array" ref="D40">E7</f>
        <v>2215211.3201475088</v>
      </c>
      <c r="E40" s="4234" t="e">
        <f t="array" ref="E40">SUM($D$19:$N$19)</f>
      </c>
      <c r="F40" s="4253" t="e">
        <f t="array" ref="F40">C19</f>
      </c>
      <c r="G40" s="4254" t="e">
        <f t="array" ref="G40">SUMIF($D19:$N19,"&gt;"&amp;0)/-SUMIF($D19:$N19,"&lt;"&amp;0)</f>
      </c>
      <c r="H40" s="3322" t="n">
        <v>0</v>
      </c>
      <c r="I40" s="4246" t="n">
        <v>0</v>
      </c>
      <c r="J40" s="2737" t="n"/>
      <c r="K40" s="26" t="n"/>
      <c r="L40" s="26" t="n"/>
      <c r="M40" s="26" t="n"/>
      <c r="N40" s="26" t="n"/>
      <c r="O40" s="27" t="n"/>
    </row>
    <row r="41" s="3154" customFormat="1" ht="13.5" customHeight="1">
      <c r="A41" s="627" t="n"/>
      <c r="B41" s="38" t="str">
        <f t="array" ref="B41">C8</f>
        <v>Doradus Development</v>
      </c>
      <c r="C41" s="26" t="n"/>
      <c r="D41" s="4234" t="n">
        <f t="array" ref="D41">E8</f>
        <v>0</v>
      </c>
      <c r="E41" s="4234" t="e">
        <f t="array" ref="E41">SUM(D29:N29)</f>
      </c>
      <c r="F41" s="2159" t="str">
        <f t="array" ref="F41">C29</f>
        <v>--</v>
      </c>
      <c r="G41" s="2104" t="inlineStr">
        <is>
          <t xml:space="preserve">--</t>
        </is>
      </c>
      <c r="H41" s="3322" t="n">
        <f t="array" ref="H41">'Cost Detail'!$C$24*I8</f>
        <v>52500</v>
      </c>
      <c r="I41" s="4246" t="n">
        <f t="array" ref="I41">'Cost Detail'!$C$24*J8</f>
        <v>0</v>
      </c>
      <c r="J41" s="4248" t="e">
        <f t="array" ref="J41">E41+H41</f>
      </c>
      <c r="K41" s="26" t="n"/>
      <c r="L41" s="26" t="n"/>
      <c r="M41" s="26" t="n"/>
      <c r="N41" s="3322" t="n"/>
      <c r="O41" s="27" t="n"/>
    </row>
    <row r="42" s="3154" customFormat="1" ht="13.5" customHeight="1">
      <c r="A42" s="627" t="n"/>
      <c r="B42" s="2125" t="str">
        <f t="array" ref="B42">C9</f>
        <v>CEIDA/Poarch Creek</v>
      </c>
      <c r="C42" s="163" t="n"/>
      <c r="D42" s="4235" t="n">
        <f t="array" ref="D42">E9</f>
        <v>0</v>
      </c>
      <c r="E42" s="4235" t="e">
        <f t="array" ref="E42">SUM(D34:N34)</f>
      </c>
      <c r="F42" s="4255" t="n">
        <f t="array" ref="F42">IFERROR(C34,0)</f>
        <v>0</v>
      </c>
      <c r="G42" s="4256" t="n">
        <f t="array" ref="G42">IFERROR(SUMIF($D34:$N34,"&gt;"&amp;0)/-SUMIF($D34:$N34,"&lt;"&amp;0),0)</f>
        <v>0</v>
      </c>
      <c r="H42" s="3915" t="n">
        <f t="array" ref="H42">'Cost Detail'!$C$24*I9</f>
        <v>22500.000000000004</v>
      </c>
      <c r="I42" s="4249" t="n">
        <f t="array" ref="I42">'Cost Detail'!C73</f>
        <v>0</v>
      </c>
      <c r="J42" s="4251" t="e">
        <f t="array" ref="J42">E42+H42+I42</f>
      </c>
      <c r="K42" s="26" t="n"/>
      <c r="L42" s="26" t="n"/>
      <c r="M42" s="26" t="n"/>
      <c r="N42" s="3322" t="n"/>
      <c r="O42" s="27" t="n"/>
    </row>
    <row r="43" s="3154" customFormat="1" ht="13.5" customHeight="1">
      <c r="A43" s="627" t="n"/>
      <c r="B43" s="2747" t="inlineStr">
        <is>
          <t xml:space="preserve">Total</t>
        </is>
      </c>
      <c r="C43" s="158" t="n"/>
      <c r="D43" s="4236" t="n">
        <f t="array" ref="D43">SUM(D40:D42)</f>
        <v>2215211.3201475088</v>
      </c>
      <c r="E43" s="4236" t="e">
        <f t="array" ref="E43">SUM(E40:E42)</f>
      </c>
      <c r="F43" s="4257" t="e">
        <f t="array" ref="F43">C16</f>
      </c>
      <c r="G43" s="4258" t="e">
        <f t="array" ref="G43">SUMIF($D16:$N16,"&gt;"&amp;0)/-SUMIF($D16:$N16,"&lt;"&amp;0)</f>
      </c>
      <c r="H43" s="4236" t="n">
        <f t="array" ref="H43">SUM(H40:H42)</f>
        <v>75000</v>
      </c>
      <c r="I43" s="4259" t="n">
        <f t="array" ref="I43">SUM(I40:I42)</f>
        <v>0</v>
      </c>
      <c r="J43" s="4260" t="e">
        <f t="array" ref="J43">SUM(J40:J42)</f>
      </c>
      <c r="K43" s="26" t="n"/>
      <c r="L43" s="26" t="n"/>
      <c r="M43" s="26" t="n"/>
      <c r="N43" s="26" t="n"/>
      <c r="O43" s="27" t="n"/>
    </row>
    <row r="44" s="3154" customFormat="1" ht="13.5" customHeight="1">
      <c r="A44" s="627" t="n"/>
      <c r="B44" s="1100" t="n"/>
      <c r="C44" s="26" t="n"/>
      <c r="D44" s="4234" t="n"/>
      <c r="E44" s="4234" t="n"/>
      <c r="F44" s="4253" t="n"/>
      <c r="G44" s="4254" t="n"/>
      <c r="H44" s="4234" t="n"/>
      <c r="I44" s="26" t="n"/>
      <c r="J44" s="26" t="n"/>
      <c r="K44" s="26" t="n"/>
      <c r="L44" s="26" t="n"/>
      <c r="M44" s="26" t="n"/>
      <c r="N44" s="26" t="n"/>
      <c r="O44" s="27" t="n"/>
    </row>
    <row r="45" s="3154" customFormat="1" ht="13.5" customHeight="1">
      <c r="A45" s="627" t="n"/>
      <c r="B45" s="26" t="n"/>
      <c r="C45" s="26" t="n"/>
      <c r="D45" s="26" t="n"/>
      <c r="E45" s="26" t="n"/>
      <c r="F45" s="26" t="n"/>
      <c r="G45" s="26" t="n"/>
      <c r="H45" s="2208" t="n"/>
      <c r="I45" s="2208" t="n"/>
      <c r="J45" s="2208" t="n"/>
      <c r="K45" s="26" t="n"/>
      <c r="L45" s="26" t="n"/>
      <c r="M45" s="26" t="n"/>
      <c r="N45" s="26" t="n"/>
      <c r="O45" s="27" t="n"/>
    </row>
    <row r="46" s="3154" customFormat="1" ht="13.5" customHeight="1">
      <c r="A46" s="627" t="n"/>
      <c r="B46" s="26" t="n"/>
      <c r="C46" s="26" t="n"/>
      <c r="D46" s="26" t="n"/>
      <c r="E46" s="3322" t="n"/>
      <c r="F46" s="26" t="n"/>
      <c r="G46" s="1922" t="n"/>
      <c r="H46" s="3322" t="n"/>
      <c r="I46" s="3322" t="n"/>
      <c r="J46" s="3322" t="n"/>
      <c r="K46" s="26" t="n"/>
      <c r="L46" s="26" t="n"/>
      <c r="M46" s="26" t="n"/>
      <c r="N46" s="26" t="n"/>
      <c r="O46" s="27" t="n"/>
    </row>
    <row r="47" s="3154" customFormat="1" ht="13.5" customHeight="1">
      <c r="A47" s="627" t="n"/>
      <c r="B47" s="26" t="n"/>
      <c r="C47" s="2121" t="n">
        <f t="array" ref="C47">5000000/E7</f>
        <v>2.2571210044498393</v>
      </c>
      <c r="D47" s="26" t="n"/>
      <c r="E47" s="3322" t="n"/>
      <c r="F47" s="26" t="n"/>
      <c r="G47" s="1922" t="n"/>
      <c r="H47" s="3322" t="n"/>
      <c r="I47" s="3322" t="n"/>
      <c r="J47" s="3322" t="n"/>
      <c r="K47" s="26" t="n"/>
      <c r="L47" s="26" t="n"/>
      <c r="M47" s="26" t="n"/>
      <c r="N47" s="26" t="n"/>
      <c r="O47" s="27" t="n"/>
    </row>
    <row r="48" s="3154" customFormat="1" ht="13.5" customHeight="1">
      <c r="A48" s="627" t="n"/>
      <c r="B48" s="429" t="inlineStr">
        <is>
          <t xml:space="preserve">CEIDA Returns</t>
        </is>
      </c>
      <c r="C48" s="26" t="n"/>
      <c r="D48" s="2208" t="n">
        <f t="array" ref="D48">D13</f>
        <v>2026</v>
      </c>
      <c r="E48" s="2208" t="n">
        <f t="array" ref="E48">E13</f>
        <v>2027</v>
      </c>
      <c r="F48" s="2208" t="n">
        <f t="array" ref="F48">F13</f>
        <v>2028</v>
      </c>
      <c r="G48" s="2208" t="n">
        <f t="array" ref="G48">G13</f>
        <v>2029</v>
      </c>
      <c r="H48" s="2208" t="n">
        <f t="array" ref="H48">H13</f>
        <v>2030</v>
      </c>
      <c r="I48" s="2208" t="n">
        <f t="array" ref="I48">I13</f>
        <v>2031</v>
      </c>
      <c r="J48" s="2208" t="n">
        <f t="array" ref="J48">J13</f>
        <v>2032</v>
      </c>
      <c r="K48" s="2208" t="n">
        <f t="array" ref="K48">K13</f>
        <v>2033</v>
      </c>
      <c r="L48" s="2208" t="n">
        <f t="array" ref="L48">L13</f>
        <v>2034</v>
      </c>
      <c r="M48" s="26" t="n">
        <f t="array" ref="M48">M13</f>
        <v>2035</v>
      </c>
      <c r="N48" s="26" t="n">
        <f t="array" ref="N48">N13</f>
        <v>2036</v>
      </c>
      <c r="O48" s="27" t="n"/>
    </row>
    <row r="49" s="3154" customFormat="1" ht="13.5" customHeight="1">
      <c r="A49" s="627" t="n"/>
      <c r="B49" s="429" t="inlineStr">
        <is>
          <t xml:space="preserve">LP Investment</t>
        </is>
      </c>
      <c r="C49" s="4020" t="e">
        <f t="array" ref="C49">IRR(D49:N49,0.1)</f>
      </c>
      <c r="D49" s="3322" t="e">
        <f t="array" ref="D49">$C$47*D19</f>
      </c>
      <c r="E49" s="3322" t="e">
        <f t="array" ref="E49">$C$47*E19</f>
      </c>
      <c r="F49" s="3322" t="e">
        <f t="array" ref="F49">$C$47*F19</f>
      </c>
      <c r="G49" s="3322" t="e">
        <f t="array" ref="G49">$C$47*G19</f>
      </c>
      <c r="H49" s="3322" t="e">
        <f t="array" ref="H49">$C$47*H19</f>
      </c>
      <c r="I49" s="3322" t="e">
        <f t="array" ref="I49">$C$47*I19</f>
      </c>
      <c r="J49" s="3322" t="e">
        <f t="array" ref="J49">$C$47*J19</f>
      </c>
      <c r="K49" s="3322" t="e">
        <f t="array" ref="K49">$C$47*K19</f>
      </c>
      <c r="L49" s="3322" t="e">
        <f t="array" ref="L49">$C$47*L19</f>
      </c>
      <c r="M49" s="26" t="e">
        <f t="array" ref="M49">$C$47*M19</f>
      </c>
      <c r="N49" s="26" t="e">
        <f t="array" ref="N49">$C$47*N19</f>
      </c>
      <c r="O49" s="27" t="n"/>
    </row>
    <row r="50" s="3154" customFormat="1" ht="13.5" customHeight="1">
      <c r="A50" s="627" t="n"/>
      <c r="B50" s="429" t="inlineStr">
        <is>
          <t xml:space="preserve">GP Investment</t>
        </is>
      </c>
      <c r="C50" s="4020" t="n">
        <f t="array" ref="C50">IFERROR(IRR(D50:N50,0.1),0)</f>
        <v>0</v>
      </c>
      <c r="D50" s="3915" t="e">
        <f t="array" ref="D50">D34</f>
      </c>
      <c r="E50" s="3915" t="e">
        <f t="array" ref="E50">E34</f>
      </c>
      <c r="F50" s="3915" t="e">
        <f t="array" ref="F50">F34</f>
      </c>
      <c r="G50" s="3915" t="e">
        <f t="array" ref="G50">G34</f>
      </c>
      <c r="H50" s="3915" t="e">
        <f t="array" ref="H50">H34</f>
      </c>
      <c r="I50" s="3915" t="e">
        <f t="array" ref="I50">I34</f>
      </c>
      <c r="J50" s="3915" t="e">
        <f t="array" ref="J50">J34</f>
      </c>
      <c r="K50" s="3915" t="e">
        <f t="array" ref="K50">K34</f>
      </c>
      <c r="L50" s="163" t="n"/>
      <c r="M50" s="26" t="n"/>
      <c r="N50" s="26" t="n"/>
      <c r="O50" s="27" t="n"/>
    </row>
    <row r="51" s="3154" customFormat="1" ht="13.5" customHeight="1">
      <c r="A51" s="627" t="n"/>
      <c r="B51" s="429" t="inlineStr">
        <is>
          <t xml:space="preserve">Total Investment</t>
        </is>
      </c>
      <c r="C51" s="4020" t="e">
        <f t="array" ref="C51">IRR(D51:N51,0.1)</f>
      </c>
      <c r="D51" s="3226" t="e">
        <f t="array" ref="D51">SUM(D49:D50)</f>
      </c>
      <c r="E51" s="3226" t="e">
        <f t="array" ref="E51">SUM(E49:E50)</f>
      </c>
      <c r="F51" s="3226" t="e">
        <f t="array" ref="F51">SUM(F49:F50)</f>
      </c>
      <c r="G51" s="3226" t="e">
        <f t="array" ref="G51">SUM(G49:G50)</f>
      </c>
      <c r="H51" s="3226" t="e">
        <f t="array" ref="H51">SUM(H49:H50)</f>
      </c>
      <c r="I51" s="3226" t="e">
        <f t="array" ref="I51">SUM(I49:I50)</f>
      </c>
      <c r="J51" s="3226" t="e">
        <f t="array" ref="J51">SUM(J49:J50)</f>
      </c>
      <c r="K51" s="3226" t="e">
        <f t="array" ref="K51">SUM(K49:K50)</f>
      </c>
      <c r="L51" s="3226" t="e">
        <f t="array" ref="L51">SUM(L49:L50)</f>
      </c>
      <c r="M51" s="26" t="e">
        <f t="array" ref="M51">SUM(M49:M50)</f>
      </c>
      <c r="N51" s="26" t="e">
        <f t="array" ref="N51">SUM(N49:N50)</f>
      </c>
      <c r="O51" s="27" t="n"/>
    </row>
    <row r="52" s="3154" customFormat="1" ht="13.5" customHeight="1">
      <c r="A52" s="627" t="n"/>
      <c r="B52" s="26" t="n"/>
      <c r="C52" s="26" t="n"/>
      <c r="D52" s="26" t="n"/>
      <c r="E52" s="26" t="n"/>
      <c r="F52" s="26" t="n"/>
      <c r="G52" s="1922" t="n"/>
      <c r="H52" s="3322" t="n"/>
      <c r="I52" s="3322" t="n"/>
      <c r="J52" s="3322" t="n"/>
      <c r="K52" s="26" t="n"/>
      <c r="L52" s="26" t="n"/>
      <c r="M52" s="26" t="n"/>
      <c r="N52" s="26" t="n"/>
      <c r="O52" s="27" t="n"/>
    </row>
    <row r="53" s="3154" customFormat="1" ht="13.5" customHeight="1">
      <c r="A53" s="627" t="n"/>
      <c r="B53" s="26" t="n"/>
      <c r="C53" s="26" t="n"/>
      <c r="D53" s="26" t="n"/>
      <c r="E53" s="26" t="n"/>
      <c r="F53" s="26" t="n"/>
      <c r="G53" s="1922" t="n"/>
      <c r="H53" s="3322" t="n"/>
      <c r="I53" s="3322" t="n"/>
      <c r="J53" s="3322" t="n"/>
      <c r="K53" s="26" t="n"/>
      <c r="L53" s="26" t="n"/>
      <c r="M53" s="26" t="n"/>
      <c r="N53" s="26" t="n"/>
      <c r="O53" s="27" t="n"/>
    </row>
    <row r="54" s="3154" customFormat="1" ht="13.5" customHeight="1">
      <c r="A54" s="627" t="n"/>
      <c r="B54" s="26" t="n"/>
      <c r="C54" s="26" t="n"/>
      <c r="D54" s="26" t="n"/>
      <c r="E54" s="26" t="n"/>
      <c r="F54" s="26" t="n"/>
      <c r="G54" s="1922" t="n"/>
      <c r="H54" s="3322" t="n"/>
      <c r="I54" s="3322" t="n"/>
      <c r="J54" s="3322" t="n"/>
      <c r="K54" s="26" t="n"/>
      <c r="L54" s="26" t="n"/>
      <c r="M54" s="26" t="n"/>
      <c r="N54" s="26" t="n"/>
      <c r="O54" s="27" t="n"/>
    </row>
    <row r="55" s="3154" customFormat="1" ht="13.5" customHeight="1">
      <c r="A55" s="627" t="n"/>
      <c r="B55" s="26" t="n"/>
      <c r="C55" s="26" t="n"/>
      <c r="D55" s="26" t="n"/>
      <c r="E55" s="26" t="n"/>
      <c r="F55" s="26" t="n"/>
      <c r="G55" s="1922" t="n"/>
      <c r="H55" s="3322" t="n"/>
      <c r="I55" s="3322" t="n"/>
      <c r="J55" s="3322" t="n"/>
      <c r="K55" s="26" t="n"/>
      <c r="L55" s="26" t="n"/>
      <c r="M55" s="26" t="n"/>
      <c r="N55" s="26" t="n"/>
      <c r="O55" s="27" t="n"/>
    </row>
    <row r="56" s="3154" customFormat="1" ht="13.5" customHeight="1">
      <c r="A56" s="627" t="n"/>
      <c r="B56" s="26" t="n"/>
      <c r="C56" s="26" t="n"/>
      <c r="D56" s="26" t="n"/>
      <c r="E56" s="26" t="n"/>
      <c r="F56" s="26" t="n"/>
      <c r="G56" s="1922" t="n"/>
      <c r="H56" s="3322" t="n"/>
      <c r="I56" s="3322" t="n"/>
      <c r="J56" s="3322" t="n"/>
      <c r="K56" s="26" t="n"/>
      <c r="L56" s="26" t="n"/>
      <c r="M56" s="26" t="n"/>
      <c r="N56" s="26" t="n"/>
      <c r="O56" s="27" t="n"/>
    </row>
    <row r="57" s="3154" customFormat="1" ht="13.5" customHeight="1">
      <c r="A57" s="627" t="n"/>
      <c r="B57" s="26" t="n"/>
      <c r="C57" s="26" t="n"/>
      <c r="D57" s="26" t="n"/>
      <c r="E57" s="26" t="n"/>
      <c r="F57" s="26" t="n"/>
      <c r="G57" s="1922" t="n"/>
      <c r="H57" s="3322" t="n"/>
      <c r="I57" s="3322" t="n"/>
      <c r="J57" s="3322" t="n"/>
      <c r="K57" s="26" t="n"/>
      <c r="L57" s="26" t="n"/>
      <c r="M57" s="26" t="n"/>
      <c r="N57" s="26" t="n"/>
      <c r="O57" s="27" t="n"/>
    </row>
    <row r="58" s="3154" customFormat="1" ht="13.5" customHeight="1">
      <c r="A58" s="627" t="n"/>
      <c r="B58" s="26" t="n"/>
      <c r="C58" s="26" t="n"/>
      <c r="D58" s="26" t="n"/>
      <c r="E58" s="26" t="n"/>
      <c r="F58" s="26" t="n"/>
      <c r="G58" s="1922" t="n"/>
      <c r="H58" s="3322" t="n"/>
      <c r="I58" s="3322" t="n"/>
      <c r="J58" s="3322" t="n"/>
      <c r="K58" s="26" t="n"/>
      <c r="L58" s="26" t="n"/>
      <c r="M58" s="26" t="n"/>
      <c r="N58" s="26" t="n"/>
      <c r="O58" s="27" t="n"/>
    </row>
    <row r="59" s="3154" customFormat="1" ht="13.5" customHeight="1">
      <c r="A59" s="627" t="n"/>
      <c r="B59" s="26" t="n"/>
      <c r="C59" s="26" t="n"/>
      <c r="D59" s="26" t="n"/>
      <c r="E59" s="26" t="n"/>
      <c r="F59" s="26" t="n"/>
      <c r="G59" s="1922" t="n"/>
      <c r="H59" s="3322" t="n"/>
      <c r="I59" s="3322" t="n"/>
      <c r="J59" s="3322" t="n"/>
      <c r="K59" s="26" t="n"/>
      <c r="L59" s="26" t="n"/>
      <c r="M59" s="26" t="n"/>
      <c r="N59" s="26" t="n"/>
      <c r="O59" s="27" t="n"/>
    </row>
    <row r="60" s="3154" customFormat="1" ht="13.5" customHeight="1">
      <c r="A60" s="627" t="n"/>
      <c r="B60" s="26" t="n"/>
      <c r="C60" s="26" t="n"/>
      <c r="D60" s="26" t="n"/>
      <c r="E60" s="26" t="n"/>
      <c r="F60" s="26" t="n"/>
      <c r="G60" s="1922" t="n"/>
      <c r="H60" s="3322" t="n"/>
      <c r="I60" s="3322" t="n"/>
      <c r="J60" s="3322" t="n"/>
      <c r="K60" s="26" t="n"/>
      <c r="L60" s="26" t="n"/>
      <c r="M60" s="26" t="n"/>
      <c r="N60" s="26" t="n"/>
      <c r="O60" s="27" t="n"/>
    </row>
    <row r="61" s="3154" customFormat="1" ht="13.5" customHeight="1">
      <c r="A61" s="633" t="n"/>
      <c r="B61" s="634" t="n"/>
      <c r="C61" s="634" t="n"/>
      <c r="D61" s="634" t="n"/>
      <c r="E61" s="634" t="n"/>
      <c r="F61" s="634" t="n"/>
      <c r="G61" s="634" t="n"/>
      <c r="H61" s="4261" t="n"/>
      <c r="I61" s="4261" t="n"/>
      <c r="J61" s="4261" t="n"/>
      <c r="K61" s="634" t="n"/>
      <c r="L61" s="634" t="n"/>
      <c r="M61" s="634" t="n"/>
      <c r="N61" s="634" t="n"/>
      <c r="O61" s="635" t="n"/>
    </row>
  </sheetData>
  <pageMargins left="0.7" right="0.7" top="0.75" bottom="0.75" header="0.3" footer="0.3"/>
</worksheet>
</file>

<file path=xl/worksheets/sheet27.xml><?xml version="1.0" encoding="utf-8"?>
<worksheet xmlns="http://schemas.openxmlformats.org/spreadsheetml/2006/main">
  <sheetViews>
    <sheetView showGridLines="0" workbookViewId="0"/>
  </sheetViews>
  <sheetFormatPr baseColWidth="8" defaultColWidth="9" defaultRowHeight="13.5"/>
  <cols>
    <col min="1" max="1" width="1.3515599966049194" style="3136" customWidth="1"/>
    <col min="2" max="12" width="11.85159969329834" style="3136" customWidth="1"/>
    <col min="13" max="13" width="2.671880006790161" style="3136" customWidth="1"/>
    <col min="14" max="14" width="11.85159969329834" style="3136" customWidth="1"/>
    <col min="15" max="15" width="13.35159969329834" style="3136" customWidth="1"/>
    <col min="16" max="16384" width="9" style="3136" customWidth="1"/>
  </cols>
  <sheetData>
    <row r="1" s="3154" customFormat="1" ht="19.5" customHeight="1">
      <c r="A1" s="2597" t="n"/>
      <c r="B1" s="2693" t="inlineStr">
        <is>
          <t xml:space="preserve">CO-GP PROJECT SUMMARY</t>
        </is>
      </c>
      <c r="C1" s="153" t="n"/>
      <c r="D1" s="153" t="n"/>
      <c r="E1" s="153" t="n"/>
      <c r="F1" s="153" t="n"/>
      <c r="G1" s="153" t="n"/>
      <c r="H1" s="153" t="n"/>
      <c r="I1" s="153" t="n"/>
      <c r="J1" s="153" t="n"/>
      <c r="K1" s="153" t="n"/>
      <c r="L1" s="2694" t="inlineStr">
        <is>
          <t xml:space="preserve">MODEL REVISED: Feb 14, 2022</t>
        </is>
      </c>
      <c r="M1" s="11" t="n"/>
      <c r="N1" s="11" t="n"/>
      <c r="O1" s="13" t="n"/>
    </row>
    <row r="2" s="3154" customFormat="1" ht="17.25" customHeight="1">
      <c r="A2" s="627" t="n"/>
      <c r="B2" s="2754" t="inlineStr">
        <is>
          <t xml:space="preserve">[BRAND] [BRAND] / SLEEP SPACE / SLEEP SPACE, AL</t>
        </is>
      </c>
      <c r="C2" s="158" t="n"/>
      <c r="D2" s="158" t="n"/>
      <c r="E2" s="158" t="n"/>
      <c r="F2" s="158" t="n"/>
      <c r="G2" s="158" t="n"/>
      <c r="H2" s="158" t="n"/>
      <c r="I2" s="158" t="n"/>
      <c r="J2" s="158" t="n"/>
      <c r="K2" s="158" t="n"/>
      <c r="L2" s="2755" t="n"/>
      <c r="M2" s="26" t="n"/>
      <c r="N2" s="26" t="n"/>
      <c r="O2" s="27" t="n"/>
    </row>
    <row r="3" s="3154" customFormat="1" ht="15.75" customHeight="1">
      <c r="A3" s="627" t="n"/>
      <c r="B3" s="2756" t="inlineStr">
        <is>
          <t xml:space="preserve">Version Notes: Initial Draft &amp; Feasibility Pro Forma / Incentive &amp; Co-GP Model</t>
        </is>
      </c>
      <c r="C3" s="26" t="n"/>
      <c r="D3" s="26" t="n"/>
      <c r="E3" s="26" t="n"/>
      <c r="F3" s="26" t="n"/>
      <c r="G3" s="26" t="n"/>
      <c r="H3" s="26" t="n"/>
      <c r="I3" s="26" t="n"/>
      <c r="J3" s="26" t="n"/>
      <c r="K3" s="26" t="n"/>
      <c r="L3" s="26" t="n"/>
      <c r="M3" s="26" t="n"/>
      <c r="N3" s="26" t="n"/>
      <c r="O3" s="27" t="n"/>
    </row>
    <row r="4" s="3154" customFormat="1" ht="13.5" customHeight="1">
      <c r="A4" s="627" t="n"/>
      <c r="B4" s="26" t="n"/>
      <c r="C4" s="26" t="n"/>
      <c r="D4" s="26" t="n"/>
      <c r="E4" s="26" t="n"/>
      <c r="F4" s="26" t="n"/>
      <c r="G4" s="26" t="n"/>
      <c r="H4" s="26" t="n"/>
      <c r="I4" s="26" t="n"/>
      <c r="J4" s="26" t="n"/>
      <c r="K4" s="26" t="n"/>
      <c r="L4" s="26" t="n"/>
      <c r="M4" s="26" t="n"/>
      <c r="N4" s="26" t="n"/>
      <c r="O4" s="27" t="n"/>
    </row>
    <row r="5" s="3154" customFormat="1" ht="13.5" customHeight="1">
      <c r="A5" s="627" t="n"/>
      <c r="B5" s="2696" t="inlineStr">
        <is>
          <t xml:space="preserve">GP/LP EQUITY &amp; PROMOTE SPLITS</t>
        </is>
      </c>
      <c r="C5" s="229" t="n"/>
      <c r="D5" s="229" t="n"/>
      <c r="E5" s="229" t="n"/>
      <c r="F5" s="229" t="n"/>
      <c r="G5" s="229" t="n"/>
      <c r="H5" s="229" t="n"/>
      <c r="I5" s="229" t="n"/>
      <c r="J5" s="26" t="n"/>
      <c r="K5" s="26" t="n"/>
      <c r="L5" s="26" t="n"/>
      <c r="M5" s="26" t="n"/>
      <c r="N5" s="429" t="inlineStr">
        <is>
          <t xml:space="preserve">CL Debt:</t>
        </is>
      </c>
      <c r="O5" s="2697" t="n">
        <v>0.045</v>
      </c>
    </row>
    <row r="6" s="3154" customFormat="1" ht="13.5" customHeight="1">
      <c r="A6" s="627" t="n"/>
      <c r="B6" s="2651" t="n"/>
      <c r="C6" s="2651" t="n"/>
      <c r="D6" s="2651" t="n"/>
      <c r="E6" s="2698" t="inlineStr">
        <is>
          <t xml:space="preserve">Equity</t>
        </is>
      </c>
      <c r="F6" s="2698" t="inlineStr">
        <is>
          <t xml:space="preserve">% Equity</t>
        </is>
      </c>
      <c r="G6" s="2698" t="inlineStr">
        <is>
          <t xml:space="preserve">GP Equity</t>
        </is>
      </c>
      <c r="H6" s="2698" t="inlineStr">
        <is>
          <t xml:space="preserve">GP Promote</t>
        </is>
      </c>
      <c r="I6" s="2698" t="inlineStr">
        <is>
          <t xml:space="preserve">Dev Fees</t>
        </is>
      </c>
      <c r="J6" s="26" t="n"/>
      <c r="K6" s="26" t="n"/>
      <c r="L6" s="26" t="n"/>
      <c r="M6" s="26" t="n"/>
      <c r="N6" s="26" t="n"/>
      <c r="O6" s="27" t="n"/>
    </row>
    <row r="7" s="3154" customFormat="1" ht="13.5" customHeight="1">
      <c r="A7" s="627" t="n"/>
      <c r="B7" s="429" t="inlineStr">
        <is>
          <t xml:space="preserve">LP</t>
        </is>
      </c>
      <c r="C7" s="256" t="inlineStr">
        <is>
          <t xml:space="preserve">Limited Partners</t>
        </is>
      </c>
      <c r="D7" s="26" t="n"/>
      <c r="E7" s="4234" t="n">
        <v>7719184.27765625</v>
      </c>
      <c r="F7" s="2700" t="n">
        <v>0.95</v>
      </c>
      <c r="G7" s="1100" t="n"/>
      <c r="H7" s="1100" t="n"/>
      <c r="I7" s="1100" t="n"/>
      <c r="J7" s="26" t="n"/>
      <c r="K7" s="26" t="n"/>
      <c r="L7" s="26" t="n"/>
      <c r="M7" s="26" t="n"/>
      <c r="N7" s="26" t="n"/>
      <c r="O7" s="27" t="n"/>
    </row>
    <row r="8" s="3154" customFormat="1" ht="13.5" customHeight="1">
      <c r="A8" s="627" t="n"/>
      <c r="B8" s="429" t="inlineStr">
        <is>
          <t xml:space="preserve">GP1</t>
        </is>
      </c>
      <c r="C8" s="256" t="inlineStr">
        <is>
          <t xml:space="preserve">Doradus Development</t>
        </is>
      </c>
      <c r="D8" s="26" t="n"/>
      <c r="E8" s="4234" t="n">
        <v>0</v>
      </c>
      <c r="F8" s="2700" t="n">
        <v>0</v>
      </c>
      <c r="G8" s="2701" t="n">
        <v>0</v>
      </c>
      <c r="H8" s="2701" t="n">
        <v>0.3</v>
      </c>
      <c r="I8" s="2701" t="n">
        <v>0.8</v>
      </c>
      <c r="J8" s="26" t="n"/>
      <c r="K8" s="26" t="n"/>
      <c r="L8" s="26" t="n"/>
      <c r="M8" s="26" t="n"/>
      <c r="N8" s="26" t="n"/>
      <c r="O8" s="27" t="n"/>
    </row>
    <row r="9" s="3154" customFormat="1" ht="13.5" customHeight="1">
      <c r="A9" s="627" t="n"/>
      <c r="B9" s="1957" t="inlineStr">
        <is>
          <t xml:space="preserve">GP2</t>
        </is>
      </c>
      <c r="C9" s="2702" t="inlineStr">
        <is>
          <t xml:space="preserve">CEIDA/Poarch Creek</t>
        </is>
      </c>
      <c r="D9" s="163" t="n"/>
      <c r="E9" s="4235" t="n">
        <v>406272.85671875</v>
      </c>
      <c r="F9" s="2704" t="n">
        <v>0.05</v>
      </c>
      <c r="G9" s="2704" t="n">
        <v>1</v>
      </c>
      <c r="H9" s="2704" t="n">
        <v>0.7</v>
      </c>
      <c r="I9" s="2704" t="n">
        <v>0.2</v>
      </c>
      <c r="J9" s="26" t="n"/>
      <c r="K9" s="26" t="n"/>
      <c r="L9" s="26" t="n"/>
      <c r="M9" s="26" t="n"/>
      <c r="N9" s="26" t="n"/>
      <c r="O9" s="27" t="n"/>
    </row>
    <row r="10" s="3154" customFormat="1" ht="13.5" customHeight="1">
      <c r="A10" s="627" t="n"/>
      <c r="B10" s="1953" t="inlineStr">
        <is>
          <t xml:space="preserve">Total</t>
        </is>
      </c>
      <c r="C10" s="158" t="n"/>
      <c r="D10" s="158" t="n"/>
      <c r="E10" s="4236" t="n">
        <v>8125457.134375</v>
      </c>
      <c r="F10" s="2706" t="n">
        <v>1</v>
      </c>
      <c r="G10" s="158" t="n"/>
      <c r="H10" s="158" t="n"/>
      <c r="I10" s="158" t="n"/>
      <c r="J10" s="26" t="n"/>
      <c r="K10" s="26" t="n"/>
      <c r="L10" s="26" t="n"/>
      <c r="M10" s="26" t="n"/>
      <c r="N10" s="26" t="n"/>
      <c r="O10" s="27" t="n"/>
    </row>
    <row r="11" s="3154" customFormat="1" ht="15" customHeight="1">
      <c r="A11" s="627" t="n"/>
      <c r="B11" s="26" t="n"/>
      <c r="C11" s="26" t="n"/>
      <c r="D11" s="26" t="n"/>
      <c r="E11" s="26" t="n"/>
      <c r="F11" s="26" t="n"/>
      <c r="G11" s="26" t="n"/>
      <c r="H11" s="26" t="n"/>
      <c r="I11" s="26" t="n"/>
      <c r="J11" s="26" t="n"/>
      <c r="K11" s="26" t="n"/>
      <c r="L11" s="26" t="n"/>
      <c r="M11" s="26" t="n"/>
      <c r="N11" s="26" t="n"/>
      <c r="O11" s="27" t="n"/>
    </row>
    <row r="12" s="3154" customFormat="1" ht="13.5" customHeight="1">
      <c r="A12" s="627" t="n"/>
      <c r="B12" s="2696" t="inlineStr">
        <is>
          <t xml:space="preserve">PRE-WATERFALL CASH FLOWS &amp; RETURNS</t>
        </is>
      </c>
      <c r="C12" s="229" t="n"/>
      <c r="D12" s="229" t="n"/>
      <c r="E12" s="229" t="n"/>
      <c r="F12" s="229" t="n"/>
      <c r="G12" s="229" t="n"/>
      <c r="H12" s="229" t="n"/>
      <c r="I12" s="229" t="n"/>
      <c r="J12" s="229" t="n"/>
      <c r="K12" s="229" t="n"/>
      <c r="L12" s="229" t="n"/>
      <c r="M12" s="2707" t="n"/>
      <c r="N12" s="26" t="n"/>
      <c r="O12" s="27" t="n"/>
    </row>
    <row r="13" s="3154" customFormat="1" ht="13.5" customHeight="1">
      <c r="A13" s="627" t="n"/>
      <c r="B13" s="2651" t="n"/>
      <c r="C13" s="2698" t="inlineStr">
        <is>
          <t xml:space="preserve">IRR</t>
        </is>
      </c>
      <c r="D13" s="2708" t="n">
        <v>2023</v>
      </c>
      <c r="E13" s="2709" t="n">
        <v>2024</v>
      </c>
      <c r="F13" s="2709" t="n">
        <v>2025</v>
      </c>
      <c r="G13" s="2709" t="n">
        <v>2026</v>
      </c>
      <c r="H13" s="2709" t="n">
        <v>2027</v>
      </c>
      <c r="I13" s="2709" t="n">
        <v>2028</v>
      </c>
      <c r="J13" s="2709" t="n">
        <v>2029</v>
      </c>
      <c r="K13" s="2709" t="n">
        <v>2030</v>
      </c>
      <c r="L13" s="2710" t="n">
        <v>2031</v>
      </c>
      <c r="M13" s="2208" t="n"/>
      <c r="N13" s="26" t="n"/>
      <c r="O13" s="27" t="n"/>
    </row>
    <row r="14" s="3154" customFormat="1" ht="13.5" customHeight="1">
      <c r="A14" s="627" t="n"/>
      <c r="B14" s="429" t="inlineStr">
        <is>
          <t xml:space="preserve">Equity</t>
        </is>
      </c>
      <c r="C14" s="2208" t="n"/>
      <c r="D14" s="4237" t="n">
        <v>-4792124.18301389</v>
      </c>
      <c r="E14" s="4238" t="n">
        <v>-3333332.95136111</v>
      </c>
      <c r="F14" s="4238" t="n">
        <v>0</v>
      </c>
      <c r="G14" s="4238" t="n">
        <v>0</v>
      </c>
      <c r="H14" s="4238" t="n">
        <v>0</v>
      </c>
      <c r="I14" s="4238" t="n">
        <v>0</v>
      </c>
      <c r="J14" s="4238" t="n">
        <v>0</v>
      </c>
      <c r="K14" s="4238" t="n">
        <v>0</v>
      </c>
      <c r="L14" s="4239" t="n">
        <v>0</v>
      </c>
      <c r="M14" s="4027" t="n"/>
      <c r="N14" s="3322" t="n">
        <v>-8125457.134375</v>
      </c>
      <c r="O14" s="4022" t="n"/>
    </row>
    <row r="15" s="3154" customFormat="1" ht="13.5" customHeight="1">
      <c r="A15" s="627" t="n"/>
      <c r="B15" s="429" t="inlineStr">
        <is>
          <t xml:space="preserve">Cash Flows</t>
        </is>
      </c>
      <c r="C15" s="2208" t="n"/>
      <c r="D15" s="4240" t="n">
        <v>0</v>
      </c>
      <c r="E15" s="4241" t="n">
        <v>0</v>
      </c>
      <c r="F15" s="4241" t="n">
        <v>1292536.06207031</v>
      </c>
      <c r="G15" s="4241" t="n">
        <v>1220824.90789009</v>
      </c>
      <c r="H15" s="4241" t="n">
        <v>1170683.78096967</v>
      </c>
      <c r="I15" s="4241" t="n">
        <v>1280879.66051917</v>
      </c>
      <c r="J15" s="4241" t="n">
        <v>1395926.96801502</v>
      </c>
      <c r="K15" s="4241" t="n">
        <v>13775380.3278595</v>
      </c>
      <c r="L15" s="4242" t="n">
        <v>0</v>
      </c>
      <c r="M15" s="4027" t="n"/>
      <c r="N15" s="3322" t="n">
        <v>20136231.7073238</v>
      </c>
      <c r="O15" s="4022" t="n"/>
    </row>
    <row r="16" s="3154" customFormat="1" ht="13.5" customHeight="1">
      <c r="A16" s="627" t="n"/>
      <c r="B16" s="429" t="inlineStr">
        <is>
          <t xml:space="preserve">Total CFs</t>
        </is>
      </c>
      <c r="C16" s="3260" t="n">
        <v>0.181774030752042</v>
      </c>
      <c r="D16" s="4243" t="n">
        <v>-4792124.18301389</v>
      </c>
      <c r="E16" s="4244" t="n">
        <v>-3333332.95136111</v>
      </c>
      <c r="F16" s="4244" t="n">
        <v>1292536.06207031</v>
      </c>
      <c r="G16" s="4244" t="n">
        <v>1220824.90789009</v>
      </c>
      <c r="H16" s="4244" t="n">
        <v>1170683.78096967</v>
      </c>
      <c r="I16" s="4244" t="n">
        <v>1280879.66051917</v>
      </c>
      <c r="J16" s="4244" t="n">
        <v>1395926.96801502</v>
      </c>
      <c r="K16" s="4244" t="n">
        <v>13775380.3278595</v>
      </c>
      <c r="L16" s="4245" t="n">
        <v>0</v>
      </c>
      <c r="M16" s="3322" t="n"/>
      <c r="N16" s="3322" t="n">
        <v>12010774.5729488</v>
      </c>
      <c r="O16" s="27" t="n"/>
    </row>
    <row r="17" s="3154" customFormat="1" ht="15" customHeight="1">
      <c r="A17" s="627" t="n"/>
      <c r="B17" s="26" t="n"/>
      <c r="C17" s="26" t="n"/>
      <c r="D17" s="4246" t="n"/>
      <c r="E17" s="4247" t="n"/>
      <c r="F17" s="4247" t="n"/>
      <c r="G17" s="4247" t="n"/>
      <c r="H17" s="4247" t="n"/>
      <c r="I17" s="4247" t="n"/>
      <c r="J17" s="4247" t="n"/>
      <c r="K17" s="4247" t="n"/>
      <c r="L17" s="4248" t="n"/>
      <c r="M17" s="3322" t="n"/>
      <c r="N17" s="26" t="n"/>
      <c r="O17" s="27" t="n"/>
    </row>
    <row r="18" s="3154" customFormat="1" ht="13.5" customHeight="1">
      <c r="A18" s="627" t="n"/>
      <c r="B18" s="2696" t="inlineStr">
        <is>
          <t xml:space="preserve">POST WATERFALL CASH FLOWS &amp; RETURNS</t>
        </is>
      </c>
      <c r="C18" s="2723" t="n"/>
      <c r="D18" s="2724" t="n"/>
      <c r="E18" s="2724" t="n"/>
      <c r="F18" s="2724" t="n"/>
      <c r="G18" s="2724" t="n"/>
      <c r="H18" s="2724" t="n"/>
      <c r="I18" s="2724" t="n"/>
      <c r="J18" s="2724" t="n"/>
      <c r="K18" s="2724" t="n"/>
      <c r="L18" s="2724" t="n"/>
      <c r="M18" s="2208" t="n"/>
      <c r="N18" s="26" t="n"/>
      <c r="O18" s="27" t="n"/>
    </row>
    <row r="19" s="3154" customFormat="1" ht="13.5" customHeight="1">
      <c r="A19" s="627" t="n"/>
      <c r="B19" s="429" t="inlineStr">
        <is>
          <t xml:space="preserve">LP's</t>
        </is>
      </c>
      <c r="C19" s="3260" t="n">
        <v>0.164813542441318</v>
      </c>
      <c r="D19" s="4246" t="n">
        <v>-4552517.9738632</v>
      </c>
      <c r="E19" s="4247" t="n">
        <v>-3166666.30379306</v>
      </c>
      <c r="F19" s="4247" t="n">
        <v>1292536.06207031</v>
      </c>
      <c r="G19" s="4247" t="n">
        <v>1220824.90789009</v>
      </c>
      <c r="H19" s="4247" t="n">
        <v>1170683.78096967</v>
      </c>
      <c r="I19" s="4247" t="n">
        <v>1280879.66051917</v>
      </c>
      <c r="J19" s="4247" t="n">
        <v>1395926.96801502</v>
      </c>
      <c r="K19" s="4247" t="n">
        <v>10921190.3840428</v>
      </c>
      <c r="L19" s="4248" t="n">
        <v>-3.01667290552826e-10</v>
      </c>
      <c r="M19" s="3322" t="n"/>
      <c r="N19" s="3322" t="n">
        <v>9562857.485850809</v>
      </c>
      <c r="O19" s="4042" t="n"/>
    </row>
    <row r="20" s="3154" customFormat="1" ht="13.5" customHeight="1">
      <c r="A20" s="627" t="n"/>
      <c r="B20" s="429" t="inlineStr">
        <is>
          <t xml:space="preserve">GP's</t>
        </is>
      </c>
      <c r="C20" s="3260" t="n">
        <v>0.342164211263422</v>
      </c>
      <c r="D20" s="4249" t="n">
        <v>-239606.209150695</v>
      </c>
      <c r="E20" s="4250" t="n">
        <v>-166666.647568056</v>
      </c>
      <c r="F20" s="4250" t="n">
        <v>0</v>
      </c>
      <c r="G20" s="4250" t="n">
        <v>0</v>
      </c>
      <c r="H20" s="4250" t="n">
        <v>0</v>
      </c>
      <c r="I20" s="4250" t="n">
        <v>0</v>
      </c>
      <c r="J20" s="4250" t="n">
        <v>0</v>
      </c>
      <c r="K20" s="4250" t="n">
        <v>2854189.94381669</v>
      </c>
      <c r="L20" s="4251" t="n">
        <v>3.01667290552826e-10</v>
      </c>
      <c r="M20" s="3322" t="n"/>
      <c r="N20" s="3322" t="n">
        <v>2447917.08709794</v>
      </c>
      <c r="O20" s="27" t="n"/>
    </row>
    <row r="21" s="3154" customFormat="1" ht="13.5" customHeight="1">
      <c r="A21" s="627" t="n"/>
      <c r="B21" s="429" t="inlineStr">
        <is>
          <t xml:space="preserve">Total CF's</t>
        </is>
      </c>
      <c r="C21" s="3260" t="n"/>
      <c r="D21" s="4243" t="n">
        <v>-4792124.18301389</v>
      </c>
      <c r="E21" s="4244" t="n">
        <v>-3333332.95136111</v>
      </c>
      <c r="F21" s="4244" t="n">
        <v>1292536.06207031</v>
      </c>
      <c r="G21" s="4244" t="n">
        <v>1220824.90789009</v>
      </c>
      <c r="H21" s="4244" t="n">
        <v>1170683.78096967</v>
      </c>
      <c r="I21" s="4244" t="n">
        <v>1280879.66051917</v>
      </c>
      <c r="J21" s="4244" t="n">
        <v>1395926.96801502</v>
      </c>
      <c r="K21" s="4244" t="n">
        <v>13775380.3278595</v>
      </c>
      <c r="L21" s="4245" t="n">
        <v>0</v>
      </c>
      <c r="M21" s="3322" t="n"/>
      <c r="N21" s="3322" t="n">
        <v>12010774.5729488</v>
      </c>
      <c r="O21" s="27" t="n"/>
    </row>
    <row r="22" s="3154" customFormat="1" ht="15" customHeight="1">
      <c r="A22" s="627" t="n"/>
      <c r="B22" s="26" t="n"/>
      <c r="C22" s="26" t="n"/>
      <c r="D22" s="2757" t="n"/>
      <c r="E22" s="2758" t="n"/>
      <c r="F22" s="2758" t="n"/>
      <c r="G22" s="2758" t="n"/>
      <c r="H22" s="2758" t="n"/>
      <c r="I22" s="2758" t="n"/>
      <c r="J22" s="2758" t="n"/>
      <c r="K22" s="2758" t="n"/>
      <c r="L22" s="2759" t="n"/>
      <c r="M22" s="1961" t="n"/>
      <c r="N22" s="26" t="n"/>
      <c r="O22" s="27" t="n"/>
    </row>
    <row r="23" s="3154" customFormat="1" ht="13.5" customHeight="1">
      <c r="A23" s="627" t="n"/>
      <c r="B23" s="2696" t="inlineStr">
        <is>
          <t xml:space="preserve">GP POST WATERFALL CASH FLOWS &amp; RETURNS</t>
        </is>
      </c>
      <c r="C23" s="229" t="n"/>
      <c r="D23" s="229" t="n"/>
      <c r="E23" s="229" t="n"/>
      <c r="F23" s="229" t="n"/>
      <c r="G23" s="229" t="n"/>
      <c r="H23" s="229" t="n"/>
      <c r="I23" s="229" t="n"/>
      <c r="J23" s="229" t="n"/>
      <c r="K23" s="229" t="n"/>
      <c r="L23" s="229" t="n"/>
      <c r="M23" s="2707" t="n"/>
      <c r="N23" s="26" t="n"/>
      <c r="O23" s="27" t="n"/>
    </row>
    <row r="24" s="3154" customFormat="1" ht="13.5" customHeight="1">
      <c r="A24" s="627" t="n"/>
      <c r="B24" s="2104" t="inlineStr">
        <is>
          <t xml:space="preserve">Total GP CFs</t>
        </is>
      </c>
      <c r="C24" s="3260" t="n">
        <v>0.342164211263422</v>
      </c>
      <c r="D24" s="4246" t="n">
        <v>-239606.209150695</v>
      </c>
      <c r="E24" s="4247" t="n">
        <v>-166666.647568056</v>
      </c>
      <c r="F24" s="4247" t="n">
        <v>0</v>
      </c>
      <c r="G24" s="4247" t="n">
        <v>0</v>
      </c>
      <c r="H24" s="4247" t="n">
        <v>0</v>
      </c>
      <c r="I24" s="4247" t="n">
        <v>0</v>
      </c>
      <c r="J24" s="4247" t="n">
        <v>0</v>
      </c>
      <c r="K24" s="4247" t="n">
        <v>2854189.94381669</v>
      </c>
      <c r="L24" s="4248" t="n">
        <v>3.01667290552826e-10</v>
      </c>
      <c r="M24" s="3322" t="n"/>
      <c r="N24" s="3322" t="n">
        <v>2447917.08709794</v>
      </c>
      <c r="O24" s="27" t="n"/>
    </row>
    <row r="25" s="3154" customFormat="1" ht="8" customHeight="1">
      <c r="A25" s="627" t="n"/>
      <c r="B25" s="1100" t="n"/>
      <c r="C25" s="26" t="n"/>
      <c r="D25" s="4246" t="n"/>
      <c r="E25" s="4247" t="n"/>
      <c r="F25" s="4247" t="n"/>
      <c r="G25" s="4247" t="n"/>
      <c r="H25" s="4247" t="n"/>
      <c r="I25" s="4247" t="n"/>
      <c r="J25" s="4247" t="n"/>
      <c r="K25" s="4247" t="n"/>
      <c r="L25" s="4248" t="n"/>
      <c r="M25" s="3322" t="n"/>
      <c r="N25" s="26" t="n"/>
      <c r="O25" s="27" t="n"/>
    </row>
    <row r="26" s="3154" customFormat="1" ht="13.5" customHeight="1">
      <c r="A26" s="627" t="n"/>
      <c r="B26" s="2650" t="inlineStr">
        <is>
          <t xml:space="preserve">GP1: Doradus Development</t>
        </is>
      </c>
      <c r="C26" s="2651" t="n"/>
      <c r="D26" s="2731" t="n"/>
      <c r="E26" s="2732" t="n"/>
      <c r="F26" s="2732" t="n"/>
      <c r="G26" s="2732" t="n"/>
      <c r="H26" s="2732" t="n"/>
      <c r="I26" s="2732" t="n"/>
      <c r="J26" s="2732" t="n"/>
      <c r="K26" s="2732" t="n"/>
      <c r="L26" s="2733" t="n"/>
      <c r="M26" s="26" t="n"/>
      <c r="N26" s="26" t="n"/>
      <c r="O26" s="27" t="n"/>
    </row>
    <row r="27" s="3154" customFormat="1" ht="13.5" customHeight="1">
      <c r="A27" s="627" t="n"/>
      <c r="B27" s="429" t="inlineStr">
        <is>
          <t xml:space="preserve">Equity</t>
        </is>
      </c>
      <c r="C27" s="4020" t="n"/>
      <c r="D27" s="4246" t="n">
        <v>0</v>
      </c>
      <c r="E27" s="4247" t="n">
        <v>0</v>
      </c>
      <c r="F27" s="4247" t="n">
        <v>0</v>
      </c>
      <c r="G27" s="4247" t="n">
        <v>0</v>
      </c>
      <c r="H27" s="4247" t="n">
        <v>0</v>
      </c>
      <c r="I27" s="4247" t="n">
        <v>0</v>
      </c>
      <c r="J27" s="4247" t="n">
        <v>0</v>
      </c>
      <c r="K27" s="4247" t="n">
        <v>0</v>
      </c>
      <c r="L27" s="4248" t="n">
        <v>0</v>
      </c>
      <c r="M27" s="3322" t="n"/>
      <c r="N27" s="3322" t="n">
        <v>0</v>
      </c>
      <c r="O27" s="27" t="n"/>
    </row>
    <row r="28" s="3154" customFormat="1" ht="13.5" customHeight="1">
      <c r="A28" s="627" t="n"/>
      <c r="B28" s="429" t="inlineStr">
        <is>
          <t xml:space="preserve">Cash Flows</t>
        </is>
      </c>
      <c r="C28" s="4020" t="n"/>
      <c r="D28" s="4249" t="n">
        <v>0</v>
      </c>
      <c r="E28" s="4250" t="n">
        <v>0</v>
      </c>
      <c r="F28" s="4250" t="n">
        <v>0</v>
      </c>
      <c r="G28" s="4250" t="n">
        <v>0</v>
      </c>
      <c r="H28" s="4250" t="n">
        <v>0</v>
      </c>
      <c r="I28" s="4250" t="n">
        <v>0</v>
      </c>
      <c r="J28" s="4250" t="n">
        <v>0</v>
      </c>
      <c r="K28" s="4250" t="n">
        <v>856256.983145007</v>
      </c>
      <c r="L28" s="4251" t="n">
        <v>9.05001871658478e-11</v>
      </c>
      <c r="M28" s="3322" t="n"/>
      <c r="N28" s="3322" t="n">
        <v>856256.983145007</v>
      </c>
      <c r="O28" s="27" t="n"/>
    </row>
    <row r="29" s="3154" customFormat="1" ht="13.5" customHeight="1">
      <c r="A29" s="627" t="n"/>
      <c r="B29" s="2104" t="inlineStr">
        <is>
          <t xml:space="preserve">GP1 Total</t>
        </is>
      </c>
      <c r="C29" s="592" t="inlineStr">
        <is>
          <t xml:space="preserve">--</t>
        </is>
      </c>
      <c r="D29" s="4243" t="n">
        <v>0</v>
      </c>
      <c r="E29" s="4244" t="n">
        <v>0</v>
      </c>
      <c r="F29" s="4244" t="n">
        <v>0</v>
      </c>
      <c r="G29" s="4244" t="n">
        <v>0</v>
      </c>
      <c r="H29" s="4244" t="n">
        <v>0</v>
      </c>
      <c r="I29" s="4244" t="n">
        <v>0</v>
      </c>
      <c r="J29" s="4244" t="n">
        <v>0</v>
      </c>
      <c r="K29" s="4244" t="n">
        <v>856256.983145007</v>
      </c>
      <c r="L29" s="4245" t="n">
        <v>9.05001871658478e-11</v>
      </c>
      <c r="M29" s="3322" t="n"/>
      <c r="N29" s="3322" t="n">
        <v>856256.983145007</v>
      </c>
      <c r="O29" s="27" t="n"/>
    </row>
    <row r="30" s="3154" customFormat="1" ht="8" customHeight="1">
      <c r="A30" s="627" t="n"/>
      <c r="B30" s="1100" t="n"/>
      <c r="C30" s="4252" t="n"/>
      <c r="D30" s="4246" t="n"/>
      <c r="E30" s="4247" t="n"/>
      <c r="F30" s="4247" t="n"/>
      <c r="G30" s="4247" t="n"/>
      <c r="H30" s="4247" t="n"/>
      <c r="I30" s="4247" t="n"/>
      <c r="J30" s="4247" t="n"/>
      <c r="K30" s="4247" t="n"/>
      <c r="L30" s="4248" t="n"/>
      <c r="M30" s="3322" t="n"/>
      <c r="N30" s="26" t="n"/>
      <c r="O30" s="27" t="n"/>
    </row>
    <row r="31" s="3154" customFormat="1" ht="13.5" customHeight="1">
      <c r="A31" s="627" t="n"/>
      <c r="B31" s="2650" t="inlineStr">
        <is>
          <t xml:space="preserve">GP2: CEIDA/Poarch Creek</t>
        </is>
      </c>
      <c r="C31" s="2651" t="n"/>
      <c r="D31" s="2731" t="n"/>
      <c r="E31" s="2732" t="n"/>
      <c r="F31" s="2732" t="n"/>
      <c r="G31" s="2732" t="n"/>
      <c r="H31" s="2732" t="n"/>
      <c r="I31" s="2732" t="n"/>
      <c r="J31" s="2732" t="n"/>
      <c r="K31" s="2732" t="n"/>
      <c r="L31" s="2733" t="n"/>
      <c r="M31" s="26" t="n"/>
      <c r="N31" s="26" t="n"/>
      <c r="O31" s="27" t="n"/>
    </row>
    <row r="32" s="3154" customFormat="1" ht="13.5" customHeight="1">
      <c r="A32" s="627" t="n"/>
      <c r="B32" s="429" t="inlineStr">
        <is>
          <t xml:space="preserve">Equity</t>
        </is>
      </c>
      <c r="C32" s="4020" t="n"/>
      <c r="D32" s="4246" t="n">
        <v>-239606.209150695</v>
      </c>
      <c r="E32" s="4247" t="n">
        <v>-166666.647568056</v>
      </c>
      <c r="F32" s="4247" t="n">
        <v>0</v>
      </c>
      <c r="G32" s="4247" t="n">
        <v>0</v>
      </c>
      <c r="H32" s="4247" t="n">
        <v>0</v>
      </c>
      <c r="I32" s="4247" t="n">
        <v>0</v>
      </c>
      <c r="J32" s="4247" t="n">
        <v>0</v>
      </c>
      <c r="K32" s="4247" t="n">
        <v>0</v>
      </c>
      <c r="L32" s="4248" t="n">
        <v>0</v>
      </c>
      <c r="M32" s="3322" t="n"/>
      <c r="N32" s="3322" t="n">
        <v>-406272.85671875</v>
      </c>
      <c r="O32" s="27" t="n"/>
    </row>
    <row r="33" s="3154" customFormat="1" ht="13.5" customHeight="1">
      <c r="A33" s="627" t="n"/>
      <c r="B33" s="429" t="inlineStr">
        <is>
          <t xml:space="preserve">Cash Flows</t>
        </is>
      </c>
      <c r="C33" s="4020" t="n"/>
      <c r="D33" s="4249" t="n">
        <v>0</v>
      </c>
      <c r="E33" s="4250" t="n">
        <v>0</v>
      </c>
      <c r="F33" s="4250" t="n">
        <v>0</v>
      </c>
      <c r="G33" s="4250" t="n">
        <v>0</v>
      </c>
      <c r="H33" s="4250" t="n">
        <v>0</v>
      </c>
      <c r="I33" s="4250" t="n">
        <v>0</v>
      </c>
      <c r="J33" s="4250" t="n">
        <v>0</v>
      </c>
      <c r="K33" s="4250" t="n">
        <v>1997932.96067168</v>
      </c>
      <c r="L33" s="4251" t="n">
        <v>2.11167103386978e-10</v>
      </c>
      <c r="M33" s="3322" t="n"/>
      <c r="N33" s="3322" t="n">
        <v>1997932.96067168</v>
      </c>
      <c r="O33" s="27" t="n"/>
    </row>
    <row r="34" s="3154" customFormat="1" ht="13.5" customHeight="1">
      <c r="A34" s="627" t="n"/>
      <c r="B34" s="2104" t="inlineStr">
        <is>
          <t xml:space="preserve">GP2 Total</t>
        </is>
      </c>
      <c r="C34" s="3260" t="n">
        <v>0.272099825088538</v>
      </c>
      <c r="D34" s="4243" t="n">
        <v>-239606.209150695</v>
      </c>
      <c r="E34" s="4244" t="n">
        <v>-166666.647568056</v>
      </c>
      <c r="F34" s="4244" t="n">
        <v>0</v>
      </c>
      <c r="G34" s="4244" t="n">
        <v>0</v>
      </c>
      <c r="H34" s="4244" t="n">
        <v>0</v>
      </c>
      <c r="I34" s="4244" t="n">
        <v>0</v>
      </c>
      <c r="J34" s="4244" t="n">
        <v>0</v>
      </c>
      <c r="K34" s="4244" t="n">
        <v>1997932.96067168</v>
      </c>
      <c r="L34" s="4245" t="n">
        <v>2.11167103386978e-10</v>
      </c>
      <c r="M34" s="3322" t="n"/>
      <c r="N34" s="3322" t="n">
        <v>1591660.10395293</v>
      </c>
      <c r="O34" s="27" t="n"/>
    </row>
    <row r="35" s="3154" customFormat="1" ht="8" customHeight="1">
      <c r="A35" s="627" t="n"/>
      <c r="B35" s="26" t="n"/>
      <c r="C35" s="26" t="n"/>
      <c r="D35" s="2735" t="n"/>
      <c r="E35" s="2736" t="n"/>
      <c r="F35" s="2736" t="n"/>
      <c r="G35" s="2736" t="n"/>
      <c r="H35" s="2736" t="n"/>
      <c r="I35" s="2736" t="n"/>
      <c r="J35" s="2736" t="n"/>
      <c r="K35" s="2736" t="n"/>
      <c r="L35" s="2737" t="n"/>
      <c r="M35" s="26" t="n"/>
      <c r="N35" s="26" t="n"/>
      <c r="O35" s="27" t="n"/>
    </row>
    <row r="36" s="3154" customFormat="1" ht="13.5" customHeight="1">
      <c r="A36" s="627" t="n"/>
      <c r="B36" s="2104" t="inlineStr">
        <is>
          <t xml:space="preserve">Total GP CF's</t>
        </is>
      </c>
      <c r="C36" s="4020" t="n"/>
      <c r="D36" s="4246" t="n">
        <v>-239606.209150695</v>
      </c>
      <c r="E36" s="4247" t="n">
        <v>-166666.647568056</v>
      </c>
      <c r="F36" s="4247" t="n">
        <v>0</v>
      </c>
      <c r="G36" s="4247" t="n">
        <v>0</v>
      </c>
      <c r="H36" s="4247" t="n">
        <v>0</v>
      </c>
      <c r="I36" s="4247" t="n">
        <v>0</v>
      </c>
      <c r="J36" s="4247" t="n">
        <v>0</v>
      </c>
      <c r="K36" s="4247" t="n">
        <v>2854189.94381669</v>
      </c>
      <c r="L36" s="4248" t="n">
        <v>3.01667290552826e-10</v>
      </c>
      <c r="M36" s="3322" t="n"/>
      <c r="N36" s="3322" t="n">
        <v>2447917.08709794</v>
      </c>
      <c r="O36" s="27" t="n"/>
    </row>
    <row r="37" s="3154" customFormat="1" ht="15" customHeight="1">
      <c r="A37" s="627" t="n"/>
      <c r="B37" s="26" t="n"/>
      <c r="C37" s="26" t="n"/>
      <c r="D37" s="26" t="n"/>
      <c r="E37" s="26" t="n"/>
      <c r="F37" s="26" t="n"/>
      <c r="G37" s="26" t="n"/>
      <c r="H37" s="26" t="n"/>
      <c r="I37" s="26" t="n"/>
      <c r="J37" s="26" t="n"/>
      <c r="K37" s="26" t="n"/>
      <c r="L37" s="26" t="n"/>
      <c r="M37" s="26" t="n"/>
      <c r="N37" s="26" t="n"/>
      <c r="O37" s="27" t="n"/>
    </row>
    <row r="38" s="3154" customFormat="1" ht="13.5" customHeight="1">
      <c r="A38" s="627" t="n"/>
      <c r="B38" s="2696" t="inlineStr">
        <is>
          <t xml:space="preserve">SUMMARY OF RETURNS</t>
        </is>
      </c>
      <c r="C38" s="229" t="n"/>
      <c r="D38" s="229" t="n"/>
      <c r="E38" s="229" t="n"/>
      <c r="F38" s="229" t="n"/>
      <c r="G38" s="229" t="n"/>
      <c r="H38" s="229" t="n"/>
      <c r="I38" s="2738" t="n"/>
      <c r="J38" s="2739" t="n"/>
      <c r="K38" s="26" t="n"/>
      <c r="L38" s="26" t="n"/>
      <c r="M38" s="26" t="n"/>
      <c r="N38" s="26" t="n"/>
      <c r="O38" s="27" t="n"/>
    </row>
    <row r="39" s="3154" customFormat="1" ht="13.5" customHeight="1">
      <c r="A39" s="627" t="n"/>
      <c r="B39" s="2651" t="n"/>
      <c r="C39" s="2651" t="n"/>
      <c r="D39" s="2698" t="inlineStr">
        <is>
          <t xml:space="preserve">Equity</t>
        </is>
      </c>
      <c r="E39" s="2698" t="inlineStr">
        <is>
          <t xml:space="preserve">Profit</t>
        </is>
      </c>
      <c r="F39" s="2740" t="inlineStr">
        <is>
          <t xml:space="preserve">IRR</t>
        </is>
      </c>
      <c r="G39" s="2740" t="inlineStr">
        <is>
          <t xml:space="preserve">MOIC</t>
        </is>
      </c>
      <c r="H39" s="2698" t="inlineStr">
        <is>
          <t xml:space="preserve">Dev Fee</t>
        </is>
      </c>
      <c r="I39" s="2741" t="inlineStr">
        <is>
          <t xml:space="preserve">Guar Fee</t>
        </is>
      </c>
      <c r="J39" s="2742" t="inlineStr">
        <is>
          <t xml:space="preserve">Total</t>
        </is>
      </c>
      <c r="K39" s="26" t="n"/>
      <c r="L39" s="26" t="n"/>
      <c r="M39" s="26" t="n"/>
      <c r="N39" s="26" t="n"/>
      <c r="O39" s="27" t="n"/>
    </row>
    <row r="40" s="3154" customFormat="1" ht="13.5" customHeight="1">
      <c r="A40" s="627" t="n"/>
      <c r="B40" s="429" t="inlineStr">
        <is>
          <t xml:space="preserve">Limited Partners</t>
        </is>
      </c>
      <c r="C40" s="26" t="n"/>
      <c r="D40" s="4234" t="n">
        <v>7719184.27765625</v>
      </c>
      <c r="E40" s="4234" t="n">
        <v>9562857.485850809</v>
      </c>
      <c r="F40" s="4253" t="n">
        <v>0.164813542441318</v>
      </c>
      <c r="G40" s="4254" t="n">
        <v>2.23884301007442</v>
      </c>
      <c r="H40" s="3322" t="n">
        <v>0</v>
      </c>
      <c r="I40" s="4246" t="n">
        <v>0</v>
      </c>
      <c r="J40" s="2737" t="n"/>
      <c r="K40" s="26" t="n"/>
      <c r="L40" s="26" t="n"/>
      <c r="M40" s="26" t="n"/>
      <c r="N40" s="26" t="n"/>
      <c r="O40" s="27" t="n"/>
    </row>
    <row r="41" s="3154" customFormat="1" ht="13.5" customHeight="1">
      <c r="A41" s="627" t="n"/>
      <c r="B41" s="429" t="inlineStr">
        <is>
          <t xml:space="preserve">Doradus Development</t>
        </is>
      </c>
      <c r="C41" s="26" t="n"/>
      <c r="D41" s="4234" t="n">
        <v>0</v>
      </c>
      <c r="E41" s="4234" t="n">
        <v>856256.983145007</v>
      </c>
      <c r="F41" s="2104" t="inlineStr">
        <is>
          <t xml:space="preserve">--</t>
        </is>
      </c>
      <c r="G41" s="2104" t="inlineStr">
        <is>
          <t xml:space="preserve">--</t>
        </is>
      </c>
      <c r="H41" s="3322" t="n">
        <v>712000</v>
      </c>
      <c r="I41" s="4246" t="n">
        <v>0</v>
      </c>
      <c r="J41" s="4248" t="n">
        <v>1568256.98314501</v>
      </c>
      <c r="K41" s="26" t="n"/>
      <c r="L41" s="26" t="n"/>
      <c r="M41" s="26" t="n"/>
      <c r="N41" s="3322" t="n"/>
      <c r="O41" s="27" t="n"/>
    </row>
    <row r="42" s="3154" customFormat="1" ht="13.5" customHeight="1">
      <c r="A42" s="627" t="n"/>
      <c r="B42" s="1957" t="inlineStr">
        <is>
          <t xml:space="preserve">CEIDA/Poarch Creek</t>
        </is>
      </c>
      <c r="C42" s="163" t="n"/>
      <c r="D42" s="4235" t="n">
        <v>406272.85671875</v>
      </c>
      <c r="E42" s="4235" t="n">
        <v>1591660.10395293</v>
      </c>
      <c r="F42" s="4255" t="n">
        <v>0.272099825088538</v>
      </c>
      <c r="G42" s="4256" t="n">
        <v>4.91771214254362</v>
      </c>
      <c r="H42" s="3915" t="n">
        <v>178000</v>
      </c>
      <c r="I42" s="4249" t="n">
        <v>500000</v>
      </c>
      <c r="J42" s="4251" t="n">
        <v>2269660.10395293</v>
      </c>
      <c r="K42" s="26" t="n"/>
      <c r="L42" s="26" t="n"/>
      <c r="M42" s="26" t="n"/>
      <c r="N42" s="3322" t="n"/>
      <c r="O42" s="27" t="n"/>
    </row>
    <row r="43" s="3154" customFormat="1" ht="13.5" customHeight="1">
      <c r="A43" s="627" t="n"/>
      <c r="B43" s="2747" t="inlineStr">
        <is>
          <t xml:space="preserve">Total</t>
        </is>
      </c>
      <c r="C43" s="158" t="n"/>
      <c r="D43" s="4236" t="n">
        <v>8125457.134375</v>
      </c>
      <c r="E43" s="4236" t="n">
        <v>12010774.5729488</v>
      </c>
      <c r="F43" s="4257" t="n">
        <v>0.181774030752042</v>
      </c>
      <c r="G43" s="4258" t="n">
        <v>2.47816601260953</v>
      </c>
      <c r="H43" s="4236" t="n">
        <v>890000</v>
      </c>
      <c r="I43" s="4259" t="n">
        <v>500000</v>
      </c>
      <c r="J43" s="4260" t="n">
        <v>3837917.08709794</v>
      </c>
      <c r="K43" s="26" t="n"/>
      <c r="L43" s="26" t="n"/>
      <c r="M43" s="26" t="n"/>
      <c r="N43" s="26" t="n"/>
      <c r="O43" s="27" t="n"/>
    </row>
    <row r="44" s="3154" customFormat="1" ht="13.5" customHeight="1">
      <c r="A44" s="627" t="n"/>
      <c r="B44" s="1100" t="n"/>
      <c r="C44" s="26" t="n"/>
      <c r="D44" s="4234" t="n"/>
      <c r="E44" s="4234" t="n"/>
      <c r="F44" s="4253" t="n"/>
      <c r="G44" s="4254" t="n"/>
      <c r="H44" s="4234" t="n"/>
      <c r="I44" s="26" t="n"/>
      <c r="J44" s="26" t="n"/>
      <c r="K44" s="26" t="n"/>
      <c r="L44" s="26" t="n"/>
      <c r="M44" s="26" t="n"/>
      <c r="N44" s="26" t="n"/>
      <c r="O44" s="27" t="n"/>
    </row>
    <row r="45" s="3154" customFormat="1" ht="13.5" customHeight="1">
      <c r="A45" s="627" t="n"/>
      <c r="B45" s="26" t="n"/>
      <c r="C45" s="26" t="n"/>
      <c r="D45" s="26" t="n"/>
      <c r="E45" s="26" t="n"/>
      <c r="F45" s="26" t="n"/>
      <c r="G45" s="1922" t="n"/>
      <c r="H45" s="3322" t="n"/>
      <c r="I45" s="3322" t="n"/>
      <c r="J45" s="3322" t="n"/>
      <c r="K45" s="26" t="n"/>
      <c r="L45" s="26" t="n"/>
      <c r="M45" s="26" t="n"/>
      <c r="N45" s="26" t="n"/>
      <c r="O45" s="27" t="n"/>
    </row>
    <row r="46" s="3154" customFormat="1" ht="13.5" customHeight="1">
      <c r="A46" s="627" t="n"/>
      <c r="B46" s="26" t="n"/>
      <c r="C46" s="26" t="n"/>
      <c r="D46" s="26" t="n"/>
      <c r="E46" s="26" t="n"/>
      <c r="F46" s="26" t="n"/>
      <c r="G46" s="1922" t="n"/>
      <c r="H46" s="3322" t="n"/>
      <c r="I46" s="3322" t="n"/>
      <c r="J46" s="3322" t="n"/>
      <c r="K46" s="26" t="n"/>
      <c r="L46" s="26" t="n"/>
      <c r="M46" s="26" t="n"/>
      <c r="N46" s="26" t="n"/>
      <c r="O46" s="27" t="n"/>
    </row>
    <row r="47" s="3154" customFormat="1" ht="13.5" customHeight="1">
      <c r="A47" s="633" t="n"/>
      <c r="B47" s="634" t="n"/>
      <c r="C47" s="634" t="n"/>
      <c r="D47" s="634" t="n"/>
      <c r="E47" s="634" t="n"/>
      <c r="F47" s="634" t="n"/>
      <c r="G47" s="634" t="n"/>
      <c r="H47" s="4261" t="n"/>
      <c r="I47" s="4261" t="n"/>
      <c r="J47" s="4261" t="n"/>
      <c r="K47" s="634" t="n"/>
      <c r="L47" s="634" t="n"/>
      <c r="M47" s="634" t="n"/>
      <c r="N47" s="634" t="n"/>
      <c r="O47" s="635" t="n"/>
    </row>
  </sheetData>
  <pageMargins left="0.7" right="0.7" top="0.75" bottom="0.75" header="0.3" footer="0.3"/>
</worksheet>
</file>

<file path=xl/worksheets/sheet28.xml><?xml version="1.0" encoding="utf-8"?>
<worksheet xmlns="http://schemas.openxmlformats.org/spreadsheetml/2006/main">
  <sheetViews>
    <sheetView showGridLines="0" workbookViewId="0"/>
  </sheetViews>
  <sheetFormatPr baseColWidth="8" defaultColWidth="9" defaultRowHeight="13.5"/>
  <cols>
    <col min="1" max="1" width="1.3515599966049194" style="3136" customWidth="1"/>
    <col min="2" max="12" width="11.85159969329834" style="3136" customWidth="1"/>
    <col min="13" max="13" width="2.671880006790161" style="3136" customWidth="1"/>
    <col min="14" max="14" width="11.85159969329834" style="3136" customWidth="1"/>
    <col min="15" max="15" width="13.35159969329834" style="3136" customWidth="1"/>
    <col min="16" max="16384" width="9" style="3136" customWidth="1"/>
  </cols>
  <sheetData>
    <row r="1" s="3154" customFormat="1" ht="19.5" customHeight="1">
      <c r="A1" s="2597" t="n"/>
      <c r="B1" s="2693" t="inlineStr">
        <is>
          <t xml:space="preserve">CO-GP PROJECT SUMMARY</t>
        </is>
      </c>
      <c r="C1" s="153" t="n"/>
      <c r="D1" s="153" t="n"/>
      <c r="E1" s="153" t="n"/>
      <c r="F1" s="153" t="n"/>
      <c r="G1" s="153" t="n"/>
      <c r="H1" s="153" t="n"/>
      <c r="I1" s="153" t="n"/>
      <c r="J1" s="153" t="n"/>
      <c r="K1" s="153" t="n"/>
      <c r="L1" s="2694" t="inlineStr">
        <is>
          <t xml:space="preserve">MODEL REVISED: Feb 14, 2022</t>
        </is>
      </c>
      <c r="M1" s="11" t="n"/>
      <c r="N1" s="11" t="n"/>
      <c r="O1" s="13" t="n"/>
    </row>
    <row r="2" s="3154" customFormat="1" ht="17.25" customHeight="1">
      <c r="A2" s="627" t="n"/>
      <c r="B2" s="2754" t="inlineStr">
        <is>
          <t xml:space="preserve">[BRAND] [BRAND] / SLEEP SPACE / SLEEP SPACE, AL</t>
        </is>
      </c>
      <c r="C2" s="158" t="n"/>
      <c r="D2" s="158" t="n"/>
      <c r="E2" s="158" t="n"/>
      <c r="F2" s="158" t="n"/>
      <c r="G2" s="158" t="n"/>
      <c r="H2" s="158" t="n"/>
      <c r="I2" s="158" t="n"/>
      <c r="J2" s="158" t="n"/>
      <c r="K2" s="158" t="n"/>
      <c r="L2" s="2755" t="n"/>
      <c r="M2" s="26" t="n"/>
      <c r="N2" s="26" t="n"/>
      <c r="O2" s="27" t="n"/>
    </row>
    <row r="3" s="3154" customFormat="1" ht="15.75" customHeight="1">
      <c r="A3" s="627" t="n"/>
      <c r="B3" s="2756" t="inlineStr">
        <is>
          <t xml:space="preserve">Version Notes: Initial Draft &amp; Feasibility Pro Forma / Incentive &amp; Co-GP Model</t>
        </is>
      </c>
      <c r="C3" s="26" t="n"/>
      <c r="D3" s="26" t="n"/>
      <c r="E3" s="26" t="n"/>
      <c r="F3" s="26" t="n"/>
      <c r="G3" s="26" t="n"/>
      <c r="H3" s="26" t="n"/>
      <c r="I3" s="26" t="n"/>
      <c r="J3" s="26" t="n"/>
      <c r="K3" s="26" t="n"/>
      <c r="L3" s="26" t="n"/>
      <c r="M3" s="26" t="n"/>
      <c r="N3" s="26" t="n"/>
      <c r="O3" s="27" t="n"/>
    </row>
    <row r="4" s="3154" customFormat="1" ht="13.5" customHeight="1">
      <c r="A4" s="627" t="n"/>
      <c r="B4" s="26" t="n"/>
      <c r="C4" s="26" t="n"/>
      <c r="D4" s="26" t="n"/>
      <c r="E4" s="26" t="n"/>
      <c r="F4" s="26" t="n"/>
      <c r="G4" s="26" t="n"/>
      <c r="H4" s="26" t="n"/>
      <c r="I4" s="26" t="n"/>
      <c r="J4" s="26" t="n"/>
      <c r="K4" s="26" t="n"/>
      <c r="L4" s="26" t="n"/>
      <c r="M4" s="26" t="n"/>
      <c r="N4" s="26" t="n"/>
      <c r="O4" s="27" t="n"/>
    </row>
    <row r="5" s="3154" customFormat="1" ht="13.5" customHeight="1">
      <c r="A5" s="627" t="n"/>
      <c r="B5" s="2696" t="inlineStr">
        <is>
          <t xml:space="preserve">GP/LP EQUITY &amp; PROMOTE SPLITS</t>
        </is>
      </c>
      <c r="C5" s="229" t="n"/>
      <c r="D5" s="229" t="n"/>
      <c r="E5" s="229" t="n"/>
      <c r="F5" s="229" t="n"/>
      <c r="G5" s="229" t="n"/>
      <c r="H5" s="229" t="n"/>
      <c r="I5" s="229" t="n"/>
      <c r="J5" s="26" t="n"/>
      <c r="K5" s="26" t="n"/>
      <c r="L5" s="26" t="n"/>
      <c r="M5" s="26" t="n"/>
      <c r="N5" s="429" t="inlineStr">
        <is>
          <t xml:space="preserve">CL Debt:</t>
        </is>
      </c>
      <c r="O5" s="2697" t="n">
        <v>0.07000000000000001</v>
      </c>
    </row>
    <row r="6" s="3154" customFormat="1" ht="13.5" customHeight="1">
      <c r="A6" s="627" t="n"/>
      <c r="B6" s="2651" t="n"/>
      <c r="C6" s="2651" t="n"/>
      <c r="D6" s="2651" t="n"/>
      <c r="E6" s="2698" t="inlineStr">
        <is>
          <t xml:space="preserve">Equity</t>
        </is>
      </c>
      <c r="F6" s="2698" t="inlineStr">
        <is>
          <t xml:space="preserve">% Equity</t>
        </is>
      </c>
      <c r="G6" s="2698" t="inlineStr">
        <is>
          <t xml:space="preserve">GP Equity</t>
        </is>
      </c>
      <c r="H6" s="2698" t="inlineStr">
        <is>
          <t xml:space="preserve">GP Promote</t>
        </is>
      </c>
      <c r="I6" s="2698" t="inlineStr">
        <is>
          <t xml:space="preserve">Dev Fees</t>
        </is>
      </c>
      <c r="J6" s="26" t="n"/>
      <c r="K6" s="26" t="n"/>
      <c r="L6" s="26" t="n"/>
      <c r="M6" s="26" t="n"/>
      <c r="N6" s="26" t="n"/>
      <c r="O6" s="27" t="n"/>
    </row>
    <row r="7" s="3154" customFormat="1" ht="13.5" customHeight="1">
      <c r="A7" s="627" t="n"/>
      <c r="B7" s="429" t="inlineStr">
        <is>
          <t xml:space="preserve">LP</t>
        </is>
      </c>
      <c r="C7" s="256" t="inlineStr">
        <is>
          <t xml:space="preserve">Limited Partners</t>
        </is>
      </c>
      <c r="D7" s="26" t="n"/>
      <c r="E7" s="4234" t="n">
        <v>7631736.77765625</v>
      </c>
      <c r="F7" s="2700" t="n">
        <v>0.95</v>
      </c>
      <c r="G7" s="1100" t="n"/>
      <c r="H7" s="1100" t="n"/>
      <c r="I7" s="1100" t="n"/>
      <c r="J7" s="26" t="n"/>
      <c r="K7" s="26" t="n"/>
      <c r="L7" s="26" t="n"/>
      <c r="M7" s="26" t="n"/>
      <c r="N7" s="26" t="n"/>
      <c r="O7" s="27" t="n"/>
    </row>
    <row r="8" s="3154" customFormat="1" ht="13.5" customHeight="1">
      <c r="A8" s="627" t="n"/>
      <c r="B8" s="429" t="inlineStr">
        <is>
          <t xml:space="preserve">GP1</t>
        </is>
      </c>
      <c r="C8" s="256" t="inlineStr">
        <is>
          <t xml:space="preserve">Doradus Development</t>
        </is>
      </c>
      <c r="D8" s="26" t="n"/>
      <c r="E8" s="4234" t="n">
        <v>0</v>
      </c>
      <c r="F8" s="2700" t="n">
        <v>0</v>
      </c>
      <c r="G8" s="2701" t="n">
        <v>0</v>
      </c>
      <c r="H8" s="2701" t="n">
        <v>0.3</v>
      </c>
      <c r="I8" s="2701" t="n">
        <v>0.7</v>
      </c>
      <c r="J8" s="26" t="n"/>
      <c r="K8" s="26" t="n"/>
      <c r="L8" s="26" t="n"/>
      <c r="M8" s="26" t="n"/>
      <c r="N8" s="26" t="n"/>
      <c r="O8" s="27" t="n"/>
    </row>
    <row r="9" s="3154" customFormat="1" ht="13.5" customHeight="1">
      <c r="A9" s="627" t="n"/>
      <c r="B9" s="1957" t="inlineStr">
        <is>
          <t xml:space="preserve">GP2</t>
        </is>
      </c>
      <c r="C9" s="2702" t="inlineStr">
        <is>
          <t xml:space="preserve">CEIDA/Poarch Creek</t>
        </is>
      </c>
      <c r="D9" s="163" t="n"/>
      <c r="E9" s="4235" t="n">
        <v>401670.35671875</v>
      </c>
      <c r="F9" s="2704" t="n">
        <v>0.05</v>
      </c>
      <c r="G9" s="2704" t="n">
        <v>1</v>
      </c>
      <c r="H9" s="2704" t="n">
        <v>0.7</v>
      </c>
      <c r="I9" s="2704" t="n">
        <v>0.3</v>
      </c>
      <c r="J9" s="26" t="n"/>
      <c r="K9" s="26" t="n"/>
      <c r="L9" s="26" t="n"/>
      <c r="M9" s="26" t="n"/>
      <c r="N9" s="26" t="n"/>
      <c r="O9" s="27" t="n"/>
    </row>
    <row r="10" s="3154" customFormat="1" ht="13.5" customHeight="1">
      <c r="A10" s="627" t="n"/>
      <c r="B10" s="1953" t="inlineStr">
        <is>
          <t xml:space="preserve">Total</t>
        </is>
      </c>
      <c r="C10" s="158" t="n"/>
      <c r="D10" s="158" t="n"/>
      <c r="E10" s="4236" t="n">
        <v>8033407.134375</v>
      </c>
      <c r="F10" s="2706" t="n">
        <v>1</v>
      </c>
      <c r="G10" s="158" t="n"/>
      <c r="H10" s="158" t="n"/>
      <c r="I10" s="158" t="n"/>
      <c r="J10" s="26" t="n"/>
      <c r="K10" s="26" t="n"/>
      <c r="L10" s="26" t="n"/>
      <c r="M10" s="26" t="n"/>
      <c r="N10" s="26" t="n"/>
      <c r="O10" s="27" t="n"/>
    </row>
    <row r="11" s="3154" customFormat="1" ht="15" customHeight="1">
      <c r="A11" s="627" t="n"/>
      <c r="B11" s="26" t="n"/>
      <c r="C11" s="26" t="n"/>
      <c r="D11" s="26" t="n"/>
      <c r="E11" s="26" t="n"/>
      <c r="F11" s="26" t="n"/>
      <c r="G11" s="26" t="n"/>
      <c r="H11" s="26" t="n"/>
      <c r="I11" s="26" t="n"/>
      <c r="J11" s="26" t="n"/>
      <c r="K11" s="26" t="n"/>
      <c r="L11" s="26" t="n"/>
      <c r="M11" s="26" t="n"/>
      <c r="N11" s="26" t="n"/>
      <c r="O11" s="27" t="n"/>
    </row>
    <row r="12" s="3154" customFormat="1" ht="13.5" customHeight="1">
      <c r="A12" s="627" t="n"/>
      <c r="B12" s="2696" t="inlineStr">
        <is>
          <t xml:space="preserve">PRE-WATERFALL CASH FLOWS &amp; RETURNS</t>
        </is>
      </c>
      <c r="C12" s="229" t="n"/>
      <c r="D12" s="229" t="n"/>
      <c r="E12" s="229" t="n"/>
      <c r="F12" s="229" t="n"/>
      <c r="G12" s="229" t="n"/>
      <c r="H12" s="229" t="n"/>
      <c r="I12" s="229" t="n"/>
      <c r="J12" s="229" t="n"/>
      <c r="K12" s="229" t="n"/>
      <c r="L12" s="229" t="n"/>
      <c r="M12" s="2707" t="n"/>
      <c r="N12" s="26" t="n"/>
      <c r="O12" s="27" t="n"/>
    </row>
    <row r="13" s="3154" customFormat="1" ht="13.5" customHeight="1">
      <c r="A13" s="627" t="n"/>
      <c r="B13" s="2651" t="n"/>
      <c r="C13" s="2698" t="inlineStr">
        <is>
          <t xml:space="preserve">IRR</t>
        </is>
      </c>
      <c r="D13" s="2708" t="n">
        <v>2023</v>
      </c>
      <c r="E13" s="2709" t="n">
        <v>2024</v>
      </c>
      <c r="F13" s="2709" t="n">
        <v>2025</v>
      </c>
      <c r="G13" s="2709" t="n">
        <v>2026</v>
      </c>
      <c r="H13" s="2709" t="n">
        <v>2027</v>
      </c>
      <c r="I13" s="2709" t="n">
        <v>2028</v>
      </c>
      <c r="J13" s="2709" t="n">
        <v>2029</v>
      </c>
      <c r="K13" s="2709" t="n">
        <v>2030</v>
      </c>
      <c r="L13" s="2710" t="n">
        <v>2031</v>
      </c>
      <c r="M13" s="2208" t="n"/>
      <c r="N13" s="26" t="n"/>
      <c r="O13" s="27" t="n"/>
    </row>
    <row r="14" s="3154" customFormat="1" ht="13.5" customHeight="1">
      <c r="A14" s="627" t="n"/>
      <c r="B14" s="429" t="inlineStr">
        <is>
          <t xml:space="preserve">Equity</t>
        </is>
      </c>
      <c r="C14" s="2208" t="n"/>
      <c r="D14" s="4237" t="n">
        <v>-4648599.18301389</v>
      </c>
      <c r="E14" s="4238" t="n">
        <v>-3384807.95136111</v>
      </c>
      <c r="F14" s="4238" t="n">
        <v>0</v>
      </c>
      <c r="G14" s="4238" t="n">
        <v>0</v>
      </c>
      <c r="H14" s="4238" t="n">
        <v>0</v>
      </c>
      <c r="I14" s="4238" t="n">
        <v>0</v>
      </c>
      <c r="J14" s="4238" t="n">
        <v>0</v>
      </c>
      <c r="K14" s="4238" t="n">
        <v>0</v>
      </c>
      <c r="L14" s="4239" t="n">
        <v>0</v>
      </c>
      <c r="M14" s="4027" t="n"/>
      <c r="N14" s="3322" t="n">
        <v>-8033407.134375</v>
      </c>
      <c r="O14" s="4022" t="n"/>
    </row>
    <row r="15" s="3154" customFormat="1" ht="13.5" customHeight="1">
      <c r="A15" s="627" t="n"/>
      <c r="B15" s="429" t="inlineStr">
        <is>
          <t xml:space="preserve">Cash Flows</t>
        </is>
      </c>
      <c r="C15" s="2208" t="n"/>
      <c r="D15" s="4240" t="n">
        <v>0</v>
      </c>
      <c r="E15" s="4241" t="n">
        <v>0</v>
      </c>
      <c r="F15" s="4241" t="n">
        <v>988130.339609375</v>
      </c>
      <c r="G15" s="4241" t="n">
        <v>1199407.70642889</v>
      </c>
      <c r="H15" s="4241" t="n">
        <v>1181511.82591154</v>
      </c>
      <c r="I15" s="4241" t="n">
        <v>1291707.70546104</v>
      </c>
      <c r="J15" s="4241" t="n">
        <v>1406755.01295688</v>
      </c>
      <c r="K15" s="4241" t="n">
        <v>13937167.5957166</v>
      </c>
      <c r="L15" s="4242" t="n">
        <v>0</v>
      </c>
      <c r="M15" s="4027" t="n"/>
      <c r="N15" s="3322" t="n">
        <v>20004680.1860843</v>
      </c>
      <c r="O15" s="4022" t="n"/>
    </row>
    <row r="16" s="3154" customFormat="1" ht="13.5" customHeight="1">
      <c r="A16" s="627" t="n"/>
      <c r="B16" s="429" t="inlineStr">
        <is>
          <t xml:space="preserve">Total CFs</t>
        </is>
      </c>
      <c r="C16" s="3260" t="n">
        <v>0.179790471817921</v>
      </c>
      <c r="D16" s="4243" t="n">
        <v>-4648599.18301389</v>
      </c>
      <c r="E16" s="4244" t="n">
        <v>-3384807.95136111</v>
      </c>
      <c r="F16" s="4244" t="n">
        <v>988130.339609375</v>
      </c>
      <c r="G16" s="4244" t="n">
        <v>1199407.70642889</v>
      </c>
      <c r="H16" s="4244" t="n">
        <v>1181511.82591154</v>
      </c>
      <c r="I16" s="4244" t="n">
        <v>1291707.70546104</v>
      </c>
      <c r="J16" s="4244" t="n">
        <v>1406755.01295688</v>
      </c>
      <c r="K16" s="4244" t="n">
        <v>13937167.5957166</v>
      </c>
      <c r="L16" s="4245" t="n">
        <v>0</v>
      </c>
      <c r="M16" s="3322" t="n"/>
      <c r="N16" s="3322" t="n">
        <v>11971273.0517093</v>
      </c>
      <c r="O16" s="27" t="n"/>
    </row>
    <row r="17" s="3154" customFormat="1" ht="15" customHeight="1">
      <c r="A17" s="627" t="n"/>
      <c r="B17" s="26" t="n"/>
      <c r="C17" s="26" t="n"/>
      <c r="D17" s="4246" t="n"/>
      <c r="E17" s="4247" t="n"/>
      <c r="F17" s="4247" t="n"/>
      <c r="G17" s="4247" t="n"/>
      <c r="H17" s="4247" t="n"/>
      <c r="I17" s="4247" t="n"/>
      <c r="J17" s="4247" t="n"/>
      <c r="K17" s="4247" t="n"/>
      <c r="L17" s="4248" t="n"/>
      <c r="M17" s="3322" t="n"/>
      <c r="N17" s="26" t="n"/>
      <c r="O17" s="27" t="n"/>
    </row>
    <row r="18" s="3154" customFormat="1" ht="13.5" customHeight="1">
      <c r="A18" s="627" t="n"/>
      <c r="B18" s="2696" t="inlineStr">
        <is>
          <t xml:space="preserve">POST WATERFALL CASH FLOWS &amp; RETURNS</t>
        </is>
      </c>
      <c r="C18" s="2723" t="n"/>
      <c r="D18" s="2724" t="n"/>
      <c r="E18" s="2724" t="n"/>
      <c r="F18" s="2724" t="n"/>
      <c r="G18" s="2724" t="n"/>
      <c r="H18" s="2724" t="n"/>
      <c r="I18" s="2724" t="n"/>
      <c r="J18" s="2724" t="n"/>
      <c r="K18" s="2724" t="n"/>
      <c r="L18" s="2724" t="n"/>
      <c r="M18" s="2208" t="n"/>
      <c r="N18" s="26" t="n"/>
      <c r="O18" s="27" t="n"/>
    </row>
    <row r="19" s="3154" customFormat="1" ht="13.5" customHeight="1">
      <c r="A19" s="627" t="n"/>
      <c r="B19" s="429" t="inlineStr">
        <is>
          <t xml:space="preserve">LP's</t>
        </is>
      </c>
      <c r="C19" s="3260" t="n">
        <v>0.163032668931752</v>
      </c>
      <c r="D19" s="4246" t="n">
        <v>-4416169.2238632</v>
      </c>
      <c r="E19" s="4247" t="n">
        <v>-3215567.55379306</v>
      </c>
      <c r="F19" s="4247" t="n">
        <v>988130.339609375</v>
      </c>
      <c r="G19" s="4247" t="n">
        <v>1199407.70642889</v>
      </c>
      <c r="H19" s="4247" t="n">
        <v>1181511.82591154</v>
      </c>
      <c r="I19" s="4247" t="n">
        <v>1291707.70546104</v>
      </c>
      <c r="J19" s="4247" t="n">
        <v>1406755.01295688</v>
      </c>
      <c r="K19" s="4247" t="n">
        <v>11130148.9676217</v>
      </c>
      <c r="L19" s="4248" t="n">
        <v>0</v>
      </c>
      <c r="M19" s="3322" t="n"/>
      <c r="N19" s="3322" t="n">
        <v>9565924.78033321</v>
      </c>
      <c r="O19" s="4042" t="n"/>
    </row>
    <row r="20" s="3154" customFormat="1" ht="13.5" customHeight="1">
      <c r="A20" s="627" t="n"/>
      <c r="B20" s="429" t="inlineStr">
        <is>
          <t xml:space="preserve">GP's</t>
        </is>
      </c>
      <c r="C20" s="3260" t="n">
        <v>0.341739469450928</v>
      </c>
      <c r="D20" s="4249" t="n">
        <v>-232429.959150695</v>
      </c>
      <c r="E20" s="4250" t="n">
        <v>-169240.397568056</v>
      </c>
      <c r="F20" s="4250" t="n">
        <v>0</v>
      </c>
      <c r="G20" s="4250" t="n">
        <v>0</v>
      </c>
      <c r="H20" s="4250" t="n">
        <v>0</v>
      </c>
      <c r="I20" s="4250" t="n">
        <v>0</v>
      </c>
      <c r="J20" s="4250" t="n">
        <v>0</v>
      </c>
      <c r="K20" s="4250" t="n">
        <v>2807018.62809486</v>
      </c>
      <c r="L20" s="4251" t="n">
        <v>0</v>
      </c>
      <c r="M20" s="3322" t="n"/>
      <c r="N20" s="3322" t="n">
        <v>2405348.27137611</v>
      </c>
      <c r="O20" s="27" t="n"/>
    </row>
    <row r="21" s="3154" customFormat="1" ht="13.5" customHeight="1">
      <c r="A21" s="627" t="n"/>
      <c r="B21" s="429" t="inlineStr">
        <is>
          <t xml:space="preserve">Total CF's</t>
        </is>
      </c>
      <c r="C21" s="3260" t="n"/>
      <c r="D21" s="4243" t="n">
        <v>-4648599.18301389</v>
      </c>
      <c r="E21" s="4244" t="n">
        <v>-3384807.95136111</v>
      </c>
      <c r="F21" s="4244" t="n">
        <v>988130.339609375</v>
      </c>
      <c r="G21" s="4244" t="n">
        <v>1199407.70642889</v>
      </c>
      <c r="H21" s="4244" t="n">
        <v>1181511.82591154</v>
      </c>
      <c r="I21" s="4244" t="n">
        <v>1291707.70546104</v>
      </c>
      <c r="J21" s="4244" t="n">
        <v>1406755.01295688</v>
      </c>
      <c r="K21" s="4244" t="n">
        <v>13937167.5957166</v>
      </c>
      <c r="L21" s="4245" t="n">
        <v>0</v>
      </c>
      <c r="M21" s="3322" t="n"/>
      <c r="N21" s="3322" t="n">
        <v>11971273.0517093</v>
      </c>
      <c r="O21" s="27" t="n"/>
    </row>
    <row r="22" s="3154" customFormat="1" ht="15" customHeight="1">
      <c r="A22" s="627" t="n"/>
      <c r="B22" s="26" t="n"/>
      <c r="C22" s="26" t="n"/>
      <c r="D22" s="2757" t="n"/>
      <c r="E22" s="2758" t="n"/>
      <c r="F22" s="2758" t="n"/>
      <c r="G22" s="2758" t="n"/>
      <c r="H22" s="2758" t="n"/>
      <c r="I22" s="2758" t="n"/>
      <c r="J22" s="2758" t="n"/>
      <c r="K22" s="2758" t="n"/>
      <c r="L22" s="2759" t="n"/>
      <c r="M22" s="1961" t="n"/>
      <c r="N22" s="26" t="n"/>
      <c r="O22" s="27" t="n"/>
    </row>
    <row r="23" s="3154" customFormat="1" ht="13.5" customHeight="1">
      <c r="A23" s="627" t="n"/>
      <c r="B23" s="2696" t="inlineStr">
        <is>
          <t xml:space="preserve">GP POST WATERFALL CASH FLOWS &amp; RETURNS</t>
        </is>
      </c>
      <c r="C23" s="229" t="n"/>
      <c r="D23" s="229" t="n"/>
      <c r="E23" s="229" t="n"/>
      <c r="F23" s="229" t="n"/>
      <c r="G23" s="229" t="n"/>
      <c r="H23" s="229" t="n"/>
      <c r="I23" s="229" t="n"/>
      <c r="J23" s="229" t="n"/>
      <c r="K23" s="229" t="n"/>
      <c r="L23" s="229" t="n"/>
      <c r="M23" s="2707" t="n"/>
      <c r="N23" s="26" t="n"/>
      <c r="O23" s="27" t="n"/>
    </row>
    <row r="24" s="3154" customFormat="1" ht="13.5" customHeight="1">
      <c r="A24" s="627" t="n"/>
      <c r="B24" s="2104" t="inlineStr">
        <is>
          <t xml:space="preserve">Total GP CFs</t>
        </is>
      </c>
      <c r="C24" s="3260" t="n">
        <v>0.341739469450928</v>
      </c>
      <c r="D24" s="4246" t="n">
        <v>-232429.959150695</v>
      </c>
      <c r="E24" s="4247" t="n">
        <v>-169240.397568056</v>
      </c>
      <c r="F24" s="4247" t="n">
        <v>0</v>
      </c>
      <c r="G24" s="4247" t="n">
        <v>0</v>
      </c>
      <c r="H24" s="4247" t="n">
        <v>0</v>
      </c>
      <c r="I24" s="4247" t="n">
        <v>0</v>
      </c>
      <c r="J24" s="4247" t="n">
        <v>0</v>
      </c>
      <c r="K24" s="4247" t="n">
        <v>2807018.62809486</v>
      </c>
      <c r="L24" s="4248" t="n">
        <v>0</v>
      </c>
      <c r="M24" s="3322" t="n"/>
      <c r="N24" s="3322" t="n">
        <v>2405348.27137611</v>
      </c>
      <c r="O24" s="27" t="n"/>
    </row>
    <row r="25" s="3154" customFormat="1" ht="8" customHeight="1">
      <c r="A25" s="627" t="n"/>
      <c r="B25" s="1100" t="n"/>
      <c r="C25" s="26" t="n"/>
      <c r="D25" s="4246" t="n"/>
      <c r="E25" s="4247" t="n"/>
      <c r="F25" s="4247" t="n"/>
      <c r="G25" s="4247" t="n"/>
      <c r="H25" s="4247" t="n"/>
      <c r="I25" s="4247" t="n"/>
      <c r="J25" s="4247" t="n"/>
      <c r="K25" s="4247" t="n"/>
      <c r="L25" s="4248" t="n"/>
      <c r="M25" s="3322" t="n"/>
      <c r="N25" s="26" t="n"/>
      <c r="O25" s="27" t="n"/>
    </row>
    <row r="26" s="3154" customFormat="1" ht="13.5" customHeight="1">
      <c r="A26" s="627" t="n"/>
      <c r="B26" s="2650" t="inlineStr">
        <is>
          <t xml:space="preserve">GP1: Doradus Development</t>
        </is>
      </c>
      <c r="C26" s="2651" t="n"/>
      <c r="D26" s="2731" t="n"/>
      <c r="E26" s="2732" t="n"/>
      <c r="F26" s="2732" t="n"/>
      <c r="G26" s="2732" t="n"/>
      <c r="H26" s="2732" t="n"/>
      <c r="I26" s="2732" t="n"/>
      <c r="J26" s="2732" t="n"/>
      <c r="K26" s="2732" t="n"/>
      <c r="L26" s="2733" t="n"/>
      <c r="M26" s="26" t="n"/>
      <c r="N26" s="26" t="n"/>
      <c r="O26" s="27" t="n"/>
    </row>
    <row r="27" s="3154" customFormat="1" ht="13.5" customHeight="1">
      <c r="A27" s="627" t="n"/>
      <c r="B27" s="429" t="inlineStr">
        <is>
          <t xml:space="preserve">Equity</t>
        </is>
      </c>
      <c r="C27" s="4020" t="n"/>
      <c r="D27" s="4246" t="n">
        <v>0</v>
      </c>
      <c r="E27" s="4247" t="n">
        <v>0</v>
      </c>
      <c r="F27" s="4247" t="n">
        <v>0</v>
      </c>
      <c r="G27" s="4247" t="n">
        <v>0</v>
      </c>
      <c r="H27" s="4247" t="n">
        <v>0</v>
      </c>
      <c r="I27" s="4247" t="n">
        <v>0</v>
      </c>
      <c r="J27" s="4247" t="n">
        <v>0</v>
      </c>
      <c r="K27" s="4247" t="n">
        <v>0</v>
      </c>
      <c r="L27" s="4248" t="n">
        <v>0</v>
      </c>
      <c r="M27" s="3322" t="n"/>
      <c r="N27" s="3322" t="n">
        <v>0</v>
      </c>
      <c r="O27" s="27" t="n"/>
    </row>
    <row r="28" s="3154" customFormat="1" ht="13.5" customHeight="1">
      <c r="A28" s="627" t="n"/>
      <c r="B28" s="429" t="inlineStr">
        <is>
          <t xml:space="preserve">Cash Flows</t>
        </is>
      </c>
      <c r="C28" s="4020" t="n"/>
      <c r="D28" s="4249" t="n">
        <v>0</v>
      </c>
      <c r="E28" s="4250" t="n">
        <v>0</v>
      </c>
      <c r="F28" s="4250" t="n">
        <v>0</v>
      </c>
      <c r="G28" s="4250" t="n">
        <v>0</v>
      </c>
      <c r="H28" s="4250" t="n">
        <v>0</v>
      </c>
      <c r="I28" s="4250" t="n">
        <v>0</v>
      </c>
      <c r="J28" s="4250" t="n">
        <v>0</v>
      </c>
      <c r="K28" s="4250" t="n">
        <v>842105.588428459</v>
      </c>
      <c r="L28" s="4251" t="n">
        <v>0</v>
      </c>
      <c r="M28" s="3322" t="n"/>
      <c r="N28" s="3322" t="n">
        <v>842105.588428459</v>
      </c>
      <c r="O28" s="27" t="n"/>
    </row>
    <row r="29" s="3154" customFormat="1" ht="13.5" customHeight="1">
      <c r="A29" s="627" t="n"/>
      <c r="B29" s="2104" t="inlineStr">
        <is>
          <t xml:space="preserve">GP1 Total</t>
        </is>
      </c>
      <c r="C29" s="592" t="inlineStr">
        <is>
          <t xml:space="preserve">--</t>
        </is>
      </c>
      <c r="D29" s="4243" t="n">
        <v>0</v>
      </c>
      <c r="E29" s="4244" t="n">
        <v>0</v>
      </c>
      <c r="F29" s="4244" t="n">
        <v>0</v>
      </c>
      <c r="G29" s="4244" t="n">
        <v>0</v>
      </c>
      <c r="H29" s="4244" t="n">
        <v>0</v>
      </c>
      <c r="I29" s="4244" t="n">
        <v>0</v>
      </c>
      <c r="J29" s="4244" t="n">
        <v>0</v>
      </c>
      <c r="K29" s="4244" t="n">
        <v>842105.588428459</v>
      </c>
      <c r="L29" s="4245" t="n">
        <v>0</v>
      </c>
      <c r="M29" s="3322" t="n"/>
      <c r="N29" s="3322" t="n">
        <v>842105.588428459</v>
      </c>
      <c r="O29" s="27" t="n"/>
    </row>
    <row r="30" s="3154" customFormat="1" ht="8" customHeight="1">
      <c r="A30" s="627" t="n"/>
      <c r="B30" s="1100" t="n"/>
      <c r="C30" s="4252" t="n"/>
      <c r="D30" s="4246" t="n"/>
      <c r="E30" s="4247" t="n"/>
      <c r="F30" s="4247" t="n"/>
      <c r="G30" s="4247" t="n"/>
      <c r="H30" s="4247" t="n"/>
      <c r="I30" s="4247" t="n"/>
      <c r="J30" s="4247" t="n"/>
      <c r="K30" s="4247" t="n"/>
      <c r="L30" s="4248" t="n"/>
      <c r="M30" s="3322" t="n"/>
      <c r="N30" s="26" t="n"/>
      <c r="O30" s="27" t="n"/>
    </row>
    <row r="31" s="3154" customFormat="1" ht="13.5" customHeight="1">
      <c r="A31" s="627" t="n"/>
      <c r="B31" s="2650" t="inlineStr">
        <is>
          <t xml:space="preserve">GP2: CEIDA/Poarch Creek</t>
        </is>
      </c>
      <c r="C31" s="2651" t="n"/>
      <c r="D31" s="2731" t="n"/>
      <c r="E31" s="2732" t="n"/>
      <c r="F31" s="2732" t="n"/>
      <c r="G31" s="2732" t="n"/>
      <c r="H31" s="2732" t="n"/>
      <c r="I31" s="2732" t="n"/>
      <c r="J31" s="2732" t="n"/>
      <c r="K31" s="2732" t="n"/>
      <c r="L31" s="2733" t="n"/>
      <c r="M31" s="26" t="n"/>
      <c r="N31" s="26" t="n"/>
      <c r="O31" s="27" t="n"/>
    </row>
    <row r="32" s="3154" customFormat="1" ht="13.5" customHeight="1">
      <c r="A32" s="627" t="n"/>
      <c r="B32" s="429" t="inlineStr">
        <is>
          <t xml:space="preserve">Equity</t>
        </is>
      </c>
      <c r="C32" s="4020" t="n"/>
      <c r="D32" s="4246" t="n">
        <v>-232429.959150695</v>
      </c>
      <c r="E32" s="4247" t="n">
        <v>-169240.397568056</v>
      </c>
      <c r="F32" s="4247" t="n">
        <v>0</v>
      </c>
      <c r="G32" s="4247" t="n">
        <v>0</v>
      </c>
      <c r="H32" s="4247" t="n">
        <v>0</v>
      </c>
      <c r="I32" s="4247" t="n">
        <v>0</v>
      </c>
      <c r="J32" s="4247" t="n">
        <v>0</v>
      </c>
      <c r="K32" s="4247" t="n">
        <v>0</v>
      </c>
      <c r="L32" s="4248" t="n">
        <v>0</v>
      </c>
      <c r="M32" s="3322" t="n"/>
      <c r="N32" s="3322" t="n">
        <v>-401670.35671875</v>
      </c>
      <c r="O32" s="27" t="n"/>
    </row>
    <row r="33" s="3154" customFormat="1" ht="13.5" customHeight="1">
      <c r="A33" s="627" t="n"/>
      <c r="B33" s="429" t="inlineStr">
        <is>
          <t xml:space="preserve">Cash Flows</t>
        </is>
      </c>
      <c r="C33" s="4020" t="n"/>
      <c r="D33" s="4249" t="n">
        <v>0</v>
      </c>
      <c r="E33" s="4250" t="n">
        <v>0</v>
      </c>
      <c r="F33" s="4250" t="n">
        <v>0</v>
      </c>
      <c r="G33" s="4250" t="n">
        <v>0</v>
      </c>
      <c r="H33" s="4250" t="n">
        <v>0</v>
      </c>
      <c r="I33" s="4250" t="n">
        <v>0</v>
      </c>
      <c r="J33" s="4250" t="n">
        <v>0</v>
      </c>
      <c r="K33" s="4250" t="n">
        <v>1964913.0396664</v>
      </c>
      <c r="L33" s="4251" t="n">
        <v>0</v>
      </c>
      <c r="M33" s="3322" t="n"/>
      <c r="N33" s="3322" t="n">
        <v>1964913.0396664</v>
      </c>
      <c r="O33" s="27" t="n"/>
    </row>
    <row r="34" s="3154" customFormat="1" ht="13.5" customHeight="1">
      <c r="A34" s="627" t="n"/>
      <c r="B34" s="2104" t="inlineStr">
        <is>
          <t xml:space="preserve">GP2 Total</t>
        </is>
      </c>
      <c r="C34" s="3260" t="n">
        <v>0.271589259088336</v>
      </c>
      <c r="D34" s="4243" t="n">
        <v>-232429.959150695</v>
      </c>
      <c r="E34" s="4244" t="n">
        <v>-169240.397568056</v>
      </c>
      <c r="F34" s="4244" t="n">
        <v>0</v>
      </c>
      <c r="G34" s="4244" t="n">
        <v>0</v>
      </c>
      <c r="H34" s="4244" t="n">
        <v>0</v>
      </c>
      <c r="I34" s="4244" t="n">
        <v>0</v>
      </c>
      <c r="J34" s="4244" t="n">
        <v>0</v>
      </c>
      <c r="K34" s="4244" t="n">
        <v>1964913.0396664</v>
      </c>
      <c r="L34" s="4245" t="n">
        <v>0</v>
      </c>
      <c r="M34" s="3322" t="n"/>
      <c r="N34" s="3322" t="n">
        <v>1563242.68294765</v>
      </c>
      <c r="O34" s="27" t="n"/>
    </row>
    <row r="35" s="3154" customFormat="1" ht="8" customHeight="1">
      <c r="A35" s="627" t="n"/>
      <c r="B35" s="26" t="n"/>
      <c r="C35" s="26" t="n"/>
      <c r="D35" s="2735" t="n"/>
      <c r="E35" s="2736" t="n"/>
      <c r="F35" s="2736" t="n"/>
      <c r="G35" s="2736" t="n"/>
      <c r="H35" s="2736" t="n"/>
      <c r="I35" s="2736" t="n"/>
      <c r="J35" s="2736" t="n"/>
      <c r="K35" s="2736" t="n"/>
      <c r="L35" s="2737" t="n"/>
      <c r="M35" s="26" t="n"/>
      <c r="N35" s="26" t="n"/>
      <c r="O35" s="27" t="n"/>
    </row>
    <row r="36" s="3154" customFormat="1" ht="13.5" customHeight="1">
      <c r="A36" s="627" t="n"/>
      <c r="B36" s="2104" t="inlineStr">
        <is>
          <t xml:space="preserve">Total GP CF's</t>
        </is>
      </c>
      <c r="C36" s="4020" t="n"/>
      <c r="D36" s="4246" t="n">
        <v>-232429.959150695</v>
      </c>
      <c r="E36" s="4247" t="n">
        <v>-169240.397568056</v>
      </c>
      <c r="F36" s="4247" t="n">
        <v>0</v>
      </c>
      <c r="G36" s="4247" t="n">
        <v>0</v>
      </c>
      <c r="H36" s="4247" t="n">
        <v>0</v>
      </c>
      <c r="I36" s="4247" t="n">
        <v>0</v>
      </c>
      <c r="J36" s="4247" t="n">
        <v>0</v>
      </c>
      <c r="K36" s="4247" t="n">
        <v>2807018.62809486</v>
      </c>
      <c r="L36" s="4248" t="n">
        <v>0</v>
      </c>
      <c r="M36" s="3322" t="n"/>
      <c r="N36" s="3322" t="n">
        <v>2405348.27137611</v>
      </c>
      <c r="O36" s="27" t="n"/>
    </row>
    <row r="37" s="3154" customFormat="1" ht="15" customHeight="1">
      <c r="A37" s="627" t="n"/>
      <c r="B37" s="26" t="n"/>
      <c r="C37" s="26" t="n"/>
      <c r="D37" s="26" t="n"/>
      <c r="E37" s="26" t="n"/>
      <c r="F37" s="26" t="n"/>
      <c r="G37" s="26" t="n"/>
      <c r="H37" s="26" t="n"/>
      <c r="I37" s="26" t="n"/>
      <c r="J37" s="26" t="n"/>
      <c r="K37" s="26" t="n"/>
      <c r="L37" s="26" t="n"/>
      <c r="M37" s="26" t="n"/>
      <c r="N37" s="26" t="n"/>
      <c r="O37" s="27" t="n"/>
    </row>
    <row r="38" s="3154" customFormat="1" ht="13.5" customHeight="1">
      <c r="A38" s="627" t="n"/>
      <c r="B38" s="2696" t="inlineStr">
        <is>
          <t xml:space="preserve">SUMMARY OF RETURNS</t>
        </is>
      </c>
      <c r="C38" s="229" t="n"/>
      <c r="D38" s="229" t="n"/>
      <c r="E38" s="229" t="n"/>
      <c r="F38" s="229" t="n"/>
      <c r="G38" s="229" t="n"/>
      <c r="H38" s="229" t="n"/>
      <c r="I38" s="2738" t="n"/>
      <c r="J38" s="2739" t="n"/>
      <c r="K38" s="26" t="n"/>
      <c r="L38" s="26" t="n"/>
      <c r="M38" s="26" t="n"/>
      <c r="N38" s="26" t="n"/>
      <c r="O38" s="27" t="n"/>
    </row>
    <row r="39" s="3154" customFormat="1" ht="13.5" customHeight="1">
      <c r="A39" s="627" t="n"/>
      <c r="B39" s="2651" t="n"/>
      <c r="C39" s="2651" t="n"/>
      <c r="D39" s="2698" t="inlineStr">
        <is>
          <t xml:space="preserve">Equity</t>
        </is>
      </c>
      <c r="E39" s="2698" t="inlineStr">
        <is>
          <t xml:space="preserve">Profit</t>
        </is>
      </c>
      <c r="F39" s="2740" t="inlineStr">
        <is>
          <t xml:space="preserve">IRR</t>
        </is>
      </c>
      <c r="G39" s="2740" t="inlineStr">
        <is>
          <t xml:space="preserve">MOIC</t>
        </is>
      </c>
      <c r="H39" s="2698" t="inlineStr">
        <is>
          <t xml:space="preserve">Dev Fee</t>
        </is>
      </c>
      <c r="I39" s="2741" t="inlineStr">
        <is>
          <t xml:space="preserve">Guar Fee</t>
        </is>
      </c>
      <c r="J39" s="2742" t="inlineStr">
        <is>
          <t xml:space="preserve">Total</t>
        </is>
      </c>
      <c r="K39" s="26" t="n"/>
      <c r="L39" s="26" t="n"/>
      <c r="M39" s="26" t="n"/>
      <c r="N39" s="26" t="n"/>
      <c r="O39" s="27" t="n"/>
    </row>
    <row r="40" s="3154" customFormat="1" ht="13.5" customHeight="1">
      <c r="A40" s="627" t="n"/>
      <c r="B40" s="429" t="inlineStr">
        <is>
          <t xml:space="preserve">Limited Partners</t>
        </is>
      </c>
      <c r="C40" s="26" t="n"/>
      <c r="D40" s="4234" t="n">
        <v>7631736.77765625</v>
      </c>
      <c r="E40" s="4234" t="n">
        <v>9565924.78033321</v>
      </c>
      <c r="F40" s="4253" t="n">
        <v>0.163032668931752</v>
      </c>
      <c r="G40" s="4254" t="n">
        <v>2.25344008304109</v>
      </c>
      <c r="H40" s="3322" t="n">
        <v>0</v>
      </c>
      <c r="I40" s="4246" t="n">
        <v>0</v>
      </c>
      <c r="J40" s="2737" t="n"/>
      <c r="K40" s="26" t="n"/>
      <c r="L40" s="26" t="n"/>
      <c r="M40" s="26" t="n"/>
      <c r="N40" s="26" t="n"/>
      <c r="O40" s="27" t="n"/>
    </row>
    <row r="41" s="3154" customFormat="1" ht="13.5" customHeight="1">
      <c r="A41" s="627" t="n"/>
      <c r="B41" s="429" t="inlineStr">
        <is>
          <t xml:space="preserve">Doradus Development</t>
        </is>
      </c>
      <c r="C41" s="26" t="n"/>
      <c r="D41" s="4234" t="n">
        <v>0</v>
      </c>
      <c r="E41" s="4234" t="n">
        <v>842105.588428459</v>
      </c>
      <c r="F41" s="2104" t="inlineStr">
        <is>
          <t xml:space="preserve">--</t>
        </is>
      </c>
      <c r="G41" s="2104" t="inlineStr">
        <is>
          <t xml:space="preserve">--</t>
        </is>
      </c>
      <c r="H41" s="3322" t="n">
        <v>616000</v>
      </c>
      <c r="I41" s="4246" t="n">
        <v>0</v>
      </c>
      <c r="J41" s="4248" t="n">
        <v>1458105.58842846</v>
      </c>
      <c r="K41" s="26" t="n"/>
      <c r="L41" s="26" t="n"/>
      <c r="M41" s="26" t="n"/>
      <c r="N41" s="3322" t="n"/>
      <c r="O41" s="27" t="n"/>
    </row>
    <row r="42" s="3154" customFormat="1" ht="13.5" customHeight="1">
      <c r="A42" s="627" t="n"/>
      <c r="B42" s="1957" t="inlineStr">
        <is>
          <t xml:space="preserve">CEIDA/Poarch Creek</t>
        </is>
      </c>
      <c r="C42" s="163" t="n"/>
      <c r="D42" s="4235" t="n">
        <v>401670.35671875</v>
      </c>
      <c r="E42" s="4235" t="n">
        <v>1563242.68294765</v>
      </c>
      <c r="F42" s="4255" t="n">
        <v>0.271589259088336</v>
      </c>
      <c r="G42" s="4256" t="n">
        <v>4.8918547430729</v>
      </c>
      <c r="H42" s="3915" t="n">
        <v>264000</v>
      </c>
      <c r="I42" s="4249" t="n">
        <v>0</v>
      </c>
      <c r="J42" s="4251" t="n">
        <v>1827242.68294765</v>
      </c>
      <c r="K42" s="26" t="n"/>
      <c r="L42" s="26" t="n"/>
      <c r="M42" s="26" t="n"/>
      <c r="N42" s="3322" t="n"/>
      <c r="O42" s="27" t="n"/>
    </row>
    <row r="43" s="3154" customFormat="1" ht="13.5" customHeight="1">
      <c r="A43" s="627" t="n"/>
      <c r="B43" s="2747" t="inlineStr">
        <is>
          <t xml:space="preserve">Total</t>
        </is>
      </c>
      <c r="C43" s="158" t="n"/>
      <c r="D43" s="4236" t="n">
        <v>8033407.134375</v>
      </c>
      <c r="E43" s="4236" t="n">
        <v>11971273.0517093</v>
      </c>
      <c r="F43" s="4257" t="n">
        <v>0.179790471817921</v>
      </c>
      <c r="G43" s="4258" t="n">
        <v>2.49018627482282</v>
      </c>
      <c r="H43" s="4236" t="n">
        <v>880000</v>
      </c>
      <c r="I43" s="4259" t="n">
        <v>0</v>
      </c>
      <c r="J43" s="4260" t="n">
        <v>3285348.27137611</v>
      </c>
      <c r="K43" s="26" t="n"/>
      <c r="L43" s="26" t="n"/>
      <c r="M43" s="26" t="n"/>
      <c r="N43" s="26" t="n"/>
      <c r="O43" s="27" t="n"/>
    </row>
    <row r="44" s="3154" customFormat="1" ht="13.5" customHeight="1">
      <c r="A44" s="627" t="n"/>
      <c r="B44" s="1100" t="n"/>
      <c r="C44" s="26" t="n"/>
      <c r="D44" s="4234" t="n"/>
      <c r="E44" s="4234" t="n"/>
      <c r="F44" s="4253" t="n"/>
      <c r="G44" s="4254" t="n"/>
      <c r="H44" s="4234" t="n"/>
      <c r="I44" s="26" t="n"/>
      <c r="J44" s="26" t="n"/>
      <c r="K44" s="26" t="n"/>
      <c r="L44" s="26" t="n"/>
      <c r="M44" s="26" t="n"/>
      <c r="N44" s="26" t="n"/>
      <c r="O44" s="27" t="n"/>
    </row>
    <row r="45" s="3154" customFormat="1" ht="13.5" customHeight="1">
      <c r="A45" s="627" t="n"/>
      <c r="B45" s="26" t="n"/>
      <c r="C45" s="26" t="n"/>
      <c r="D45" s="26" t="n"/>
      <c r="E45" s="26" t="n"/>
      <c r="F45" s="26" t="n"/>
      <c r="G45" s="1922" t="n"/>
      <c r="H45" s="3322" t="n"/>
      <c r="I45" s="3322" t="n"/>
      <c r="J45" s="3322" t="n"/>
      <c r="K45" s="26" t="n"/>
      <c r="L45" s="26" t="n"/>
      <c r="M45" s="26" t="n"/>
      <c r="N45" s="26" t="n"/>
      <c r="O45" s="27" t="n"/>
    </row>
    <row r="46" s="3154" customFormat="1" ht="13.5" customHeight="1">
      <c r="A46" s="627" t="n"/>
      <c r="B46" s="26" t="n"/>
      <c r="C46" s="26" t="n"/>
      <c r="D46" s="26" t="n"/>
      <c r="E46" s="26" t="n"/>
      <c r="F46" s="26" t="n"/>
      <c r="G46" s="1922" t="n"/>
      <c r="H46" s="3322" t="n"/>
      <c r="I46" s="3322" t="n"/>
      <c r="J46" s="3322" t="n"/>
      <c r="K46" s="26" t="n"/>
      <c r="L46" s="26" t="n"/>
      <c r="M46" s="26" t="n"/>
      <c r="N46" s="26" t="n"/>
      <c r="O46" s="27" t="n"/>
    </row>
    <row r="47" s="3154" customFormat="1" ht="13.5" customHeight="1">
      <c r="A47" s="627" t="n"/>
      <c r="B47" s="26" t="n"/>
      <c r="C47" s="26" t="n"/>
      <c r="D47" s="26" t="n"/>
      <c r="E47" s="26" t="n"/>
      <c r="F47" s="26" t="n"/>
      <c r="G47" s="1922" t="n"/>
      <c r="H47" s="3322" t="n"/>
      <c r="I47" s="3322" t="n"/>
      <c r="J47" s="3322" t="n"/>
      <c r="K47" s="26" t="n"/>
      <c r="L47" s="26" t="n"/>
      <c r="M47" s="26" t="n"/>
      <c r="N47" s="26" t="n"/>
      <c r="O47" s="27" t="n"/>
    </row>
    <row r="48" s="3154" customFormat="1" ht="13.5" customHeight="1">
      <c r="A48" s="633" t="n"/>
      <c r="B48" s="634" t="n"/>
      <c r="C48" s="634" t="n"/>
      <c r="D48" s="634" t="n"/>
      <c r="E48" s="634" t="n"/>
      <c r="F48" s="634" t="n"/>
      <c r="G48" s="634" t="n"/>
      <c r="H48" s="4261" t="n"/>
      <c r="I48" s="4261" t="n"/>
      <c r="J48" s="4261" t="n"/>
      <c r="K48" s="634" t="n"/>
      <c r="L48" s="634" t="n"/>
      <c r="M48" s="634" t="n"/>
      <c r="N48" s="634" t="n"/>
      <c r="O48" s="635" t="n"/>
    </row>
  </sheetData>
  <pageMargins left="0.7" right="0.7" top="0.75" bottom="0.75" header="0.3" footer="0.3"/>
</worksheet>
</file>

<file path=xl/worksheets/sheet29.xml><?xml version="1.0" encoding="utf-8"?>
<worksheet xmlns="http://schemas.openxmlformats.org/spreadsheetml/2006/main">
  <sheetViews>
    <sheetView showGridLines="0" workbookViewId="0"/>
  </sheetViews>
  <sheetFormatPr baseColWidth="8" defaultColWidth="8.5" defaultRowHeight="15"/>
  <cols>
    <col min="1" max="1" width="52" style="3136" customWidth="1"/>
    <col min="2" max="2" width="16" style="3136" customWidth="1"/>
    <col min="3" max="3" width="12" style="3136" customWidth="1"/>
    <col min="4" max="4" width="16" style="3136" customWidth="1"/>
    <col min="5" max="5" width="8.5" style="3136" customWidth="1"/>
    <col min="6" max="16384" width="8.5" style="3136" customWidth="1"/>
  </cols>
  <sheetData>
    <row r="1" s="3154" customFormat="1" ht="19.5" customHeight="1">
      <c r="A1" s="2762" t="inlineStr">
        <is>
          <t xml:space="preserve">SLEEP SPACE HOTEL — PROJECT COST SUMMARY</t>
        </is>
      </c>
      <c r="B1" s="3202" t="n"/>
      <c r="C1" s="3202" t="n"/>
      <c r="D1" s="3202" t="n"/>
      <c r="E1" s="2764" t="n"/>
    </row>
    <row r="2" s="3154" customFormat="1" ht="15" customHeight="1">
      <c r="A2" s="2765" t="inlineStr">
        <is>
          <t xml:space="preserve">Budget micro-hotel  |  Livio closed-wall prefab construction system  |  Hotel-specific add-ons included</t>
        </is>
      </c>
      <c r="B2" s="3204" t="n"/>
      <c r="C2" s="3204" t="n"/>
      <c r="D2" s="3205" t="n"/>
      <c r="E2" s="1168" t="n"/>
    </row>
    <row r="3" s="3154" customFormat="1" ht="15" customHeight="1">
      <c r="A3" s="49" t="n"/>
      <c r="B3" s="49" t="n"/>
      <c r="C3" s="49" t="n"/>
      <c r="D3" s="49" t="n"/>
      <c r="E3" s="1168" t="n"/>
    </row>
    <row r="4" s="3154" customFormat="1" ht="15" customHeight="1">
      <c r="A4" s="2767" t="inlineStr">
        <is>
          <t xml:space="preserve">PROJECT SNAPSHOT</t>
        </is>
      </c>
      <c r="E4" s="2764" t="n"/>
    </row>
    <row r="5" s="3154" customFormat="1" ht="15" customHeight="1">
      <c r="A5" s="2315" t="inlineStr">
        <is>
          <t xml:space="preserve">Building GSF</t>
        </is>
      </c>
      <c r="B5" s="4262" t="n">
        <f>'Assumptions'!J8</f>
        <v>17034.16</v>
      </c>
      <c r="C5" s="82" t="n"/>
      <c r="D5" s="82" t="n"/>
      <c r="E5" s="1168" t="n"/>
    </row>
    <row r="6" s="3154" customFormat="1" ht="15" customHeight="1">
      <c r="A6" s="113" t="inlineStr">
        <is>
          <t xml:space="preserve">Keys (units)</t>
        </is>
      </c>
      <c r="B6" s="4263" t="n">
        <f>'Assumptions'!J7</f>
        <v>100</v>
      </c>
      <c r="C6" s="50" t="n"/>
      <c r="D6" s="50" t="n"/>
      <c r="E6" s="1168" t="n"/>
    </row>
    <row r="7" s="3154" customFormat="1" ht="15" customHeight="1">
      <c r="A7" s="113" t="inlineStr">
        <is>
          <t xml:space="preserve">GSF per key</t>
        </is>
      </c>
      <c r="B7" s="4264" t="n">
        <f>B5/B6</f>
        <v>170.3416</v>
      </c>
      <c r="C7" s="50" t="n"/>
      <c r="D7" s="50" t="n"/>
      <c r="E7" s="1168" t="n"/>
    </row>
    <row r="8" s="3154" customFormat="1" ht="15" customHeight="1">
      <c r="A8" s="49" t="n"/>
      <c r="B8" s="49" t="n"/>
      <c r="C8" s="49" t="n"/>
      <c r="D8" s="49" t="n"/>
      <c r="E8" s="1168" t="n"/>
    </row>
    <row r="9" s="3154" customFormat="1" ht="15" customHeight="1">
      <c r="A9" s="2767" t="inlineStr">
        <is>
          <t xml:space="preserve">COST BREAKDOWN</t>
        </is>
      </c>
      <c r="E9" s="2764" t="n"/>
    </row>
    <row r="10" s="3154" customFormat="1" ht="15" customHeight="1">
      <c r="A10" s="2772" t="n"/>
      <c r="B10" s="2773" t="inlineStr">
        <is>
          <t xml:space="preserve">Total</t>
        </is>
      </c>
      <c r="C10" s="2773" t="inlineStr">
        <is>
          <t xml:space="preserve">$/GSF</t>
        </is>
      </c>
      <c r="D10" s="2773" t="inlineStr">
        <is>
          <t xml:space="preserve">$/Key</t>
        </is>
      </c>
      <c r="E10" s="2764" t="n"/>
    </row>
    <row r="11" s="3154" customFormat="1" ht="15" customHeight="1">
      <c r="A11" s="2315" t="inlineStr">
        <is>
          <t xml:space="preserve">   Livio Exhibit A — Material</t>
        </is>
      </c>
      <c r="B11" s="4265" t="n"/>
      <c r="C11" s="4266" t="n"/>
      <c r="D11" s="3165" t="n"/>
      <c r="E11" s="1168" t="n"/>
    </row>
    <row r="12" s="3154" customFormat="1" ht="15" customHeight="1">
      <c r="A12" s="2776" t="inlineStr">
        <is>
          <t xml:space="preserve">   Livio Exhibit A — Labor</t>
        </is>
      </c>
      <c r="B12" s="4267" t="n"/>
      <c r="C12" s="4268" t="n"/>
      <c r="D12" s="3178" t="n"/>
      <c r="E12" s="1168" t="n"/>
    </row>
    <row r="13" s="3154" customFormat="1" ht="15" customHeight="1">
      <c r="A13" s="2779" t="inlineStr">
        <is>
          <t xml:space="preserve">Livio Exhibit A Subtotal</t>
        </is>
      </c>
      <c r="B13" s="4269" t="n">
        <f>'CB-Construction Budget'!D23</f>
        <v>3210185.5204109596</v>
      </c>
      <c r="C13" s="4270" t="n">
        <f>B13/$B$5</f>
        <v>176.86251738862674</v>
      </c>
      <c r="D13" s="4269" t="n">
        <f>B13/$B$6</f>
        <v>32101.855204109597</v>
      </c>
      <c r="E13" s="2764" t="n"/>
    </row>
    <row r="14" s="3154" customFormat="1" ht="15" customHeight="1">
      <c r="A14" s="2315" t="inlineStr">
        <is>
          <t xml:space="preserve">   Hotel Add-Ons — Material</t>
        </is>
      </c>
      <c r="B14" s="4265" t="n"/>
      <c r="C14" s="4266" t="n"/>
      <c r="D14" s="3165" t="n"/>
      <c r="E14" s="1168" t="n"/>
    </row>
    <row r="15" s="3154" customFormat="1" ht="15" customHeight="1">
      <c r="A15" s="2776" t="inlineStr">
        <is>
          <t xml:space="preserve">   Hotel Add-Ons — Labor</t>
        </is>
      </c>
      <c r="B15" s="4267" t="n"/>
      <c r="C15" s="4268" t="n"/>
      <c r="D15" s="3178" t="n"/>
      <c r="E15" s="1168" t="n"/>
    </row>
    <row r="16" s="3154" customFormat="1" ht="15" customHeight="1">
      <c r="A16" s="2779" t="inlineStr">
        <is>
          <t xml:space="preserve">Hotel Add-Ons Subtotal</t>
        </is>
      </c>
      <c r="B16" s="4269" t="n">
        <f>'CB-Hotel Add-Ons'!D23</f>
        <v>950684.9315068494</v>
      </c>
      <c r="C16" s="4270" t="n">
        <f>B16/$B$5</f>
        <v>52.377200370715855</v>
      </c>
      <c r="D16" s="4269" t="n">
        <f>B16/$B$6</f>
        <v>9506.849315068494</v>
      </c>
      <c r="E16" s="2764" t="n"/>
    </row>
    <row r="17" s="3154" customFormat="1" ht="15" customHeight="1">
      <c r="A17" s="2779" t="inlineStr">
        <is>
          <t xml:space="preserve">HARD CONSTRUCTION SUBTOTAL (A + Hotel Add-Ons)</t>
        </is>
      </c>
      <c r="B17" s="4269" t="n">
        <f>B13+B16</f>
        <v>4160870.451917809</v>
      </c>
      <c r="C17" s="4270" t="n">
        <f>B17/$B$5</f>
        <v>229.2397177593426</v>
      </c>
      <c r="D17" s="4269" t="n">
        <f>B17/$B$6</f>
        <v>41608.70451917809</v>
      </c>
      <c r="E17" s="2764" t="n"/>
    </row>
    <row r="18" s="3154" customFormat="1" ht="15" customHeight="1">
      <c r="A18" s="2782" t="inlineStr">
        <is>
          <t xml:space="preserve">Single contingency @ CB-Assumptions!B6</t>
        </is>
      </c>
      <c r="B18" s="3196" t="n">
        <f>B17*'CB-Assumptions'!B6</f>
        <v>416087.0451917809</v>
      </c>
      <c r="C18" s="4271" t="n">
        <f>B18/$B$5</f>
        <v>22.92397177593426</v>
      </c>
      <c r="D18" s="3196" t="n">
        <f>B18/$B$6</f>
        <v>4160.870451917809</v>
      </c>
      <c r="E18" s="1168" t="n"/>
    </row>
    <row r="19" s="3154" customFormat="1" ht="15" customHeight="1">
      <c r="A19" s="2779" t="inlineStr">
        <is>
          <t xml:space="preserve">TOTAL CONSTRUCTION (single contingency)</t>
        </is>
      </c>
      <c r="B19" s="4269" t="n">
        <f>B17+B18</f>
        <v>4466416.099999999627471</v>
      </c>
      <c r="C19" s="4270" t="n">
        <f>B19/$B$5</f>
        <v>262.203484057916569</v>
      </c>
      <c r="D19" s="4269" t="n">
        <f>B19/$B$6</f>
        <v>44664.160999999992782</v>
      </c>
      <c r="E19" s="2764" t="n"/>
    </row>
    <row r="20" s="3154" customFormat="1" ht="15" customHeight="1">
      <c r="A20" s="99" t="n"/>
      <c r="B20" s="99" t="n"/>
      <c r="C20" s="99" t="n"/>
      <c r="D20" s="99" t="n"/>
      <c r="E20" s="1168" t="n"/>
    </row>
    <row r="21" s="3154" customFormat="1" ht="15" customHeight="1">
      <c r="A21" s="2767" t="inlineStr">
        <is>
          <t xml:space="preserve">LABOR vs MATERIAL (EXCL. CONTINGENCY)</t>
        </is>
      </c>
      <c r="E21" s="2764" t="n"/>
    </row>
    <row r="22" s="3154" customFormat="1" ht="15" customHeight="1">
      <c r="A22" s="2772" t="n"/>
      <c r="B22" s="2773" t="inlineStr">
        <is>
          <t xml:space="preserve">Total</t>
        </is>
      </c>
      <c r="C22" s="2773" t="inlineStr">
        <is>
          <t xml:space="preserve">% of Hard</t>
        </is>
      </c>
      <c r="D22" s="2773" t="inlineStr">
        <is>
          <t xml:space="preserve">$/Key</t>
        </is>
      </c>
      <c r="E22" s="2764" t="n"/>
    </row>
    <row r="23" s="3154" customFormat="1" ht="15" customHeight="1">
      <c r="A23" s="2315" t="inlineStr">
        <is>
          <t xml:space="preserve">Total Labor</t>
        </is>
      </c>
      <c r="B23" s="4370" t="n">
        <f>SUM('CB-Construction Budget'!F5:F22)+SUM('CB-Hotel Add-Ons'!F5:F22)</f>
        <v>2249579.149246576</v>
      </c>
      <c r="C23" s="4272" t="n">
        <f>B23/$B$5</f>
        <v>123.93870350202717</v>
      </c>
      <c r="D23" s="3165" t="n">
        <f>B23/$B$6</f>
        <v>22495.791492465756</v>
      </c>
      <c r="E23" s="1168" t="n"/>
    </row>
    <row r="24" s="3154" customFormat="1" ht="15" customHeight="1">
      <c r="A24" s="113" t="inlineStr">
        <is>
          <t xml:space="preserve">Total Material</t>
        </is>
      </c>
      <c r="B24" s="4371" t="n">
        <f>SUM('CB-Construction Budget'!E5:E22)+SUM('CB-Hotel Add-Ons'!E5:E22)</f>
        <v>1911291.3026712332</v>
      </c>
      <c r="C24" s="4273" t="n">
        <f>B24/$B$5</f>
        <v>105.30101425731544</v>
      </c>
      <c r="D24" s="3171" t="n">
        <f>B24/$B$6</f>
        <v>19112.913026712333</v>
      </c>
      <c r="E24" s="1168" t="n"/>
    </row>
    <row r="25" s="3154" customFormat="1" ht="15" customHeight="1">
      <c r="A25" s="49" t="n"/>
      <c r="B25" s="49" t="n"/>
      <c r="C25" s="49" t="n"/>
      <c r="D25" s="49" t="n"/>
      <c r="E25" s="1168" t="n"/>
    </row>
    <row r="26" s="3154" customFormat="1" ht="15" customHeight="1">
      <c r="A26" s="2767" t="inlineStr">
        <is>
          <t xml:space="preserve">FF&amp;E / OWNER ALLOWANCES (EXHIBIT B) — REFERENCE ONLY</t>
        </is>
      </c>
      <c r="E26" s="2764" t="n"/>
    </row>
    <row r="27" s="3154" customFormat="1" ht="15" customHeight="1">
      <c r="A27" s="2315" t="inlineStr">
        <is>
          <t xml:space="preserve">Exhibit B Total (FF&amp;E + Finishes)</t>
        </is>
      </c>
      <c r="B27" s="4370" t="n">
        <v>2879516.6438356163</v>
      </c>
      <c r="C27" s="4266" t="n">
        <f>B27/$B$6</f>
        <v>28795.166438356162</v>
      </c>
      <c r="D27" s="3165" t="n">
        <f>B27/$B$5</f>
        <v>158.64458899746714</v>
      </c>
      <c r="E27" s="1168" t="n"/>
    </row>
    <row r="28" s="3154" customFormat="1" ht="15" customHeight="1">
      <c r="A28" s="49" t="n"/>
      <c r="B28" s="49" t="n"/>
      <c r="C28" s="49" t="n"/>
      <c r="D28" s="49" t="n"/>
      <c r="E28" s="1168" t="n"/>
    </row>
    <row r="29" s="3154" customFormat="1" ht="15" customHeight="1">
      <c r="A29" s="2767" t="inlineStr">
        <is>
          <t xml:space="preserve">ALL-IN PROJECT COST</t>
        </is>
      </c>
      <c r="E29" s="2764" t="n"/>
    </row>
    <row r="30" s="3154" customFormat="1" ht="15" customHeight="1">
      <c r="A30" s="2779" t="inlineStr">
        <is>
          <t xml:space="preserve">Construction (single contingency) + FF&amp;E</t>
        </is>
      </c>
      <c r="B30" s="4269" t="n">
        <f>B19+B27</f>
        <v>7456474.140945206</v>
      </c>
      <c r="C30" s="4270" t="n">
        <f>B30/$B$6</f>
        <v>74564.74140945206</v>
      </c>
      <c r="D30" s="4269" t="n">
        <f>B30/$B$5</f>
        <v>410.808278532744</v>
      </c>
      <c r="E30" s="2764" t="n"/>
    </row>
    <row r="31" s="3154" customFormat="1" ht="15" customHeight="1">
      <c r="A31" s="82" t="n"/>
      <c r="B31" s="82" t="n"/>
      <c r="C31" s="82" t="n"/>
      <c r="D31" s="82" t="n"/>
      <c r="E31" s="1168" t="n"/>
    </row>
    <row r="32" s="3154" customFormat="1" ht="15" customHeight="1">
      <c r="A32" s="50" t="n"/>
      <c r="B32" s="50" t="n"/>
      <c r="C32" s="50" t="n"/>
      <c r="D32" s="50" t="n"/>
      <c r="E32" s="1168" t="n"/>
    </row>
    <row r="33" s="3154" customFormat="1" ht="15" customHeight="1">
      <c r="A33" s="113" t="inlineStr">
        <is>
          <t xml:space="preserve">NOTES</t>
        </is>
      </c>
      <c r="B33" s="50" t="n"/>
      <c r="C33" s="50" t="n"/>
      <c r="D33" s="50" t="n"/>
      <c r="E33" s="1168" t="n"/>
    </row>
    <row r="34" s="3154" customFormat="1" ht="30" customHeight="1">
      <c r="A34" s="2787" t="inlineStr">
        <is>
          <t xml:space="preserve">100-key update: target program is 100 keys / 17,034.16 GSF using the user-provided 4,258.54 GSF floor plate across 4 floors.</t>
        </is>
      </c>
      <c r="B34" s="3159" t="n"/>
      <c r="C34" s="3159" t="n"/>
      <c r="D34" s="3160" t="n"/>
      <c r="E34" s="1168" t="n"/>
    </row>
    <row r="35" s="3154" customFormat="1" ht="30" customHeight="1">
      <c r="A35" s="2787" t="inlineStr">
        <is>
          <t xml:space="preserve">• Exhibit A line items and totals sourced from Livio Turnkey Proposal V1 (2025-10-14). Livio scope is prefab residential — hotel-specific scope added separately on the 'Hotel Add-Ons' tab.</t>
        </is>
      </c>
      <c r="B35" s="3159" t="n"/>
      <c r="C35" s="3159" t="n"/>
      <c r="D35" s="3160" t="n"/>
      <c r="E35" s="1168" t="n"/>
    </row>
    <row r="36" s="3154" customFormat="1" ht="30" customHeight="1">
      <c r="A36" s="2787" t="inlineStr">
        <is>
          <t xml:space="preserve">• Material vs. Labor split is an educated guess per line item. Edit the yellow cells on 'Assumptions' and 'Hotel Add-Ons' tabs to refine as bids come in.</t>
        </is>
      </c>
      <c r="B36" s="3159" t="n"/>
      <c r="C36" s="3159" t="n"/>
      <c r="D36" s="3160" t="n"/>
      <c r="E36" s="1168" t="n"/>
    </row>
    <row r="37" s="3154" customFormat="1" ht="30" customHeight="1">
      <c r="A37" s="2787" t="inlineStr">
        <is>
          <t xml:space="preserve">• A single hard-cost contingency (default 10%) is applied only on CB-Summary row 18 to combined Livio Exhibit A + hotel add-ons.</t>
        </is>
      </c>
      <c r="B37" s="3159" t="n"/>
      <c r="C37" s="3159" t="n"/>
      <c r="D37" s="3160" t="n"/>
      <c r="E37" s="1168" t="n"/>
    </row>
    <row r="38" s="3154" customFormat="1" ht="30" customHeight="1">
      <c r="A38" s="2787" t="inlineStr">
        <is>
          <t xml:space="preserve">Soft costs, permits, A&amp;E fees, entitlements, impact fees, financing, and developer fee are modeled in Project Summary / JYI-Bank Loans where applicable.</t>
        </is>
      </c>
      <c r="B38" s="3159" t="n"/>
      <c r="C38" s="3159" t="n"/>
      <c r="D38" s="3160" t="n"/>
      <c r="E38" s="1168" t="n"/>
    </row>
    <row r="39" s="3154" customFormat="1" ht="30" customHeight="1">
      <c r="A39" s="2787" t="inlineStr">
        <is>
          <t xml:space="preserve">• Hotel vs Residential construction differences are documented on the 'Hotel vs Residential' tab — use this to review add-on scope and challenge any missing items.</t>
        </is>
      </c>
      <c r="B39" s="3159" t="n"/>
      <c r="C39" s="3159" t="n"/>
      <c r="D39" s="3160" t="n"/>
      <c r="E39" s="1168" t="n"/>
    </row>
    <row r="40" s="3154" customFormat="1" ht="34.5" customHeight="1">
      <c r="A40" s="2787" t="inlineStr">
        <is>
          <t xml:space="preserve">• Budget-hotel positioning: Livio prefab drives low $/GSF hard cost; hotel add-ons ($/GSF shown on Hotel Add-Ons tab) are the premium paid for R-1 occupancy vs residential R-3.</t>
        </is>
      </c>
      <c r="B40" s="50" t="n"/>
      <c r="C40" s="50" t="n"/>
      <c r="D40" s="50" t="n"/>
      <c r="E40" s="1168" t="n"/>
    </row>
  </sheetData>
  <mergeCells>
    <mergeCell ref="A1:D1"/>
    <mergeCell ref="A37:D37"/>
    <mergeCell ref="A9:D9"/>
    <mergeCell ref="A34:D34"/>
    <mergeCell ref="A35:D35"/>
    <mergeCell ref="A4:D4"/>
    <mergeCell ref="A26:D26"/>
    <mergeCell ref="A21:D21"/>
    <mergeCell ref="A38:D38"/>
    <mergeCell ref="A39:D39"/>
    <mergeCell ref="A29:D29"/>
    <mergeCell ref="A2:D2"/>
    <mergeCell ref="A36:D36"/>
  </mergeCells>
  <pageMargins left="0.7" right="0.7" top="0.75" bottom="0.75" header="0.3" footer="0.3"/>
</worksheet>
</file>

<file path=xl/worksheets/sheet3.xml><?xml version="1.0" encoding="utf-8"?>
<worksheet xmlns="http://schemas.openxmlformats.org/spreadsheetml/2006/main" xmlns:r="http://schemas.openxmlformats.org/officeDocument/2006/relationships">
  <sheetViews>
    <sheetView showGridLines="0" workbookViewId="0"/>
  </sheetViews>
  <sheetFormatPr baseColWidth="8" defaultColWidth="8.666669845581055" defaultRowHeight="15"/>
  <cols>
    <col min="1" max="1" width="9.171879768371582" style="3136" customWidth="1"/>
    <col min="2" max="2" width="10" style="3136" customWidth="1"/>
    <col min="3" max="3" width="12.5" style="3136" customWidth="1"/>
    <col min="4" max="4" width="10.35159969329834" style="3136" customWidth="1"/>
    <col min="5" max="5" width="94.1718978881836" style="3136" customWidth="1"/>
    <col min="6" max="6" width="22.5" style="3136" customWidth="1"/>
    <col min="7" max="7" width="44.851600646972656" style="3136" customWidth="1"/>
    <col min="8" max="8" width="16.851600646972656" style="3136" customWidth="1"/>
    <col min="9" max="9" width="18.671899795532227" style="3136" customWidth="1"/>
    <col min="10" max="10" width="2.851560115814209" style="3136" customWidth="1"/>
    <col min="11" max="11" width="18.851600646972656" style="3136" customWidth="1"/>
    <col min="12" max="12" width="17.351600646972656" style="3136" customWidth="1"/>
    <col min="13" max="13" width="18.851600646972656" style="3136" customWidth="1"/>
    <col min="14" max="14" width="24.851600646972656" style="3136" customWidth="1"/>
    <col min="15" max="15" width="14.85159969329834" style="3136" customWidth="1"/>
    <col min="16" max="16" width="6.851560115814209" style="3136" customWidth="1"/>
    <col min="17" max="17" width="29.5" style="3136" customWidth="1"/>
    <col min="18" max="18" width="13.5" style="3136" customWidth="1"/>
    <col min="19" max="19" width="14.35159969329834" style="3136" customWidth="1"/>
    <col min="20" max="20" width="11.671899795532227" style="3136" customWidth="1"/>
    <col min="21" max="21" width="9.171879768371582" style="3136" customWidth="1"/>
    <col min="22" max="22" width="8.671879768371582" style="3136" customWidth="1"/>
    <col min="23" max="16384" width="8.671879768371582" style="3136" customWidth="1"/>
  </cols>
  <sheetData>
    <row r="1" s="3154" customFormat="1" ht="14.25" customHeight="1">
      <c r="A1" s="1167" t="n"/>
      <c r="B1" s="1167" t="n"/>
      <c r="C1" s="1167" t="n"/>
      <c r="D1" s="1167" t="n"/>
      <c r="E1" s="1167" t="n"/>
      <c r="F1" s="1167" t="n"/>
      <c r="G1" s="1167" t="n"/>
      <c r="H1" s="1167" t="n"/>
      <c r="I1" s="1167" t="n"/>
      <c r="J1" s="1167" t="n"/>
      <c r="K1" s="1167" t="n"/>
      <c r="L1" s="1167" t="n"/>
      <c r="M1" s="1167" t="n"/>
      <c r="N1" s="1167" t="n"/>
      <c r="O1" s="1167" t="n"/>
      <c r="P1" s="1167" t="n"/>
      <c r="Q1" s="1167" t="n"/>
      <c r="R1" s="1167" t="n"/>
      <c r="S1" s="1167" t="n"/>
      <c r="T1" s="1167" t="n"/>
      <c r="U1" s="1167" t="n"/>
      <c r="V1" s="1168" t="n"/>
    </row>
    <row r="2" s="3154" customFormat="1" ht="21.75" customHeight="1">
      <c r="A2" s="1167" t="n"/>
      <c r="B2" s="1167" t="n"/>
      <c r="C2" s="1167" t="n"/>
      <c r="D2" s="1167" t="n"/>
      <c r="E2" s="1167" t="n"/>
      <c r="F2" s="1167" t="n"/>
      <c r="G2" s="1167" t="n"/>
      <c r="H2" s="1167" t="n"/>
      <c r="I2" s="1167" t="n"/>
      <c r="J2" s="1167" t="n"/>
      <c r="K2" s="1167" t="n"/>
      <c r="L2" s="1167" t="n"/>
      <c r="M2" s="1167" t="n"/>
      <c r="N2" s="1167" t="n"/>
      <c r="O2" s="1167" t="n"/>
      <c r="P2" s="1167" t="n"/>
      <c r="Q2" s="1167" t="n"/>
      <c r="R2" s="1167" t="n"/>
      <c r="S2" s="1167" t="n"/>
      <c r="T2" s="1167" t="n"/>
      <c r="U2" s="1167" t="n"/>
      <c r="V2" s="1168" t="n"/>
    </row>
    <row r="3" s="3154" customFormat="1" ht="30.75" customHeight="1">
      <c r="A3" s="1167" t="n"/>
      <c r="B3" s="1167" t="n"/>
      <c r="C3" s="1167" t="n"/>
      <c r="D3" s="1167" t="n"/>
      <c r="E3" s="1167" t="n"/>
      <c r="F3" s="1167" t="n"/>
      <c r="G3" s="1167" t="n"/>
      <c r="H3" s="1167" t="n"/>
      <c r="I3" s="1167" t="n"/>
      <c r="J3" s="1167" t="n"/>
      <c r="K3" s="1167" t="n"/>
      <c r="L3" s="1167" t="n"/>
      <c r="M3" s="1167" t="n"/>
      <c r="N3" s="1167" t="n"/>
      <c r="O3" s="1167" t="n"/>
      <c r="P3" s="1167" t="n"/>
      <c r="Q3" s="1167" t="n"/>
      <c r="R3" s="1167" t="n"/>
      <c r="S3" s="1167" t="n"/>
      <c r="T3" s="1167" t="n"/>
      <c r="U3" s="1167" t="n"/>
      <c r="V3" s="1168" t="n"/>
    </row>
    <row r="4" s="3154" customFormat="1" ht="12" customHeight="1">
      <c r="A4" s="1167" t="n"/>
      <c r="B4" s="1167" t="n"/>
      <c r="C4" s="1167" t="n"/>
      <c r="D4" s="1167" t="n"/>
      <c r="E4" s="1167" t="n"/>
      <c r="F4" s="1167" t="n"/>
      <c r="G4" s="1167" t="n"/>
      <c r="H4" s="1167" t="n"/>
      <c r="I4" s="1167" t="n"/>
      <c r="J4" s="1167" t="n"/>
      <c r="K4" s="1167" t="n"/>
      <c r="L4" s="1167" t="n"/>
      <c r="M4" s="1167" t="n"/>
      <c r="N4" s="1167" t="n"/>
      <c r="O4" s="1167" t="n"/>
      <c r="P4" s="1167" t="n"/>
      <c r="Q4" s="1167" t="n"/>
      <c r="R4" s="1167" t="n"/>
      <c r="S4" s="1167" t="n"/>
      <c r="T4" s="1167" t="n"/>
      <c r="U4" s="1167" t="n"/>
      <c r="V4" s="1168" t="n"/>
    </row>
    <row r="5" s="3154" customFormat="1" ht="20.25" customHeight="1">
      <c r="A5" s="1167" t="n"/>
      <c r="B5" s="1167" t="n"/>
      <c r="C5" s="1167" t="n"/>
      <c r="D5" s="1167" t="n"/>
      <c r="E5" s="1167" t="n"/>
      <c r="F5" s="1167" t="n"/>
      <c r="G5" s="1167" t="n"/>
      <c r="H5" s="1167" t="n"/>
      <c r="I5" s="1167" t="n"/>
      <c r="J5" s="1167" t="n"/>
      <c r="K5" s="1167" t="n"/>
      <c r="L5" s="1167" t="n"/>
      <c r="M5" s="1167" t="n"/>
      <c r="N5" s="1167" t="n"/>
      <c r="O5" s="1167" t="n"/>
      <c r="P5" s="1167" t="n"/>
      <c r="Q5" s="1167" t="n"/>
      <c r="R5" s="1167" t="n"/>
      <c r="S5" s="1167" t="n"/>
      <c r="T5" s="1167" t="n"/>
      <c r="U5" s="1167" t="n"/>
      <c r="V5" s="1168" t="n"/>
    </row>
    <row r="6" s="3154" customFormat="1" ht="15.75" customHeight="1">
      <c r="A6" s="1167" t="n"/>
      <c r="B6" s="1167" t="n"/>
      <c r="C6" s="1167" t="n"/>
      <c r="D6" s="1167" t="n"/>
      <c r="E6" s="1167" t="n"/>
      <c r="F6" s="1167" t="n"/>
      <c r="G6" s="1167" t="n"/>
      <c r="H6" s="1167" t="n"/>
      <c r="I6" s="1167" t="n"/>
      <c r="J6" s="1167" t="n"/>
      <c r="K6" s="1167" t="n"/>
      <c r="L6" s="1167" t="n"/>
      <c r="M6" s="1167" t="n"/>
      <c r="N6" s="1167" t="n"/>
      <c r="O6" s="1167" t="n"/>
      <c r="P6" s="1167" t="n"/>
      <c r="Q6" s="1167" t="n"/>
      <c r="R6" s="1167" t="n"/>
      <c r="S6" s="1167" t="n"/>
      <c r="T6" s="1167" t="n"/>
      <c r="U6" s="1167" t="n"/>
      <c r="V6" s="1168" t="n"/>
    </row>
    <row r="7" s="3154" customFormat="1" ht="18" customHeight="1">
      <c r="A7" s="1167" t="n"/>
      <c r="B7" s="1167" t="n"/>
      <c r="C7" s="1167" t="n"/>
      <c r="D7" s="1167" t="n"/>
      <c r="E7" s="1167" t="n"/>
      <c r="F7" s="638" t="n">
        <v>1</v>
      </c>
      <c r="G7" s="638" t="n">
        <v>0</v>
      </c>
      <c r="H7" s="1167" t="n"/>
      <c r="I7" s="1167" t="n"/>
      <c r="J7" s="1167" t="n"/>
      <c r="K7" s="1167" t="n"/>
      <c r="L7" s="1167" t="n"/>
      <c r="M7" s="1167" t="n"/>
      <c r="N7" s="1167" t="n"/>
      <c r="O7" s="1167" t="n"/>
      <c r="P7" s="1167" t="n"/>
      <c r="Q7" s="1167" t="n"/>
      <c r="R7" s="1167" t="n"/>
      <c r="S7" s="1167" t="n"/>
      <c r="T7" s="1167" t="n"/>
      <c r="U7" s="1167" t="n"/>
      <c r="V7" s="1168" t="n"/>
    </row>
    <row r="8" s="3154" customFormat="1" ht="16.5" customHeight="1">
      <c r="A8" s="1167" t="n"/>
      <c r="B8" s="1167" t="n"/>
      <c r="C8" s="1167" t="n"/>
      <c r="D8" s="1167" t="n"/>
      <c r="E8" s="64" t="inlineStr">
        <is>
          <t xml:space="preserve">Deal Structure Overview (Site Location)</t>
        </is>
      </c>
      <c r="F8" s="639" t="inlineStr">
        <is>
          <t xml:space="preserve">Rooms</t>
        </is>
      </c>
      <c r="G8" s="639" t="inlineStr">
        <is>
          <t xml:space="preserve">Other</t>
        </is>
      </c>
      <c r="H8" s="640" t="inlineStr">
        <is>
          <t xml:space="preserve">Total</t>
        </is>
      </c>
      <c r="I8" s="641" t="n"/>
      <c r="J8" s="1167" t="n"/>
      <c r="K8" s="642" t="n"/>
      <c r="L8" s="1167" t="n"/>
      <c r="M8" s="1167" t="n"/>
      <c r="N8" s="1167" t="n"/>
      <c r="O8" s="1167" t="n"/>
      <c r="P8" s="1167" t="n"/>
      <c r="Q8" s="1167" t="n"/>
      <c r="R8" s="1167" t="n"/>
      <c r="S8" s="1167" t="n"/>
      <c r="T8" s="1167" t="n"/>
      <c r="U8" s="1167" t="n"/>
      <c r="V8" s="1168" t="n"/>
    </row>
    <row r="9" s="3154" customFormat="1" ht="16.5" customHeight="1">
      <c r="A9" s="1167" t="n"/>
      <c r="B9" s="1167" t="n"/>
      <c r="C9" s="1167" t="n"/>
      <c r="D9" s="1167" t="n"/>
      <c r="E9" s="643" t="n"/>
      <c r="F9" s="644" t="n">
        <f>'Assumptions'!C75</f>
        <v>100</v>
      </c>
      <c r="G9" s="645" t="n">
        <v>0</v>
      </c>
      <c r="H9" s="646" t="n">
        <f>F9+G9</f>
        <v>100</v>
      </c>
      <c r="I9" s="646" t="n"/>
      <c r="J9" s="647" t="n"/>
      <c r="K9" s="4538" t="n">
        <v>100</v>
      </c>
      <c r="L9" s="649" t="n">
        <f>F9</f>
        <v>100</v>
      </c>
      <c r="M9" s="650" t="str"/>
      <c r="N9" s="650" t="n"/>
      <c r="O9" s="1167" t="n"/>
      <c r="P9" s="1167" t="n"/>
      <c r="Q9" s="1167" t="n"/>
      <c r="R9" s="1167" t="n"/>
      <c r="S9" s="1167" t="n"/>
      <c r="T9" s="1167" t="n"/>
      <c r="U9" s="1167" t="n"/>
      <c r="V9" s="1168" t="n"/>
    </row>
    <row r="10" s="3154" customFormat="1" ht="15.75" customHeight="1">
      <c r="A10" s="1167" t="n"/>
      <c r="B10" s="1167" t="n"/>
      <c r="C10" s="1167" t="n"/>
      <c r="D10" s="1167" t="n"/>
      <c r="E10" s="64" t="str">
        <f>"Sleep Space - Austin, TX Generic "&amp;'Assumptions'!C75&amp;"-Key Hotel ("&amp;'Assumptions'!C72&amp;" Economy Plus / "&amp;'Assumptions'!C73&amp;" Economy)"</f>
        <v>Sleep Space - Austin, TX Generic 100-Key Hotel (50 Economy Plus / 50 Economy)</v>
      </c>
      <c r="F10" s="644" t="n"/>
      <c r="G10" s="644" t="n"/>
      <c r="H10" s="651" t="n"/>
      <c r="I10" s="651" t="n"/>
      <c r="J10" s="1167" t="n"/>
      <c r="K10" s="652" t="n"/>
      <c r="L10" s="1167" t="n"/>
      <c r="M10" s="1167" t="n"/>
      <c r="N10" s="1167" t="n"/>
      <c r="O10" s="1167" t="n"/>
      <c r="P10" s="1167" t="n"/>
      <c r="Q10" s="1167" t="n"/>
      <c r="R10" s="1167" t="n"/>
      <c r="S10" s="1167" t="n"/>
      <c r="T10" s="1167" t="n"/>
      <c r="U10" s="1167" t="n"/>
      <c r="V10" s="1168" t="n"/>
    </row>
    <row r="11" s="3154" customFormat="1" ht="15" customHeight="1">
      <c r="A11" s="1167" t="n"/>
      <c r="B11" s="1167" t="n"/>
      <c r="C11" s="1167" t="n"/>
      <c r="D11" s="1167" t="n"/>
      <c r="E11" s="643" t="n"/>
      <c r="F11" s="1167" t="n"/>
      <c r="G11" s="1167" t="n"/>
      <c r="H11" s="1167" t="n"/>
      <c r="I11" s="1167" t="n"/>
      <c r="J11" s="1167" t="n"/>
      <c r="K11" s="1167" t="n"/>
      <c r="L11" s="1167" t="n"/>
      <c r="M11" s="1167" t="n"/>
      <c r="N11" s="1167" t="n"/>
      <c r="O11" s="1167" t="n"/>
      <c r="P11" s="1167" t="n"/>
      <c r="Q11" s="1167" t="n"/>
      <c r="R11" s="1167" t="n"/>
      <c r="S11" s="1167" t="n"/>
      <c r="T11" s="1167" t="n"/>
      <c r="U11" s="1167" t="n"/>
      <c r="V11" s="1168" t="n"/>
    </row>
    <row r="12" s="3154" customFormat="1" ht="15" customHeight="1">
      <c r="A12" s="125" t="n"/>
      <c r="B12" s="125" t="n"/>
      <c r="C12" s="125" t="n"/>
      <c r="D12" s="125" t="n"/>
      <c r="E12" s="1167" t="n"/>
      <c r="F12" s="125" t="n"/>
      <c r="G12" s="1167" t="n"/>
      <c r="H12" s="1167" t="n"/>
      <c r="I12" s="1167" t="n"/>
      <c r="J12" s="1167" t="n"/>
      <c r="K12" s="1167" t="n"/>
      <c r="L12" s="1167" t="n"/>
      <c r="M12" s="1167" t="n"/>
      <c r="N12" s="1167" t="n"/>
      <c r="O12" s="1167" t="n"/>
      <c r="P12" s="1167" t="n"/>
      <c r="Q12" s="1167" t="n"/>
      <c r="R12" s="1167" t="n"/>
      <c r="S12" s="1167" t="n"/>
      <c r="T12" s="1167" t="n"/>
      <c r="U12" s="1167" t="n"/>
      <c r="V12" s="1168" t="n"/>
    </row>
    <row r="13" s="3154" customFormat="1" ht="15.75" customHeight="1">
      <c r="A13" s="653" t="n"/>
      <c r="B13" s="654" t="n"/>
      <c r="C13" s="654" t="n"/>
      <c r="D13" s="654" t="n"/>
      <c r="E13" s="655" t="n"/>
      <c r="F13" s="3365" t="n"/>
      <c r="G13" s="657" t="n"/>
      <c r="H13" s="125" t="n"/>
      <c r="I13" s="125" t="n"/>
      <c r="J13" s="125" t="inlineStr">
        <is>
          <t>Source: CitizenM by Marriott 2026 FDD Item 7; normalized to 100 rooms; excludes FDD items marked not determinable/varies.</t>
        </is>
      </c>
      <c r="K13" s="3366" t="n"/>
      <c r="L13" s="3366" t="n"/>
      <c r="M13" s="3366" t="n"/>
      <c r="N13" s="3366" t="n"/>
      <c r="O13" s="1167" t="n"/>
      <c r="P13" s="1167" t="n"/>
      <c r="Q13" s="1167" t="n"/>
      <c r="R13" s="1167" t="n"/>
      <c r="S13" s="1167" t="n"/>
      <c r="T13" s="1167" t="n"/>
      <c r="U13" s="1167" t="n"/>
      <c r="V13" s="1168" t="n"/>
    </row>
    <row r="14" s="3154" customFormat="1" ht="16.5" customHeight="1">
      <c r="A14" s="129" t="n"/>
      <c r="B14" s="129" t="n"/>
      <c r="C14" s="129" t="n"/>
      <c r="D14" s="41" t="n"/>
      <c r="E14" s="659" t="n"/>
      <c r="F14" s="660" t="inlineStr">
        <is>
          <t xml:space="preserve">Notes</t>
        </is>
      </c>
      <c r="G14" s="661" t="n"/>
      <c r="H14" s="662" t="n"/>
      <c r="I14" s="663" t="n"/>
      <c r="J14" s="664" t="n"/>
      <c r="K14" s="665" t="inlineStr">
        <is>
          <t>CitizenM by Marriott 2026 FDD</t>
        </is>
      </c>
      <c r="L14" s="665" t="inlineStr">
        <is>
          <t xml:space="preserve"/>
        </is>
      </c>
      <c r="M14" s="665" t="inlineStr">
        <is>
          <t>CitizenM by Marriott 2026 FDD</t>
        </is>
      </c>
      <c r="N14" s="665" t="inlineStr">
        <is>
          <t xml:space="preserve"/>
        </is>
      </c>
      <c r="O14" s="666" t="n"/>
      <c r="P14" s="1167" t="n"/>
      <c r="Q14" s="1167" t="n"/>
      <c r="R14" s="1167" t="n"/>
      <c r="S14" s="1167" t="n"/>
      <c r="T14" s="1167" t="n"/>
      <c r="U14" s="1167" t="n"/>
      <c r="V14" s="1168" t="n"/>
    </row>
    <row r="15" s="3154" customFormat="1" ht="15.75" customHeight="1">
      <c r="A15" s="1167" t="n"/>
      <c r="B15" s="1167" t="n"/>
      <c r="C15" s="1167" t="n"/>
      <c r="D15" s="1167" t="n"/>
      <c r="E15" s="667" t="n"/>
      <c r="F15" s="668" t="n"/>
      <c r="G15" s="669" t="inlineStr">
        <is>
          <t xml:space="preserve">JYI</t>
        </is>
      </c>
      <c r="H15" s="670" t="inlineStr">
        <is>
          <t xml:space="preserve">Per key</t>
        </is>
      </c>
      <c r="I15" s="646" t="n"/>
      <c r="J15" s="671" t="n"/>
      <c r="K15" s="672" t="inlineStr">
        <is>
          <t xml:space="preserve">Lowest</t>
        </is>
      </c>
      <c r="L15" s="673" t="inlineStr">
        <is>
          <t xml:space="preserve">Per key</t>
        </is>
      </c>
      <c r="M15" s="673" t="inlineStr">
        <is>
          <t xml:space="preserve">Highest</t>
        </is>
      </c>
      <c r="N15" s="673" t="inlineStr">
        <is>
          <t xml:space="preserve">Per key</t>
        </is>
      </c>
      <c r="O15" s="1167" t="n"/>
      <c r="P15" s="1167" t="n"/>
      <c r="Q15" s="1167" t="n"/>
      <c r="R15" s="1167" t="n"/>
      <c r="S15" s="1167" t="n"/>
      <c r="T15" s="1167" t="n"/>
      <c r="U15" s="1167" t="n"/>
      <c r="V15" s="1168" t="n"/>
    </row>
    <row r="16" s="3154" customFormat="1" ht="15" customHeight="1">
      <c r="A16" s="1167" t="n"/>
      <c r="B16" s="1167" t="n"/>
      <c r="C16" s="674" t="inlineStr">
        <is>
          <t xml:space="preserve">GP</t>
        </is>
      </c>
      <c r="D16" s="675" t="n"/>
      <c r="E16" s="676" t="inlineStr">
        <is>
          <t xml:space="preserve">Additional Funds for 3 months- initial period</t>
        </is>
      </c>
      <c r="F16" s="677" t="n"/>
      <c r="G16" s="3367" t="n">
        <v>150000</v>
      </c>
      <c r="H16" s="3368" t="n">
        <f t="array" ref="H16">G16/$H$9</f>
        <v>1500</v>
      </c>
      <c r="I16" s="3369" t="n"/>
      <c r="J16" s="3370" t="n"/>
      <c r="K16" s="3371">
        <f>3000*$K$9</f>
        <v>300000</v>
      </c>
      <c r="L16" s="3372">
        <f>K16/$K$9</f>
        <v>3000</v>
      </c>
      <c r="M16" s="3372">
        <f>5000*$K$9</f>
        <v>500000</v>
      </c>
      <c r="N16" s="3372">
        <f>M16/$K$9</f>
        <v>5000</v>
      </c>
      <c r="O16" s="684" t="n"/>
      <c r="P16" s="1167" t="n"/>
      <c r="Q16" s="1167" t="n"/>
      <c r="R16" s="1167" t="n"/>
      <c r="S16" s="1167" t="n"/>
      <c r="T16" s="1167" t="n"/>
      <c r="U16" s="1167" t="n"/>
      <c r="V16" s="685" t="n"/>
    </row>
    <row r="17" s="3154" customFormat="1" ht="15" customHeight="1">
      <c r="A17" s="1167" t="n"/>
      <c r="B17" s="1167" t="n"/>
      <c r="C17" s="674" t="inlineStr">
        <is>
          <t xml:space="preserve">GP &amp; ES</t>
        </is>
      </c>
      <c r="D17" s="686" t="n">
        <v>400</v>
      </c>
      <c r="E17" s="687" t="inlineStr">
        <is>
          <t xml:space="preserve">Application Fee- Franchise</t>
        </is>
      </c>
      <c r="F17" s="688" t="n"/>
      <c r="G17" s="3373" t="n">
        <v>10000</v>
      </c>
      <c r="H17" s="3372" t="n">
        <f t="array" ref="H17">G17/$H$9</f>
        <v>100</v>
      </c>
      <c r="I17" s="3374" t="n"/>
      <c r="J17" s="3375" t="n"/>
      <c r="K17" s="3371">
        <f>90000+MAX($K$9-150,0)*500</f>
        <v>90000</v>
      </c>
      <c r="L17" s="3372">
        <f>K17/$K$9</f>
        <v>900</v>
      </c>
      <c r="M17" s="3372">
        <f>90000+MAX($K$9-150,0)*500</f>
        <v>90000</v>
      </c>
      <c r="N17" s="3372">
        <f>M17/$K$9</f>
        <v>900</v>
      </c>
      <c r="O17" s="692" t="n"/>
      <c r="P17" s="1167" t="n"/>
      <c r="Q17" s="1167" t="n"/>
      <c r="R17" s="1167" t="n"/>
      <c r="S17" s="1167" t="n"/>
      <c r="T17" s="1167" t="n"/>
      <c r="U17" s="1167" t="n"/>
      <c r="V17" s="693" t="n"/>
    </row>
    <row r="18" s="3154" customFormat="1" ht="15" customHeight="1">
      <c r="A18" s="125" t="n"/>
      <c r="B18" s="125" t="n"/>
      <c r="C18" s="694" t="inlineStr">
        <is>
          <t xml:space="preserve">ES</t>
        </is>
      </c>
      <c r="D18" s="695" t="n"/>
      <c r="E18" s="696" t="inlineStr">
        <is>
          <t xml:space="preserve">Architect fees, Design and Engineering</t>
        </is>
      </c>
      <c r="F18" s="677" t="n"/>
      <c r="G18" s="3376" t="n">
        <v>150000</v>
      </c>
      <c r="H18" s="3372" t="n">
        <f t="array" ref="H18">G18/$H$9</f>
        <v>1500</v>
      </c>
      <c r="I18" s="3377" t="n"/>
      <c r="J18" s="3370" t="n"/>
      <c r="K18" s="3371">
        <f>1491200</f>
        <v>1491200</v>
      </c>
      <c r="L18" s="3372">
        <f>K18/$K$9</f>
        <v>14912</v>
      </c>
      <c r="M18" s="3372">
        <f>3209500</f>
        <v>3209500</v>
      </c>
      <c r="N18" s="3372">
        <f>M18/$K$9</f>
        <v>32095</v>
      </c>
      <c r="O18" s="699" t="n"/>
      <c r="P18" s="1167" t="n"/>
      <c r="Q18" s="1167" t="n"/>
      <c r="R18" s="1167" t="n"/>
      <c r="S18" s="1167" t="n"/>
      <c r="T18" s="1167" t="n"/>
      <c r="U18" s="1167" t="n"/>
      <c r="V18" s="685" t="n"/>
    </row>
    <row r="19" s="3154" customFormat="1" ht="15.75" customHeight="1">
      <c r="A19" s="700" t="n">
        <v>0.05</v>
      </c>
      <c r="B19" s="701" t="n"/>
      <c r="C19" s="702" t="inlineStr">
        <is>
          <t xml:space="preserve">N/A</t>
        </is>
      </c>
      <c r="D19" s="703" t="n">
        <v>0.05</v>
      </c>
      <c r="E19" s="704" t="inlineStr">
        <is>
          <t xml:space="preserve">Construction Contingency (inside Facility Construction via CB-Summary only)</t>
        </is>
      </c>
      <c r="F19" s="705" t="n"/>
      <c r="G19" s="3378" t="n">
        <v>0</v>
      </c>
      <c r="H19" s="3379" t="n">
        <f t="array" ref="H19">G19/$H$9</f>
        <v>0</v>
      </c>
      <c r="I19" s="3380"/>
      <c r="J19" s="3370" t="inlineStr">
        <is>
          <t>FDD hard-cost contingency is not determinable; excluded from total.</t>
        </is>
      </c>
      <c r="K19" s="3371">
        <f>0</f>
        <v>0</v>
      </c>
      <c r="L19" s="3372">
        <f>K19/$K$9</f>
        <v>0</v>
      </c>
      <c r="M19" s="3372">
        <f>0</f>
        <v>0</v>
      </c>
      <c r="N19" s="3372">
        <f>M19/$K$9</f>
        <v>0</v>
      </c>
      <c r="O19" s="699" t="n"/>
      <c r="P19" s="1167" t="n"/>
      <c r="Q19" s="1167" t="n"/>
      <c r="R19" s="1167" t="n"/>
      <c r="S19" s="1167" t="n"/>
      <c r="T19" s="1167" t="n"/>
      <c r="U19" s="1167" t="n"/>
      <c r="V19" s="685" t="n"/>
    </row>
    <row r="20" s="3154" customFormat="1" ht="15" customHeight="1">
      <c r="A20" s="129" t="n"/>
      <c r="B20" s="3381" t="n">
        <v>58000</v>
      </c>
      <c r="C20" s="674" t="inlineStr">
        <is>
          <t xml:space="preserve">ES</t>
        </is>
      </c>
      <c r="D20" s="3382" t="n">
        <v>65000</v>
      </c>
      <c r="E20" s="704" t="inlineStr">
        <is>
          <t xml:space="preserve">Facility Construction</t>
        </is>
      </c>
      <c r="F20" s="688" t="n"/>
      <c r="G20" s="3383" t="n">
        <f>'CB-Summary'!B19</f>
        <v>4466416.099999999627471</v>
      </c>
      <c r="H20" s="3384" t="n">
        <f>G20/$H$9</f>
        <v>44664.160999999992782</v>
      </c>
      <c r="I20" s="3385" t="n">
        <v>35000</v>
      </c>
      <c r="J20" s="3375" t="n"/>
      <c r="K20" s="3371">
        <f>150400*$K$9</f>
        <v>15040000</v>
      </c>
      <c r="L20" s="3372">
        <f>K20/$K$9</f>
        <v>150400</v>
      </c>
      <c r="M20" s="3372">
        <f>269100*$K$9</f>
        <v>26910000</v>
      </c>
      <c r="N20" s="3372">
        <f>M20/$K$9</f>
        <v>269100</v>
      </c>
      <c r="O20" s="692" t="n"/>
      <c r="P20" s="1167" t="n"/>
      <c r="Q20" s="1167" t="n"/>
      <c r="R20" s="1167" t="n"/>
      <c r="S20" s="1167" t="n"/>
      <c r="T20" s="1167" t="n"/>
      <c r="U20" s="1167" t="n"/>
      <c r="V20" s="693" t="n"/>
    </row>
    <row r="21" s="3154" customFormat="1" ht="15" customHeight="1">
      <c r="A21" s="1167" t="n"/>
      <c r="B21" s="1167" t="n"/>
      <c r="C21" s="674" t="inlineStr">
        <is>
          <t xml:space="preserve">N/A</t>
        </is>
      </c>
      <c r="D21" s="1167" t="n"/>
      <c r="E21" s="714" t="inlineStr">
        <is>
          <t xml:space="preserve">Facility Improvements</t>
        </is>
      </c>
      <c r="F21" s="715" t="n"/>
      <c r="G21" s="3373" t="n"/>
      <c r="H21" s="3386" t="n">
        <f t="array" ref="H21">G21/$H$9</f>
        <v>0</v>
      </c>
      <c r="I21" s="3374" t="n"/>
      <c r="J21" s="3375" t="inlineStr">
        <is>
          <t>No separate FDD amount; included in construction where applicable.</t>
        </is>
      </c>
      <c r="K21" s="3371">
        <f>0</f>
        <v>0</v>
      </c>
      <c r="L21" s="3372">
        <f>K21/$K$9</f>
        <v>0</v>
      </c>
      <c r="M21" s="3372">
        <f>0</f>
        <v>0</v>
      </c>
      <c r="N21" s="3372">
        <f>M21/$K$9</f>
        <v>0</v>
      </c>
      <c r="O21" s="692" t="n"/>
      <c r="P21" s="1167" t="n"/>
      <c r="Q21" s="1167" t="n"/>
      <c r="R21" s="1167" t="n"/>
      <c r="S21" s="1167" t="n"/>
      <c r="T21" s="1167" t="n"/>
      <c r="U21" s="1167" t="n"/>
      <c r="V21" s="693" t="n"/>
    </row>
    <row r="22" s="3154" customFormat="1" ht="15" customHeight="1">
      <c r="A22" s="1167" t="n"/>
      <c r="B22" s="1167" t="n"/>
      <c r="C22" s="674" t="inlineStr">
        <is>
          <t xml:space="preserve">GP &amp; ES</t>
        </is>
      </c>
      <c r="D22" s="686" t="n">
        <v>6000</v>
      </c>
      <c r="E22" s="687" t="inlineStr">
        <is>
          <t xml:space="preserve">Furniture, Fixtures and Equipment (FF&amp;E)</t>
        </is>
      </c>
      <c r="F22" s="688" t="n"/>
      <c r="G22" s="3373" t="n">
        <f>'FFE-FF&amp;E'!J147</f>
        <v>271720.200000000011642</v>
      </c>
      <c r="H22" s="3372" t="n">
        <f>G22/$H$9</f>
        <v>2717.202000000000226</v>
      </c>
      <c r="I22" s="675" t="n"/>
      <c r="J22" s="3375" t="n"/>
      <c r="K22" s="3371">
        <f>29600*$K$9</f>
        <v>2960000</v>
      </c>
      <c r="L22" s="3372">
        <f>K22/$K$9</f>
        <v>29600</v>
      </c>
      <c r="M22" s="3372">
        <f>39800*$K$9</f>
        <v>3980000</v>
      </c>
      <c r="N22" s="3372">
        <f>M22/$K$9</f>
        <v>39800</v>
      </c>
      <c r="O22" s="692" t="n"/>
      <c r="P22" s="1167" t="n"/>
      <c r="Q22" s="1167" t="n"/>
      <c r="R22" s="1167" t="n"/>
      <c r="S22" s="1167" t="n"/>
      <c r="T22" s="1167" t="n"/>
      <c r="U22" s="1167" t="n"/>
      <c r="V22" s="693" t="n"/>
    </row>
    <row r="23" s="3154" customFormat="1" ht="15" customHeight="1">
      <c r="A23" s="1167" t="n"/>
      <c r="B23" s="1167" t="n"/>
      <c r="C23" s="674" t="inlineStr">
        <is>
          <t xml:space="preserve">FDD</t>
        </is>
      </c>
      <c r="D23" s="1167" t="n"/>
      <c r="E23" s="717" t="inlineStr">
        <is>
          <t xml:space="preserve">Grand Opening Advertising</t>
        </is>
      </c>
      <c r="F23" s="715" t="n"/>
      <c r="G23" s="3373" t="n">
        <v>30000</v>
      </c>
      <c r="H23" s="3372" t="n">
        <f t="array" ref="H23">G23/$H$9</f>
        <v>300</v>
      </c>
      <c r="I23" s="3374" t="n"/>
      <c r="J23" s="3375" t="n"/>
      <c r="K23" s="3371">
        <f>121000</f>
        <v>121000</v>
      </c>
      <c r="L23" s="3372">
        <f>K23/$K$9</f>
        <v>1210</v>
      </c>
      <c r="M23" s="3372">
        <f>156000</f>
        <v>156000</v>
      </c>
      <c r="N23" s="3372">
        <f>M23/$K$9</f>
        <v>1560</v>
      </c>
      <c r="O23" s="692" t="n"/>
      <c r="P23" s="1167" t="n"/>
      <c r="Q23" s="1167" t="n"/>
      <c r="R23" s="1167" t="n"/>
      <c r="S23" s="1167" t="n"/>
      <c r="T23" s="1167" t="n"/>
      <c r="U23" s="1167" t="n"/>
      <c r="V23" s="693" t="n"/>
    </row>
    <row r="24" s="3154" customFormat="1" ht="15" customHeight="1">
      <c r="A24" s="1167" t="n"/>
      <c r="B24" s="1167" t="n"/>
      <c r="C24" s="674" t="inlineStr">
        <is>
          <t xml:space="preserve">FDD</t>
        </is>
      </c>
      <c r="D24" s="1167" t="n"/>
      <c r="E24" s="718" t="inlineStr">
        <is>
          <t xml:space="preserve">Insurance Carrier- Before Opening</t>
        </is>
      </c>
      <c r="F24" s="715" t="n"/>
      <c r="G24" s="3373" t="n">
        <f t="array" ref="G24">M24</f>
        <v>0</v>
      </c>
      <c r="H24" s="3372" t="n">
        <f t="array" ref="H24">G24/$H$9</f>
        <v>0</v>
      </c>
      <c r="I24" s="3374" t="n"/>
      <c r="J24" s="3375" t="inlineStr">
        <is>
          <t>FDD insurance amount varies; excluded from total.</t>
        </is>
      </c>
      <c r="K24" s="3371">
        <f>0</f>
        <v>0</v>
      </c>
      <c r="L24" s="3372">
        <f>K24/$K$9</f>
        <v>0</v>
      </c>
      <c r="M24" s="3372">
        <f>0</f>
        <v>0</v>
      </c>
      <c r="N24" s="3372">
        <f>M24/$K$9</f>
        <v>0</v>
      </c>
      <c r="O24" s="692" t="n"/>
      <c r="P24" s="1167" t="n"/>
      <c r="Q24" s="1167" t="n"/>
      <c r="R24" s="1167" t="n"/>
      <c r="S24" s="1167" t="n"/>
      <c r="T24" s="1167" t="n"/>
      <c r="U24" s="1167" t="n"/>
      <c r="V24" s="693" t="n"/>
    </row>
    <row r="25" s="3154" customFormat="1" ht="15" customHeight="1">
      <c r="A25" s="1167" t="n"/>
      <c r="B25" s="1167" t="n"/>
      <c r="C25" s="674" t="inlineStr">
        <is>
          <t xml:space="preserve">FDD</t>
        </is>
      </c>
      <c r="D25" s="675" t="n"/>
      <c r="E25" s="704" t="inlineStr">
        <is>
          <t xml:space="preserve">Integration Fee</t>
        </is>
      </c>
      <c r="F25" s="719" t="n"/>
      <c r="G25" s="3373" t="n">
        <v>75000</v>
      </c>
      <c r="H25" s="3372" t="n">
        <f t="array" ref="H25">G25/$H$9</f>
        <v>750</v>
      </c>
      <c r="I25" s="3374" t="n"/>
      <c r="J25" s="3375" t="n"/>
      <c r="K25" s="3371">
        <f>5840+62*$K$9</f>
        <v>12040</v>
      </c>
      <c r="L25" s="3372">
        <f>K25/$K$9</f>
        <v>120.4</v>
      </c>
      <c r="M25" s="3372">
        <f>12205+76*$K$9</f>
        <v>19805</v>
      </c>
      <c r="N25" s="3372">
        <f>M25/$K$9</f>
        <v>198.05</v>
      </c>
      <c r="O25" s="3373" t="n"/>
      <c r="P25" s="1167" t="n"/>
      <c r="Q25" s="1167" t="n"/>
      <c r="R25" s="1167" t="n"/>
      <c r="S25" s="1167" t="n"/>
      <c r="T25" s="1167" t="n"/>
      <c r="U25" s="1167" t="n"/>
      <c r="V25" s="720" t="n"/>
    </row>
    <row r="26" s="3154" customFormat="1" ht="15" customHeight="1">
      <c r="A26" s="1167" t="n"/>
      <c r="B26" s="1167" t="n"/>
      <c r="C26" s="674" t="inlineStr">
        <is>
          <t xml:space="preserve">Local/ FDD</t>
        </is>
      </c>
      <c r="D26" s="675" t="n"/>
      <c r="E26" s="704" t="inlineStr">
        <is>
          <t xml:space="preserve">Land</t>
        </is>
      </c>
      <c r="F26" s="721" t="n"/>
      <c r="G26" s="3387" t="n">
        <v>1200000</v>
      </c>
      <c r="H26" s="3372" t="n">
        <f t="array" ref="H26">G26/$H$9</f>
        <v>12000</v>
      </c>
      <c r="I26" s="3388" t="n"/>
      <c r="J26" s="3370" t="inlineStr">
        <is>
          <t>FDD real estate cost is not determinable; excluded from total.</t>
        </is>
      </c>
      <c r="K26" s="3389">
        <f>0</f>
        <v>0</v>
      </c>
      <c r="L26" s="3372">
        <f>K26/$K$9</f>
        <v>0</v>
      </c>
      <c r="M26" s="3390">
        <f>0</f>
        <v>0</v>
      </c>
      <c r="N26" s="3372">
        <f>M26/$K$9</f>
        <v>0</v>
      </c>
      <c r="O26" s="699" t="n"/>
      <c r="P26" s="1167" t="n"/>
      <c r="Q26" s="1167" t="n"/>
      <c r="R26" s="1167" t="n"/>
      <c r="S26" s="1167" t="n"/>
      <c r="T26" s="1167" t="n"/>
      <c r="U26" s="1167" t="n"/>
      <c r="V26" s="726" t="n"/>
    </row>
    <row r="27" s="3154" customFormat="1" ht="15" customHeight="1">
      <c r="A27" s="1167" t="n"/>
      <c r="B27" s="1167" t="n"/>
      <c r="C27" s="674" t="inlineStr">
        <is>
          <t xml:space="preserve">GP</t>
        </is>
      </c>
      <c r="D27" s="1167" t="n"/>
      <c r="E27" s="714" t="inlineStr">
        <is>
          <t xml:space="preserve">Market Study- Paid by Developer</t>
        </is>
      </c>
      <c r="F27" s="727" t="n"/>
      <c r="G27" s="3373" t="n">
        <v>10000</v>
      </c>
      <c r="H27" s="3372" t="n">
        <f t="array" ref="H27">G27/$H$9</f>
        <v>100</v>
      </c>
      <c r="I27" s="3374" t="n"/>
      <c r="J27" s="3375" t="n"/>
      <c r="K27" s="3371">
        <f>6000</f>
        <v>6000</v>
      </c>
      <c r="L27" s="3372">
        <f>K27/$K$9</f>
        <v>60</v>
      </c>
      <c r="M27" s="3372">
        <f>18000</f>
        <v>18000</v>
      </c>
      <c r="N27" s="3372">
        <f>M27/$K$9</f>
        <v>180</v>
      </c>
      <c r="O27" s="692" t="n"/>
      <c r="P27" s="1167" t="n"/>
      <c r="Q27" s="1167" t="n"/>
      <c r="R27" s="1167" t="n"/>
      <c r="S27" s="1167" t="n"/>
      <c r="T27" s="1167" t="n"/>
      <c r="U27" s="1167" t="n"/>
      <c r="V27" s="1168" t="n"/>
    </row>
    <row r="28" s="3154" customFormat="1" ht="15" customHeight="1">
      <c r="A28" s="1167" t="n"/>
      <c r="B28" s="1167" t="n"/>
      <c r="C28" s="674" t="inlineStr">
        <is>
          <t xml:space="preserve">GP &amp; ES/ FDD</t>
        </is>
      </c>
      <c r="D28" s="675" t="n"/>
      <c r="E28" s="704" t="inlineStr">
        <is>
          <t xml:space="preserve">Misc. Non Tangibles- Supplies, professionals- opening supplies</t>
        </is>
      </c>
      <c r="F28" s="728" t="n"/>
      <c r="G28" s="3387" t="n">
        <v>30000</v>
      </c>
      <c r="H28" s="3372" t="n">
        <f t="array" ref="H28">G28/$H$9</f>
        <v>300</v>
      </c>
      <c r="I28" s="3374" t="n"/>
      <c r="J28" s="3375" t="n"/>
      <c r="K28" s="3371">
        <f>295300</f>
        <v>295300</v>
      </c>
      <c r="L28" s="3372">
        <f>K28/$K$9</f>
        <v>2953</v>
      </c>
      <c r="M28" s="3372">
        <f>374700</f>
        <v>374700</v>
      </c>
      <c r="N28" s="3372">
        <f>M28/$K$9</f>
        <v>3747</v>
      </c>
      <c r="O28" s="692" t="n"/>
      <c r="P28" s="1167" t="n"/>
      <c r="Q28" s="1167" t="n"/>
      <c r="R28" s="1167" t="n"/>
      <c r="S28" s="1167" t="n"/>
      <c r="T28" s="1167" t="n"/>
      <c r="U28" s="1167" t="n"/>
      <c r="V28" s="1168" t="n"/>
    </row>
    <row r="29" s="3154" customFormat="1" ht="15" customHeight="1">
      <c r="A29" s="1167" t="n"/>
      <c r="B29" s="1167" t="n"/>
      <c r="C29" s="674" t="inlineStr">
        <is>
          <t xml:space="preserve">GP &amp; ES/ FDD</t>
        </is>
      </c>
      <c r="D29" s="1167" t="n"/>
      <c r="E29" s="714" t="inlineStr">
        <is>
          <t xml:space="preserve">Opening TBA</t>
        </is>
      </c>
      <c r="F29" s="727" t="n"/>
      <c r="G29" s="3373" t="n">
        <v>0</v>
      </c>
      <c r="H29" s="3372" t="n">
        <f t="array" ref="H29">G29/$H$9</f>
        <v>0</v>
      </c>
      <c r="I29" s="3374" t="n"/>
      <c r="J29" s="3375" t="n"/>
      <c r="K29" s="3371">
        <f>2300*$K$9</f>
        <v>230000</v>
      </c>
      <c r="L29" s="3372">
        <f>K29/$K$9</f>
        <v>2300</v>
      </c>
      <c r="M29" s="3372">
        <f>3500*$K$9</f>
        <v>350000</v>
      </c>
      <c r="N29" s="3372">
        <f>M29/$K$9</f>
        <v>3500</v>
      </c>
      <c r="O29" s="692" t="n"/>
      <c r="P29" s="1167" t="n"/>
      <c r="Q29" s="1167" t="n"/>
      <c r="R29" s="1167" t="n"/>
      <c r="S29" s="1167" t="n"/>
      <c r="T29" s="1167" t="n"/>
      <c r="U29" s="1167" t="n"/>
      <c r="V29" s="1168" t="n"/>
    </row>
    <row r="30" s="3154" customFormat="1" ht="15" customHeight="1">
      <c r="A30" s="1167" t="n"/>
      <c r="B30" s="1167" t="n"/>
      <c r="C30" s="674" t="inlineStr">
        <is>
          <t xml:space="preserve">GP &amp; ES/ FDD</t>
        </is>
      </c>
      <c r="D30" s="675" t="n"/>
      <c r="E30" s="704" t="inlineStr">
        <is>
          <t xml:space="preserve">Permits, Licenses, Deposits and related fees</t>
        </is>
      </c>
      <c r="F30" s="728" t="n"/>
      <c r="G30" s="3387" t="n">
        <v>100000</v>
      </c>
      <c r="H30" s="3372" t="n">
        <f t="array" ref="H30">G30/$H$9</f>
        <v>1000</v>
      </c>
      <c r="I30" s="3374" t="n"/>
      <c r="J30" s="3375" t="inlineStr">
        <is>
          <t>FDD building permit/tap/impact fees are not determinable; excluded from total.</t>
        </is>
      </c>
      <c r="K30" s="3371">
        <f>0</f>
        <v>0</v>
      </c>
      <c r="L30" s="3372">
        <f>K30/$K$9</f>
        <v>0</v>
      </c>
      <c r="M30" s="3372">
        <f>0</f>
        <v>0</v>
      </c>
      <c r="N30" s="3372">
        <f>M30/$K$9</f>
        <v>0</v>
      </c>
      <c r="O30" s="692" t="n"/>
      <c r="P30" s="1167" t="n"/>
      <c r="Q30" s="1167" t="n"/>
      <c r="R30" s="1167" t="n"/>
      <c r="S30" s="1167" t="n"/>
      <c r="T30" s="1167" t="n"/>
      <c r="U30" s="1167" t="n"/>
      <c r="V30" s="1168" t="n"/>
    </row>
    <row r="31" s="3154" customFormat="1" ht="15" customHeight="1">
      <c r="A31" s="1167" t="n"/>
      <c r="B31" s="1167" t="n"/>
      <c r="C31" s="674" t="inlineStr">
        <is>
          <t xml:space="preserve">GP &amp; ES/ FDD</t>
        </is>
      </c>
      <c r="D31" s="675" t="n"/>
      <c r="E31" s="704" t="inlineStr">
        <is>
          <t xml:space="preserve">Phase 1 Environmental study</t>
        </is>
      </c>
      <c r="F31" s="728" t="n"/>
      <c r="G31" s="3387" t="n">
        <v>50000</v>
      </c>
      <c r="H31" s="3372" t="n">
        <f t="array" ref="H31">G31/$H$9</f>
        <v>500</v>
      </c>
      <c r="I31" s="3374" t="n"/>
      <c r="J31" s="3375" t="inlineStr">
        <is>
          <t>No separate Phase I environmental estimate in CitizenM Item 7.</t>
        </is>
      </c>
      <c r="K31" s="3371">
        <f>0</f>
        <v>0</v>
      </c>
      <c r="L31" s="3372">
        <f>K31/$K$9</f>
        <v>0</v>
      </c>
      <c r="M31" s="3372">
        <f>0</f>
        <v>0</v>
      </c>
      <c r="N31" s="3372">
        <f>M31/$K$9</f>
        <v>0</v>
      </c>
      <c r="O31" s="50" t="n"/>
      <c r="P31" s="1167" t="n"/>
      <c r="Q31" s="1167" t="n"/>
      <c r="R31" s="729" t="n"/>
      <c r="S31" s="3391" t="n"/>
      <c r="T31" s="1167" t="n"/>
      <c r="U31" s="1167" t="n"/>
      <c r="V31" s="1168" t="n"/>
    </row>
    <row r="32" s="3154" customFormat="1" ht="15" customHeight="1">
      <c r="A32" s="1167" t="n"/>
      <c r="B32" s="1167" t="n"/>
      <c r="C32" s="674" t="inlineStr">
        <is>
          <t xml:space="preserve">GP &amp; ES/ FDD</t>
        </is>
      </c>
      <c r="D32" s="675" t="n"/>
      <c r="E32" s="704" t="inlineStr">
        <is>
          <t xml:space="preserve">Signage</t>
        </is>
      </c>
      <c r="F32" s="728" t="n"/>
      <c r="G32" s="3387" t="n">
        <v>110000</v>
      </c>
      <c r="H32" s="3372" t="n">
        <f t="array" ref="H32">G32/$H$9</f>
        <v>1100</v>
      </c>
      <c r="I32" s="3374" t="n"/>
      <c r="J32" s="3375" t="inlineStr">
        <is>
          <t>Exterior signs are included in CitizenM building construction estimate.</t>
        </is>
      </c>
      <c r="K32" s="3371">
        <f>0</f>
        <v>0</v>
      </c>
      <c r="L32" s="3372">
        <f>K32/$K$9</f>
        <v>0</v>
      </c>
      <c r="M32" s="3372">
        <f>0</f>
        <v>0</v>
      </c>
      <c r="N32" s="3372">
        <f>M32/$K$9</f>
        <v>0</v>
      </c>
      <c r="O32" s="50" t="n"/>
      <c r="P32" s="3373" t="n"/>
      <c r="Q32" s="3373" t="n"/>
      <c r="R32" s="3373" t="n"/>
      <c r="S32" s="3373" t="n"/>
      <c r="T32" s="3373" t="n"/>
      <c r="U32" s="1167" t="n"/>
      <c r="V32" s="1168" t="n"/>
    </row>
    <row r="33" s="3154" customFormat="1" ht="15" customHeight="1">
      <c r="A33" s="1167" t="n"/>
      <c r="B33" s="1167" t="n"/>
      <c r="C33" s="674" t="inlineStr">
        <is>
          <t xml:space="preserve">GP &amp; ES/ FDD</t>
        </is>
      </c>
      <c r="D33" s="675" t="n"/>
      <c r="E33" s="696" t="inlineStr">
        <is>
          <t xml:space="preserve">Technical Systems- key system/ Camera system/ Phone systems/ Internet hardware</t>
        </is>
      </c>
      <c r="F33" s="731" t="n"/>
      <c r="G33" s="3373" t="n">
        <v>175000</v>
      </c>
      <c r="H33" s="3372" t="n">
        <f t="array" ref="H33">G33/$H$9</f>
        <v>1750</v>
      </c>
      <c r="I33" s="3374" t="n"/>
      <c r="J33" s="3375" t="n"/>
      <c r="K33" s="3371">
        <f>591300</f>
        <v>591300</v>
      </c>
      <c r="L33" s="3372">
        <f>K33/$K$9</f>
        <v>5913</v>
      </c>
      <c r="M33" s="3372">
        <f>937300</f>
        <v>937300</v>
      </c>
      <c r="N33" s="3372">
        <f>M33/$K$9</f>
        <v>9373</v>
      </c>
      <c r="O33" s="50" t="n"/>
      <c r="P33" s="1167" t="n"/>
      <c r="Q33" s="1167" t="n"/>
      <c r="R33" s="729" t="n"/>
      <c r="S33" s="3391" t="n"/>
      <c r="T33" s="1167" t="n"/>
      <c r="U33" s="1167" t="n"/>
      <c r="V33" s="1168" t="n"/>
    </row>
    <row r="34" s="3154" customFormat="1" ht="15" customHeight="1">
      <c r="A34" s="1167" t="n"/>
      <c r="B34" s="1167" t="n"/>
      <c r="C34" s="674" t="inlineStr">
        <is>
          <t xml:space="preserve">GP &amp; ES/ FDD</t>
        </is>
      </c>
      <c r="D34" s="675" t="n"/>
      <c r="E34" s="696" t="inlineStr">
        <is>
          <t xml:space="preserve">Synexis Express PMS software/ Key stsem/ 2 computer systems</t>
        </is>
      </c>
      <c r="F34" s="688" t="n"/>
      <c r="G34" s="3373" t="n">
        <v>75000</v>
      </c>
      <c r="H34" s="3372" t="n">
        <f t="array" ref="H34">G34/$H$9</f>
        <v>750</v>
      </c>
      <c r="I34" s="3374" t="n"/>
      <c r="J34" s="3375" t="n"/>
      <c r="K34" s="3371">
        <f>100000</f>
        <v>100000</v>
      </c>
      <c r="L34" s="3372">
        <f>K34/$K$9</f>
        <v>1000</v>
      </c>
      <c r="M34" s="3372">
        <f>152000</f>
        <v>152000</v>
      </c>
      <c r="N34" s="3372">
        <f>M34/$K$9</f>
        <v>1520</v>
      </c>
      <c r="O34" s="50" t="n"/>
      <c r="P34" s="1167" t="n"/>
      <c r="Q34" s="1167" t="n"/>
      <c r="R34" s="729" t="n"/>
      <c r="S34" s="3391" t="n"/>
      <c r="T34" s="1167" t="n"/>
      <c r="U34" s="1167" t="n"/>
      <c r="V34" s="1168" t="n"/>
    </row>
    <row r="35" s="3154" customFormat="1" ht="15" customHeight="1">
      <c r="A35" s="1167" t="n"/>
      <c r="B35" s="1167" t="n"/>
      <c r="C35" s="674" t="inlineStr">
        <is>
          <t xml:space="preserve">GP</t>
        </is>
      </c>
      <c r="D35" s="675" t="n"/>
      <c r="E35" s="696" t="inlineStr">
        <is>
          <t xml:space="preserve">Training Expenses</t>
        </is>
      </c>
      <c r="F35" s="688" t="n"/>
      <c r="G35" s="3373" t="n">
        <v>35000</v>
      </c>
      <c r="H35" s="3372" t="n">
        <f t="array" ref="H35">G35/$H$9</f>
        <v>350</v>
      </c>
      <c r="I35" s="3374" t="n"/>
      <c r="J35" s="3375" t="n"/>
      <c r="K35" s="3371">
        <f>55000</f>
        <v>55000</v>
      </c>
      <c r="L35" s="3372">
        <f>K35/$K$9</f>
        <v>550</v>
      </c>
      <c r="M35" s="3372">
        <f>55000</f>
        <v>55000</v>
      </c>
      <c r="N35" s="3372">
        <f>M35/$K$9</f>
        <v>550</v>
      </c>
      <c r="O35" s="50" t="n"/>
      <c r="P35" s="1167" t="n"/>
      <c r="Q35" s="1167" t="n"/>
      <c r="R35" s="729" t="n"/>
      <c r="S35" s="3391" t="n"/>
      <c r="T35" s="1167" t="n"/>
      <c r="U35" s="1167" t="n"/>
      <c r="V35" s="1168" t="n"/>
    </row>
    <row r="36" s="3154" customFormat="1" ht="15" customHeight="1">
      <c r="A36" s="1167" t="n"/>
      <c r="B36" s="1167" t="n"/>
      <c r="C36" s="674" t="inlineStr">
        <is>
          <t xml:space="preserve">N/A</t>
        </is>
      </c>
      <c r="D36" s="1167" t="n"/>
      <c r="E36" s="4399" t="inlineStr">
        <is>
          <t>Other project costs / project reserve</t>
        </is>
      </c>
      <c r="F36" s="732" t="inlineStr">
        <is>
          <t>Project Summary</t>
        </is>
      </c>
      <c r="G36" s="4400" t="n">
        <f>'Project Summary'!C20+G26-SUM(G16:G35)</f>
        <v>90000</v>
      </c>
      <c r="H36" s="4401" t="n">
        <f>G36/$H$9</f>
        <v>900</v>
      </c>
      <c r="I36" s="3374" t="n"/>
      <c r="J36" s="3375" t="n"/>
      <c r="K36" s="3371" t="n"/>
      <c r="L36" s="3372" t="n"/>
      <c r="M36" s="3372" t="n"/>
      <c r="N36" s="3372" t="n"/>
      <c r="O36" s="50" t="n"/>
      <c r="P36" s="1167" t="n"/>
      <c r="Q36" s="1167" t="n"/>
      <c r="R36" s="729" t="n"/>
      <c r="S36" s="3391" t="n"/>
      <c r="T36" s="1167" t="n"/>
      <c r="U36" s="1167" t="n"/>
      <c r="V36" s="1168" t="n"/>
    </row>
    <row r="37" s="3154" customFormat="1" ht="15" customHeight="1">
      <c r="A37" s="1167" t="n"/>
      <c r="B37" s="1167" t="n"/>
      <c r="C37" s="1167" t="n"/>
      <c r="D37" s="1167" t="n"/>
      <c r="E37" s="718" t="inlineStr">
        <is>
          <t xml:space="preserve">Fitness</t>
        </is>
      </c>
      <c r="F37" s="715" t="n"/>
      <c r="G37" s="3373" t="n"/>
      <c r="H37" s="3372" t="n"/>
      <c r="I37" s="3374" t="n"/>
      <c r="J37" s="3375" t="n"/>
      <c r="K37" s="3392" t="n"/>
      <c r="L37" s="3372" t="n"/>
      <c r="M37" s="3393" t="n"/>
      <c r="N37" s="3372" t="n"/>
      <c r="O37" s="50" t="n"/>
      <c r="P37" s="1167" t="n"/>
      <c r="Q37" s="1167" t="n"/>
      <c r="R37" s="729" t="n"/>
      <c r="S37" s="3391" t="n"/>
      <c r="T37" s="1167" t="n"/>
      <c r="U37" s="1167" t="n"/>
      <c r="V37" s="1168" t="n"/>
    </row>
    <row r="38" s="3154" customFormat="1" ht="15" customHeight="1">
      <c r="A38" s="1167" t="n"/>
      <c r="B38" s="1167" t="n"/>
      <c r="C38" s="674" t="inlineStr">
        <is>
          <t xml:space="preserve">Included</t>
        </is>
      </c>
      <c r="D38" s="675" t="n"/>
      <c r="E38" s="696" t="inlineStr">
        <is>
          <t xml:space="preserve">Laundry Room</t>
        </is>
      </c>
      <c r="F38" s="735" t="str">
        <f>'JYI-Hotel Deal Overview'!B14</f>
        <v>Yes</v>
      </c>
      <c r="G38" s="3373" t="n">
        <v>0</v>
      </c>
      <c r="H38" s="3372" t="n">
        <f t="array" ref="H38">G38/$H$9</f>
        <v>0</v>
      </c>
      <c r="I38" s="3374" t="n"/>
      <c r="J38" s="3375" t="inlineStr">
        <is>
          <t xml:space="preserve">On-site laundry: costs are included in CB construction and FF&amp;E procurement; no separate JYI laundry line to avoid double count.</t>
        </is>
      </c>
      <c r="K38" s="3394">
        <f>2100*$K$9</f>
        <v>210000</v>
      </c>
      <c r="L38" s="3395">
        <f>K38/$K$9</f>
        <v>2100</v>
      </c>
      <c r="M38" s="3394">
        <f>3400*$K$9</f>
        <v>340000</v>
      </c>
      <c r="N38" s="3371">
        <f>M38/$K$9</f>
        <v>3400</v>
      </c>
      <c r="O38" s="50" t="n"/>
      <c r="P38" s="1167" t="n"/>
      <c r="Q38" s="1167" t="n"/>
      <c r="R38" s="729" t="n"/>
      <c r="S38" s="3391" t="n"/>
      <c r="T38" s="1167" t="n"/>
      <c r="U38" s="1167" t="n"/>
      <c r="V38" s="1168" t="n"/>
    </row>
    <row r="39" s="3154" customFormat="1" ht="15" customHeight="1">
      <c r="A39" s="1167" t="n"/>
      <c r="B39" s="1167" t="n"/>
      <c r="C39" s="1167" t="n"/>
      <c r="D39" s="1167" t="n"/>
      <c r="E39" s="717" t="inlineStr">
        <is>
          <t xml:space="preserve">Vending Machine</t>
        </is>
      </c>
      <c r="F39" s="715" t="n"/>
      <c r="G39" s="3373" t="n"/>
      <c r="H39" s="3372" t="n"/>
      <c r="I39" s="3374" t="n"/>
      <c r="J39" s="3375" t="n"/>
      <c r="K39" s="3394" t="n"/>
      <c r="L39" s="3395" t="n"/>
      <c r="M39" s="3394" t="n"/>
      <c r="N39" s="3371" t="n"/>
      <c r="O39" s="50" t="n"/>
      <c r="P39" s="1167" t="n"/>
      <c r="Q39" s="1167" t="n"/>
      <c r="R39" s="729" t="n"/>
      <c r="S39" s="3391" t="n"/>
      <c r="T39" s="1167" t="n"/>
      <c r="U39" s="1167" t="n"/>
      <c r="V39" s="1168" t="n"/>
    </row>
    <row r="40" s="3154" customFormat="1" ht="15" customHeight="1">
      <c r="A40" s="1167" t="n"/>
      <c r="B40" s="1167" t="n"/>
      <c r="C40" s="674" t="inlineStr">
        <is>
          <t xml:space="preserve">TBA</t>
        </is>
      </c>
      <c r="D40" s="1167" t="n"/>
      <c r="E40" s="738" t="inlineStr">
        <is>
          <t xml:space="preserve">Any other special amenity costs</t>
        </is>
      </c>
      <c r="F40" s="732" t="inlineStr">
        <is>
          <t xml:space="preserve">N/A</t>
        </is>
      </c>
      <c r="G40" s="3396" t="n">
        <v>0</v>
      </c>
      <c r="H40" s="3372" t="n">
        <f t="array" ref="H40">G40/$H$9</f>
        <v>0</v>
      </c>
      <c r="I40" s="3374" t="n"/>
      <c r="J40" s="3375" t="n"/>
      <c r="K40" s="3394">
        <f>6000+210</f>
        <v>6210</v>
      </c>
      <c r="L40" s="3395">
        <f>K40/$K$9</f>
        <v>62.1</v>
      </c>
      <c r="M40" s="3394">
        <f>7500+210</f>
        <v>7710</v>
      </c>
      <c r="N40" s="3371">
        <f>M40/$K$9</f>
        <v>77.1</v>
      </c>
      <c r="O40" s="50" t="n"/>
      <c r="P40" s="1167" t="n"/>
      <c r="Q40" s="1167" t="n"/>
      <c r="R40" s="729" t="n"/>
      <c r="S40" s="3391" t="n"/>
      <c r="T40" s="1167" t="n"/>
      <c r="U40" s="1167" t="n"/>
      <c r="V40" s="1168" t="n"/>
    </row>
    <row r="41" s="3154" customFormat="1" ht="15" customHeight="1">
      <c r="A41" s="1167" t="n"/>
      <c r="B41" s="1167" t="n"/>
      <c r="C41" s="1167" t="n"/>
      <c r="D41" s="1167" t="n"/>
      <c r="E41" s="740" t="n"/>
      <c r="F41" s="715" t="n"/>
      <c r="G41" s="3373" t="n"/>
      <c r="H41" s="3372" t="n">
        <f t="array" ref="H41">G41/$H$9</f>
        <v>0</v>
      </c>
      <c r="I41" s="3374" t="n"/>
      <c r="J41" s="3375" t="n"/>
      <c r="K41" s="3397" t="n"/>
      <c r="L41" s="3372" t="n"/>
      <c r="M41" s="3386" t="n"/>
      <c r="N41" s="3372" t="n"/>
      <c r="O41" s="50" t="n"/>
      <c r="P41" s="1167" t="n"/>
      <c r="Q41" s="742" t="n"/>
      <c r="R41" s="3391" t="n"/>
      <c r="S41" s="3391" t="n"/>
      <c r="T41" s="743" t="n"/>
      <c r="U41" s="1167" t="n"/>
      <c r="V41" s="1168" t="n"/>
    </row>
    <row r="42" s="3154" customFormat="1" ht="15" customHeight="1">
      <c r="A42" s="1167" t="n"/>
      <c r="B42" s="1167" t="n"/>
      <c r="C42" s="1167" t="n"/>
      <c r="D42" s="1167" t="n"/>
      <c r="E42" s="738" t="inlineStr">
        <is>
          <t xml:space="preserve">Total Estimated Expenditures for Development and Launch of the Project</t>
        </is>
      </c>
      <c r="F42" s="692" t="n"/>
      <c r="G42" s="4400" t="n">
        <f>SUM(G16:G36)</f>
        <v>7028136.3</v>
      </c>
      <c r="H42" s="4401" t="n">
        <f>SUM(H16:H36)</f>
        <v>70281.363</v>
      </c>
      <c r="I42" s="3374" t="n"/>
      <c r="J42" s="3375" t="inlineStr">
        <is>
          <t>CitizenM Item 7 normalized 100-key total, excluding not determinable/varies categories.</t>
        </is>
      </c>
      <c r="K42" s="3371">
        <f>SUM(K16:K35,K38,K40)</f>
        <v>21508050</v>
      </c>
      <c r="L42" s="3372">
        <f>K42/$K$9</f>
        <v>215080.5</v>
      </c>
      <c r="M42" s="3372">
        <f>SUM(M16:M35,M38,M40)</f>
        <v>37100015</v>
      </c>
      <c r="N42" s="3372">
        <f>M42/$K$9</f>
        <v>371000.15</v>
      </c>
      <c r="O42" s="3398" t="n">
        <f t="array" ref="O42">SUM(L42+N42)</f>
        <v>112282.00999999998</v>
      </c>
      <c r="P42" s="742" t="n">
        <v>2</v>
      </c>
      <c r="Q42" s="1167" t="n"/>
      <c r="R42" s="3391" t="n"/>
      <c r="S42" s="3391" t="n"/>
      <c r="T42" s="1167" t="n"/>
      <c r="U42" s="1167" t="n"/>
      <c r="V42" s="1168" t="n"/>
    </row>
    <row r="43" s="3154" customFormat="1" ht="15" customHeight="1">
      <c r="A43" s="1167" t="n"/>
      <c r="B43" s="1167" t="n"/>
      <c r="C43" s="1167" t="n"/>
      <c r="D43" s="1167" t="n"/>
      <c r="E43" s="745" t="inlineStr">
        <is>
          <t xml:space="preserve">Land owned/ Equity/ from the deal</t>
        </is>
      </c>
      <c r="F43" s="1167" t="n"/>
      <c r="G43" s="3373" t="n">
        <f t="array" ref="G43">G48*H43</f>
        <v>1165627.26</v>
      </c>
      <c r="H43" s="746" t="n">
        <v>0.2</v>
      </c>
      <c r="I43" s="674" t="inlineStr">
        <is>
          <t xml:space="preserve">of land- MM</t>
        </is>
      </c>
      <c r="J43" s="129" t="n"/>
      <c r="K43" s="50" t="n"/>
      <c r="L43" s="50" t="n"/>
      <c r="M43" s="50" t="n"/>
      <c r="N43" s="747" t="inlineStr">
        <is>
          <t xml:space="preserve">Mean avg low and high</t>
        </is>
      </c>
      <c r="O43" s="3399" t="n">
        <f t="array" ref="O43">O42/P42</f>
        <v>56141.00499999999</v>
      </c>
      <c r="P43" s="666" t="n"/>
      <c r="Q43" s="1167" t="n"/>
      <c r="R43" s="3400" t="n"/>
      <c r="S43" s="3400" t="n"/>
      <c r="T43" s="1167" t="n"/>
      <c r="U43" s="1167" t="n"/>
      <c r="V43" s="1168" t="n"/>
    </row>
    <row r="44" s="3154" customFormat="1" ht="15.75" customHeight="1">
      <c r="A44" s="1167" t="n"/>
      <c r="B44" s="1167" t="n"/>
      <c r="C44" s="1167" t="n"/>
      <c r="D44" s="1167" t="n"/>
      <c r="E44" s="745" t="inlineStr">
        <is>
          <t xml:space="preserve">Cash Equity- Partner 2</t>
        </is>
      </c>
      <c r="F44" s="1167" t="n"/>
      <c r="G44" s="3401" t="n">
        <v>0</v>
      </c>
      <c r="H44" s="751" t="n">
        <f t="array" ref="H44">G44/G42</f>
        <v>0</v>
      </c>
      <c r="I44" s="1167" t="n"/>
      <c r="J44" s="1167" t="n"/>
      <c r="K44" s="1167" t="n"/>
      <c r="L44" s="1167" t="n"/>
      <c r="M44" s="1167" t="n"/>
      <c r="N44" s="1167" t="n"/>
      <c r="O44" s="3381" t="n"/>
      <c r="P44" s="1167" t="n"/>
      <c r="Q44" s="1167" t="n"/>
      <c r="R44" s="3400" t="n"/>
      <c r="S44" s="3400" t="n"/>
      <c r="T44" s="1167" t="n"/>
      <c r="U44" s="1167" t="n"/>
      <c r="V44" s="1168" t="n"/>
    </row>
    <row r="45" s="3154" customFormat="1" ht="15.75" customHeight="1">
      <c r="A45" s="1167" t="n"/>
      <c r="B45" s="1167" t="n"/>
      <c r="C45" s="1167" t="n"/>
      <c r="D45" s="1167" t="n"/>
      <c r="E45" s="745" t="inlineStr">
        <is>
          <t xml:space="preserve">Total land investment and cash investment</t>
        </is>
      </c>
      <c r="F45" s="1167" t="n"/>
      <c r="G45" s="3402" t="n">
        <f t="array" ref="G45">SUM(G43:G44)</f>
        <v>1165627.260000000009313</v>
      </c>
      <c r="H45" s="753" t="n">
        <f t="array" ref="H45">G45/G48</f>
        <v>0.2</v>
      </c>
      <c r="I45" s="1167" t="n"/>
      <c r="J45" s="1167" t="n"/>
      <c r="K45" s="1167" t="n"/>
      <c r="L45" s="1167" t="n"/>
      <c r="M45" s="1167" t="n"/>
      <c r="N45" s="1167" t="n"/>
      <c r="O45" s="3403" t="n"/>
      <c r="P45" s="1167" t="n"/>
      <c r="Q45" s="1167" t="n"/>
      <c r="R45" s="3400" t="n"/>
      <c r="S45" s="3400" t="n"/>
      <c r="T45" s="1167" t="n"/>
      <c r="U45" s="1167" t="n"/>
      <c r="V45" s="1168" t="n"/>
    </row>
    <row r="46" s="3154" customFormat="1" ht="15.75" customHeight="1">
      <c r="A46" s="755" t="n"/>
      <c r="B46" s="755" t="n"/>
      <c r="C46" s="746" t="n"/>
      <c r="D46" s="755" t="n"/>
      <c r="E46" s="756" t="inlineStr">
        <is>
          <t xml:space="preserve">Ttl Land Inv, Cash equity Partner </t>
        </is>
      </c>
      <c r="F46" s="3403" t="n"/>
      <c r="G46" s="3401" t="n">
        <v>0</v>
      </c>
      <c r="H46" s="751" t="n">
        <f t="array" ref="H46">G46/G42</f>
        <v>0</v>
      </c>
      <c r="I46" s="1167" t="n"/>
      <c r="J46" s="1167" t="n"/>
      <c r="K46" s="1167" t="n"/>
      <c r="L46" s="1167" t="n"/>
      <c r="M46" s="1167" t="n"/>
      <c r="N46" s="1167" t="n"/>
      <c r="O46" s="3403" t="n"/>
      <c r="P46" s="1167" t="n"/>
      <c r="Q46" s="1167" t="n"/>
      <c r="R46" s="3400" t="n"/>
      <c r="S46" s="3400" t="n"/>
      <c r="T46" s="1167" t="n"/>
      <c r="U46" s="1167" t="n"/>
      <c r="V46" s="1168" t="n"/>
    </row>
    <row r="47" s="3154" customFormat="1" ht="15.75" customHeight="1">
      <c r="A47" s="755" t="n"/>
      <c r="B47" s="755" t="n"/>
      <c r="C47" s="746" t="n"/>
      <c r="D47" s="755" t="n"/>
      <c r="E47" s="757" t="inlineStr">
        <is>
          <t xml:space="preserve">Ttl Land Inv/ w cash and tax Credit Equity</t>
        </is>
      </c>
      <c r="F47" s="3403" t="n"/>
      <c r="G47" s="3404" t="n">
        <f t="array" ref="G47">SUM(G46)</f>
        <v>0</v>
      </c>
      <c r="H47" s="759" t="n">
        <f t="array" ref="H47">SUM(H46)</f>
        <v>0</v>
      </c>
      <c r="I47" s="666" t="n"/>
      <c r="J47" s="1167" t="n"/>
      <c r="K47" s="1167" t="n"/>
      <c r="L47" s="1167" t="n"/>
      <c r="M47" s="1167" t="n"/>
      <c r="N47" s="1167" t="n"/>
      <c r="O47" s="3403" t="n"/>
      <c r="P47" s="1167" t="n"/>
      <c r="Q47" s="1167" t="n"/>
      <c r="R47" s="3400" t="n"/>
      <c r="S47" s="3400" t="n"/>
      <c r="T47" s="1167" t="n"/>
      <c r="U47" s="1167" t="n"/>
      <c r="V47" s="1168" t="n"/>
    </row>
    <row r="48" s="3154" customFormat="1" ht="15" customHeight="1">
      <c r="A48" s="1167" t="n"/>
      <c r="B48" s="1167" t="n"/>
      <c r="C48" s="1167" t="n"/>
      <c r="D48" s="1167" t="n"/>
      <c r="E48" s="745" t="inlineStr">
        <is>
          <t xml:space="preserve">Total without the land in the Model- True Debt before bank package analyzation</t>
        </is>
      </c>
      <c r="F48" s="1167" t="n"/>
      <c r="G48" s="3373" t="n">
        <f t="array" ref="G48">G42-G26</f>
        <v>5828136.3</v>
      </c>
      <c r="H48" s="3386" t="n">
        <f t="array" ref="H48">G48/H9</f>
        <v>58281.363</v>
      </c>
      <c r="I48" s="732" t="inlineStr">
        <is>
          <t xml:space="preserve">per key</t>
        </is>
      </c>
      <c r="J48" s="1167" t="n"/>
      <c r="K48" s="1167" t="n"/>
      <c r="L48" s="742" t="n"/>
      <c r="M48" s="742" t="n"/>
      <c r="N48" s="1167" t="n"/>
      <c r="O48" s="1167" t="n"/>
      <c r="P48" s="1167" t="n"/>
      <c r="Q48" s="1167" t="n"/>
      <c r="R48" s="3400" t="n"/>
      <c r="S48" s="3400" t="n"/>
      <c r="T48" s="1167" t="n"/>
      <c r="U48" s="1167" t="n"/>
      <c r="V48" s="1168" t="n"/>
    </row>
    <row r="49" s="3154" customFormat="1" ht="15" customHeight="1">
      <c r="A49" s="1167" t="n"/>
      <c r="B49" s="1167" t="n"/>
      <c r="C49" s="1167" t="n"/>
      <c r="D49" s="1167" t="n"/>
      <c r="E49" s="760" t="inlineStr">
        <is>
          <t xml:space="preserve">Equity injected into the project</t>
        </is>
      </c>
      <c r="F49" s="1167" t="n"/>
      <c r="G49" s="761" t="n"/>
      <c r="H49" s="125" t="n"/>
      <c r="I49" s="762" t="n"/>
      <c r="J49" s="1167" t="n"/>
      <c r="K49" s="1167" t="n"/>
      <c r="L49" s="3405" t="n"/>
      <c r="M49" s="3405" t="n"/>
      <c r="N49" s="1167" t="n"/>
      <c r="O49" s="1167" t="n"/>
      <c r="P49" s="1167" t="n"/>
      <c r="Q49" s="1167" t="n"/>
      <c r="R49" s="3400" t="n"/>
      <c r="S49" s="3400" t="n"/>
      <c r="T49" s="1167" t="n"/>
      <c r="U49" s="1167" t="n"/>
      <c r="V49" s="1168" t="n"/>
    </row>
    <row r="50" s="3154" customFormat="1" ht="15" customHeight="1">
      <c r="A50" s="1167" t="n"/>
      <c r="B50" s="1167" t="n"/>
      <c r="C50" s="1167" t="n"/>
      <c r="D50" s="675" t="n"/>
      <c r="E50" s="764" t="inlineStr">
        <is>
          <t xml:space="preserve">Total Loan package before analysis of the bank package</t>
        </is>
      </c>
      <c r="F50" s="765" t="n"/>
      <c r="G50" s="3406" t="n">
        <f t="array" ref="G50">G48</f>
        <v>5828136.3</v>
      </c>
      <c r="H50" s="3407" t="n">
        <f t="array" ref="H50">G50/$H$9</f>
        <v>58281.363</v>
      </c>
      <c r="I50" s="3371" t="n"/>
      <c r="J50" s="1167" t="n"/>
      <c r="K50" s="1167" t="n"/>
      <c r="L50" s="3405" t="n"/>
      <c r="M50" s="3405" t="n"/>
      <c r="N50" s="1167" t="n"/>
      <c r="O50" s="1167" t="n"/>
      <c r="P50" s="1167" t="n"/>
      <c r="Q50" s="1167" t="n"/>
      <c r="R50" s="3408" t="n"/>
      <c r="S50" s="3400" t="n"/>
      <c r="T50" s="1167" t="n"/>
      <c r="U50" s="1167" t="n"/>
      <c r="V50" s="1168" t="n"/>
    </row>
    <row r="51" s="3154" customFormat="1" ht="15.75" customHeight="1">
      <c r="A51" s="1167" t="n"/>
      <c r="B51" s="1167" t="n"/>
      <c r="C51" s="1167" t="n"/>
      <c r="D51" s="1167" t="n"/>
      <c r="E51" s="769" t="inlineStr">
        <is>
          <t xml:space="preserve">Cost of the Project Exclueding Land, add. Funds, etc</t>
        </is>
      </c>
      <c r="F51" s="675" t="n"/>
      <c r="G51" s="3406" t="n"/>
      <c r="H51" s="3407" t="n"/>
      <c r="I51" s="666" t="n"/>
      <c r="J51" s="1167" t="n"/>
      <c r="K51" s="1167" t="n"/>
      <c r="L51" s="1167" t="n"/>
      <c r="M51" s="1167" t="n"/>
      <c r="N51" s="1167" t="n"/>
      <c r="O51" s="1167" t="n"/>
      <c r="P51" s="1167" t="n"/>
      <c r="Q51" s="1167" t="n"/>
      <c r="R51" s="1167" t="n"/>
      <c r="S51" s="1167" t="n"/>
      <c r="T51" s="1167" t="n"/>
      <c r="U51" s="1167" t="n"/>
      <c r="V51" s="1168" t="n"/>
    </row>
    <row r="52" s="3154" customFormat="1" ht="11.25" customHeight="1">
      <c r="A52" s="1167" t="n"/>
      <c r="B52" s="1167" t="n"/>
      <c r="C52" s="1167" t="n"/>
      <c r="D52" s="1167" t="n"/>
      <c r="E52" s="1167" t="n"/>
      <c r="F52" s="1167" t="n"/>
      <c r="G52" s="667" t="n"/>
      <c r="H52" s="667" t="n"/>
      <c r="I52" s="1167" t="n"/>
      <c r="J52" s="1167" t="n"/>
      <c r="K52" s="1167" t="n"/>
      <c r="L52" s="3405" t="n"/>
      <c r="M52" s="3405" t="n"/>
      <c r="N52" s="1167" t="n"/>
      <c r="O52" s="1167" t="n"/>
      <c r="P52" s="1167" t="n"/>
      <c r="Q52" s="1167" t="n"/>
      <c r="R52" s="3408" t="n"/>
      <c r="S52" s="3400" t="n"/>
      <c r="T52" s="1167" t="n"/>
      <c r="U52" s="1167" t="n"/>
      <c r="V52" s="1168" t="n"/>
    </row>
    <row r="53" s="3154" customFormat="1" ht="15.75" customHeight="1">
      <c r="A53" s="1167" t="n"/>
      <c r="B53" s="1167" t="n"/>
      <c r="C53" s="1167" t="n"/>
      <c r="D53" s="1167" t="n"/>
      <c r="E53" s="770" t="inlineStr">
        <is>
          <t>Loan after 20% down payment / bank package (see JYI-Bank Loans)</t>
        </is>
      </c>
      <c r="F53" s="675" t="n"/>
      <c r="G53" s="3406">
        <f t="array" ref="G53">'JYI-Bank Loans'!E53</f>
        <v>4925095.057788</v>
      </c>
      <c r="H53" s="3407">
        <f t="array" ref="H53">G53/H9</f>
        <v>49250.95057788</v>
      </c>
      <c r="I53" s="666" t="n"/>
      <c r="J53" s="1167" t="n"/>
      <c r="K53" s="1167" t="n"/>
      <c r="L53" s="3405" t="n"/>
      <c r="M53" s="3405" t="n"/>
      <c r="N53" s="1167" t="n"/>
      <c r="O53" s="1167" t="n"/>
      <c r="P53" s="1167" t="n"/>
      <c r="Q53" s="1167" t="n"/>
      <c r="R53" s="3408" t="n"/>
      <c r="S53" s="3400" t="n"/>
      <c r="T53" s="1167" t="n"/>
      <c r="U53" s="1167" t="n"/>
      <c r="V53" s="1168" t="n"/>
    </row>
    <row r="54" s="3154" customFormat="1" ht="11.25" customHeight="1">
      <c r="A54" s="1167" t="n"/>
      <c r="B54" s="1167" t="n"/>
      <c r="C54" s="1167" t="n"/>
      <c r="D54" s="1167" t="n"/>
      <c r="E54" s="1167" t="n"/>
      <c r="F54" s="1167" t="n"/>
      <c r="G54" s="129" t="n"/>
      <c r="H54" s="129" t="n"/>
      <c r="I54" s="1167" t="n"/>
      <c r="J54" s="1167" t="n"/>
      <c r="K54" s="1167" t="n"/>
      <c r="L54" s="3405" t="n"/>
      <c r="M54" s="3405" t="n"/>
      <c r="N54" s="1167" t="n"/>
      <c r="O54" s="1167" t="n"/>
      <c r="P54" s="1167" t="n"/>
      <c r="Q54" s="1167" t="n"/>
      <c r="R54" s="3408" t="n"/>
      <c r="S54" s="3400" t="n"/>
      <c r="T54" s="1167" t="n"/>
      <c r="U54" s="1167" t="n"/>
      <c r="V54" s="1168" t="n"/>
    </row>
    <row r="55" s="3154" customFormat="1" ht="15.75" customHeight="1">
      <c r="A55" s="1167" t="n"/>
      <c r="B55" s="1167" t="n"/>
      <c r="C55" s="1167" t="n"/>
      <c r="D55" s="1167" t="n"/>
      <c r="E55" s="770" t="inlineStr">
        <is>
          <t xml:space="preserve">  Franchise: </t>
        </is>
      </c>
      <c r="F55" s="771" t="inlineStr">
        <is>
          <t xml:space="preserve"/>
        </is>
      </c>
      <c r="G55" s="1167" t="n"/>
      <c r="H55" s="1167" t="n"/>
      <c r="I55" s="1167" t="n"/>
      <c r="J55" s="1167" t="n"/>
      <c r="K55" s="1167" t="n"/>
      <c r="L55" s="3405" t="n"/>
      <c r="M55" s="3405" t="n"/>
      <c r="N55" s="1167" t="n"/>
      <c r="O55" s="1167" t="n"/>
      <c r="P55" s="1167" t="n"/>
      <c r="Q55" s="1167" t="n"/>
      <c r="R55" s="3405" t="n"/>
      <c r="S55" s="3405" t="n"/>
      <c r="T55" s="1167" t="n"/>
      <c r="U55" s="1167" t="n"/>
      <c r="V55" s="1168" t="n"/>
    </row>
    <row r="56" s="3154" customFormat="1" ht="15.75" customHeight="1">
      <c r="A56" s="1167" t="n"/>
      <c r="B56" s="1167" t="n"/>
      <c r="C56" s="1167" t="n"/>
      <c r="D56" s="1167" t="n"/>
      <c r="E56" s="772" t="inlineStr">
        <is>
          <t xml:space="preserve">   Number of Rooms</t>
        </is>
      </c>
      <c r="F56" s="773" t="n">
        <f>H9</f>
        <v>100</v>
      </c>
      <c r="G56" s="666" t="n"/>
      <c r="H56" s="1167" t="n"/>
      <c r="I56" s="1167" t="n"/>
      <c r="J56" s="1167" t="n"/>
      <c r="K56" s="1167" t="n"/>
      <c r="L56" s="3405" t="n"/>
      <c r="M56" s="3405" t="n"/>
      <c r="N56" s="1167" t="n"/>
      <c r="O56" s="1167" t="n"/>
      <c r="P56" s="1167" t="n"/>
      <c r="Q56" s="1167" t="n"/>
      <c r="R56" s="3405" t="n"/>
      <c r="S56" s="3405" t="n"/>
      <c r="T56" s="1167" t="n"/>
      <c r="U56" s="1167" t="n"/>
      <c r="V56" s="1168" t="n"/>
    </row>
    <row r="57" s="3154" customFormat="1" ht="15.75" customHeight="1">
      <c r="A57" s="1167" t="n"/>
      <c r="B57" s="1167" t="n"/>
      <c r="C57" s="1167" t="n"/>
      <c r="D57" s="1167" t="n"/>
      <c r="E57" s="650" t="n"/>
      <c r="F57" s="774" t="inlineStr">
        <is>
          <t xml:space="preserve">Cost Per key</t>
        </is>
      </c>
      <c r="G57" s="674" t="inlineStr">
        <is>
          <t xml:space="preserve">$$$ Project Cost</t>
        </is>
      </c>
      <c r="H57" s="674" t="inlineStr">
        <is>
          <t xml:space="preserve">% </t>
        </is>
      </c>
      <c r="I57" s="775" t="n"/>
      <c r="J57" s="1167" t="n"/>
      <c r="K57" s="1167" t="n"/>
      <c r="L57" s="3405" t="n"/>
      <c r="M57" s="3405" t="n"/>
      <c r="N57" s="1167" t="n"/>
      <c r="O57" s="1167" t="n"/>
      <c r="P57" s="1167" t="n"/>
      <c r="Q57" s="1167" t="n"/>
      <c r="R57" s="1167" t="n"/>
      <c r="S57" s="1167" t="n"/>
      <c r="T57" s="1167" t="n"/>
      <c r="U57" s="1167" t="n"/>
      <c r="V57" s="1168" t="n"/>
    </row>
    <row r="58" s="3154" customFormat="1" ht="15.75" customHeight="1">
      <c r="A58" s="1167" t="n"/>
      <c r="B58" s="1167" t="n"/>
      <c r="C58" s="1167" t="n"/>
      <c r="D58" s="1167" t="n"/>
      <c r="E58" s="776" t="inlineStr">
        <is>
          <t xml:space="preserve">Land  (Cost Per Key)</t>
        </is>
      </c>
      <c r="F58" s="3409" t="n">
        <f t="array" ref="F58">H26</f>
        <v>12000</v>
      </c>
      <c r="G58" s="3409" t="n">
        <f t="array" ref="G58">F56*F58</f>
        <v>1200000</v>
      </c>
      <c r="H58" s="762" t="n">
        <f t="array" ref="H58">G58/G65</f>
        <v>0.10874948264383266</v>
      </c>
      <c r="I58" s="762" t="n"/>
      <c r="J58" s="1167" t="n"/>
      <c r="K58" s="1167" t="n"/>
      <c r="L58" s="3405" t="n"/>
      <c r="M58" s="3405" t="n"/>
      <c r="N58" s="1167" t="n"/>
      <c r="O58" s="1167" t="n"/>
      <c r="P58" s="1167" t="n"/>
      <c r="Q58" s="1167" t="n"/>
      <c r="R58" s="3405" t="n"/>
      <c r="S58" s="1167" t="n"/>
      <c r="T58" s="1167" t="n"/>
      <c r="U58" s="1167" t="n"/>
      <c r="V58" s="1168" t="n"/>
    </row>
    <row r="59" s="3154" customFormat="1" ht="15.75" customHeight="1">
      <c r="A59" s="1167" t="n"/>
      <c r="B59" s="1167" t="n"/>
      <c r="C59" s="1167" t="n"/>
      <c r="D59" s="1167" t="n"/>
      <c r="E59" s="776" t="inlineStr">
        <is>
          <t xml:space="preserve">Building &amp; Site Improvements (Construction- Facility Improvement)</t>
        </is>
      </c>
      <c r="F59" s="3409" t="n">
        <f>G20/F56</f>
        <v>45769.5749710959</v>
      </c>
      <c r="G59" s="3409" t="n">
        <f>G20</f>
        <v>4576957.49710959</v>
      </c>
      <c r="H59" s="762" t="n">
        <f t="array" ref="H59">G59/$G$65</f>
        <v>0.4147847999112326</v>
      </c>
      <c r="I59" s="762" t="n"/>
      <c r="J59" s="1167" t="n"/>
      <c r="K59" s="1167" t="n"/>
      <c r="L59" s="3410" t="n"/>
      <c r="M59" s="3405" t="n"/>
      <c r="N59" s="1167" t="n"/>
      <c r="O59" s="1167" t="n"/>
      <c r="P59" s="1167" t="n"/>
      <c r="Q59" s="1167" t="n"/>
      <c r="R59" s="3405" t="n"/>
      <c r="S59" s="1167" t="n"/>
      <c r="T59" s="1167" t="n"/>
      <c r="U59" s="1167" t="n"/>
      <c r="V59" s="1168" t="n"/>
    </row>
    <row r="60" s="3154" customFormat="1" ht="15.75" customHeight="1">
      <c r="A60" s="1167" t="n"/>
      <c r="B60" s="1167" t="n"/>
      <c r="C60" s="1167" t="n"/>
      <c r="D60" s="1167" t="n"/>
      <c r="E60" s="776" t="inlineStr">
        <is>
          <t xml:space="preserve">Soft Goods Costs </t>
        </is>
      </c>
      <c r="F60" s="3409" t="n">
        <v>1500</v>
      </c>
      <c r="G60" s="3409" t="n">
        <f t="array" ref="G60">F56*F60</f>
        <v>150000</v>
      </c>
      <c r="H60" s="762" t="n">
        <f t="array" ref="H60">G60/$G$65</f>
        <v>0.013593685330479083</v>
      </c>
      <c r="I60" s="762" t="n"/>
      <c r="J60" s="1167" t="n"/>
      <c r="K60" s="1167" t="n"/>
      <c r="L60" s="3405" t="n"/>
      <c r="M60" s="3405" t="n"/>
      <c r="N60" s="1167" t="n"/>
      <c r="O60" s="1167" t="n"/>
      <c r="P60" s="1167" t="n"/>
      <c r="Q60" s="1167" t="n"/>
      <c r="R60" s="1167" t="n"/>
      <c r="S60" s="1167" t="n"/>
      <c r="T60" s="1167" t="n"/>
      <c r="U60" s="1167" t="n"/>
      <c r="V60" s="1168" t="n"/>
    </row>
    <row r="61" s="3154" customFormat="1" ht="15.75" customHeight="1">
      <c r="A61" s="1167" t="n"/>
      <c r="B61" s="1167" t="n"/>
      <c r="C61" s="1167" t="n"/>
      <c r="D61" s="1167" t="n"/>
      <c r="E61" s="776" t="inlineStr">
        <is>
          <t xml:space="preserve">FF&amp;E (Furniture, Fixtures &amp; Electrical)</t>
        </is>
      </c>
      <c r="F61" s="3409" t="n">
        <f>G22/F56</f>
        <v>2806.2025897500002</v>
      </c>
      <c r="G61" s="3409" t="n">
        <f>G22</f>
        <v>280620.258975</v>
      </c>
      <c r="H61" s="762" t="n">
        <f t="array" ref="H61">G61/$G$65</f>
        <v>0.02543108998575799</v>
      </c>
      <c r="I61" s="762" t="n"/>
      <c r="J61" s="1167" t="n"/>
      <c r="K61" s="1167" t="n"/>
      <c r="L61" s="3405" t="n"/>
      <c r="M61" s="3405" t="n"/>
      <c r="N61" s="1167" t="n"/>
      <c r="O61" s="1167" t="n"/>
      <c r="P61" s="1167" t="n"/>
      <c r="Q61" s="1167" t="n"/>
      <c r="R61" s="1167" t="n"/>
      <c r="S61" s="1167" t="n"/>
      <c r="T61" s="1167" t="n"/>
      <c r="U61" s="1167" t="n"/>
      <c r="V61" s="1168" t="n"/>
    </row>
    <row r="62" s="3154" customFormat="1" ht="15.75" customHeight="1">
      <c r="A62" s="1167" t="n"/>
      <c r="B62" s="1167" t="n"/>
      <c r="C62" s="1167" t="n"/>
      <c r="D62" s="1167" t="n"/>
      <c r="E62" s="776" t="inlineStr">
        <is>
          <t xml:space="preserve">Signage </t>
        </is>
      </c>
      <c r="F62" s="3409" t="n">
        <f t="array" ref="F62">'JYI-Hotel Deal Overview'!B29</f>
        <v>45769.5749710959</v>
      </c>
      <c r="G62" s="3409" t="n">
        <f t="array" ref="G62">F62*F56</f>
        <v>4576957.49710959</v>
      </c>
      <c r="H62" s="762" t="n">
        <f t="array" ref="H62">G62/$G$65</f>
        <v>0.4147847999112326</v>
      </c>
      <c r="I62" s="762" t="n"/>
      <c r="J62" s="1167" t="n"/>
      <c r="K62" s="1167" t="n"/>
      <c r="L62" s="3405" t="n"/>
      <c r="M62" s="3405" t="n"/>
      <c r="N62" s="1167" t="n"/>
      <c r="O62" s="1167" t="n"/>
      <c r="P62" s="1167" t="n"/>
      <c r="Q62" s="1167" t="n"/>
      <c r="R62" s="1167" t="n"/>
      <c r="S62" s="1167" t="n"/>
      <c r="T62" s="1167" t="n"/>
      <c r="U62" s="1167" t="n"/>
      <c r="V62" s="1168" t="n"/>
    </row>
    <row r="63" s="3154" customFormat="1" ht="15.75" customHeight="1">
      <c r="A63" s="1167" t="n"/>
      <c r="B63" s="1167" t="n"/>
      <c r="C63" s="1167" t="n"/>
      <c r="D63" s="1167" t="n"/>
      <c r="E63" s="776" t="inlineStr">
        <is>
          <t xml:space="preserve">Pre Opening</t>
        </is>
      </c>
      <c r="F63" s="3409" t="n">
        <v>0</v>
      </c>
      <c r="G63" s="3409" t="n">
        <f t="array" ref="G63">F63*F56</f>
        <v>0</v>
      </c>
      <c r="H63" s="762" t="n">
        <f t="array" ref="H63">G63/$G$65</f>
        <v>0</v>
      </c>
      <c r="I63" s="762" t="n"/>
      <c r="J63" s="1167" t="n"/>
      <c r="K63" s="1167" t="n"/>
      <c r="L63" s="3405" t="n"/>
      <c r="M63" s="3405" t="n"/>
      <c r="N63" s="1167" t="n"/>
      <c r="O63" s="1167" t="n"/>
      <c r="P63" s="1167" t="n"/>
      <c r="Q63" s="1167" t="n"/>
      <c r="R63" s="1167" t="n"/>
      <c r="S63" s="1167" t="n"/>
      <c r="T63" s="1167" t="n"/>
      <c r="U63" s="1167" t="n"/>
      <c r="V63" s="1168" t="n"/>
    </row>
    <row r="64" s="3154" customFormat="1" ht="16.5" customHeight="1">
      <c r="A64" s="1167" t="n"/>
      <c r="B64" s="1167" t="n"/>
      <c r="C64" s="1167" t="n"/>
      <c r="D64" s="1167" t="n"/>
      <c r="E64" s="779" t="inlineStr">
        <is>
          <t xml:space="preserve">Working Capital</t>
        </is>
      </c>
      <c r="F64" s="3411" t="n">
        <v>2500</v>
      </c>
      <c r="G64" s="3411" t="n">
        <f t="array" ref="G64">F56*F64</f>
        <v>250000</v>
      </c>
      <c r="H64" s="751" t="n">
        <f t="array" ref="H64">G64/$G$65</f>
        <v>0.022656142217465137</v>
      </c>
      <c r="I64" s="762" t="n"/>
      <c r="J64" s="1167" t="n"/>
      <c r="K64" s="1167" t="n"/>
      <c r="L64" s="3405" t="n"/>
      <c r="M64" s="3405" t="n"/>
      <c r="N64" s="1167" t="n"/>
      <c r="O64" s="1167" t="n"/>
      <c r="P64" s="1167" t="n"/>
      <c r="Q64" s="1167" t="n"/>
      <c r="R64" s="1167" t="n"/>
      <c r="S64" s="1167" t="n"/>
      <c r="T64" s="1167" t="n"/>
      <c r="U64" s="1167" t="n"/>
      <c r="V64" s="1168" t="n"/>
    </row>
    <row r="65" s="3154" customFormat="1" ht="15.75" customHeight="1">
      <c r="A65" s="1167" t="n"/>
      <c r="B65" s="1167" t="n"/>
      <c r="C65" s="1167" t="n"/>
      <c r="D65" s="1167" t="n"/>
      <c r="E65" s="781" t="inlineStr">
        <is>
          <t xml:space="preserve">TOTAL COST CATEGORIES</t>
        </is>
      </c>
      <c r="F65" s="3412" t="n">
        <f t="array" ref="F65">SUM(F58:F64)</f>
        <v>110345.3525319418</v>
      </c>
      <c r="G65" s="3413" t="n">
        <f t="array" ref="G65">SUM(G58:G64)</f>
        <v>11034535.25319418</v>
      </c>
      <c r="H65" s="784" t="n">
        <f t="array" ref="H65">SUM(H58:H64)</f>
        <v>1</v>
      </c>
      <c r="I65" s="785" t="n"/>
      <c r="J65" s="1167" t="n"/>
      <c r="K65" s="1167" t="n"/>
      <c r="L65" s="3410" t="n"/>
      <c r="M65" s="3410" t="n"/>
      <c r="N65" s="1167" t="n"/>
      <c r="O65" s="1167" t="n"/>
      <c r="P65" s="1167" t="n"/>
      <c r="Q65" s="1167" t="n"/>
      <c r="R65" s="1167" t="n"/>
      <c r="S65" s="1167" t="n"/>
      <c r="T65" s="1167" t="n"/>
      <c r="U65" s="1167" t="n"/>
      <c r="V65" s="1168" t="n"/>
    </row>
    <row r="66" s="3154" customFormat="1" ht="16.5" customHeight="1">
      <c r="A66" s="1167" t="n"/>
      <c r="B66" s="1167" t="n"/>
      <c r="C66" s="1167" t="n"/>
      <c r="D66" s="1167" t="n"/>
      <c r="E66" s="786" t="n">
        <f t="array" ref="E66">'JYI-Hotel Deal Overview'!B89</f>
        <v>1</v>
      </c>
      <c r="F66" s="787" t="inlineStr">
        <is>
          <t xml:space="preserve">*Standard prototype design</t>
        </is>
      </c>
      <c r="G66" s="3409" t="n"/>
      <c r="H66" s="788" t="n"/>
      <c r="I66" s="788" t="n"/>
      <c r="J66" s="1167" t="n"/>
      <c r="K66" s="1167" t="n"/>
      <c r="L66" s="3410" t="n"/>
      <c r="M66" s="3410" t="n"/>
      <c r="N66" s="1167" t="n"/>
      <c r="O66" s="1167" t="n"/>
      <c r="P66" s="1167" t="n"/>
      <c r="Q66" s="1167" t="n"/>
      <c r="R66" s="1167" t="n"/>
      <c r="S66" s="1167" t="n"/>
      <c r="T66" s="1167" t="n"/>
      <c r="U66" s="1167" t="n"/>
      <c r="V66" s="1168" t="n"/>
    </row>
    <row r="67" s="3154" customFormat="1" ht="15.75" customHeight="1">
      <c r="A67" s="1167" t="n"/>
      <c r="B67" s="1167" t="n"/>
      <c r="C67" s="1167" t="n"/>
      <c r="D67" s="1167" t="n"/>
      <c r="E67" s="789" t="n"/>
      <c r="F67" s="1167" t="n"/>
      <c r="G67" s="1167" t="n"/>
      <c r="H67" s="788" t="n"/>
      <c r="I67" s="788" t="n"/>
      <c r="J67" s="1167" t="n"/>
      <c r="K67" s="1167" t="n"/>
      <c r="L67" s="3410" t="n"/>
      <c r="M67" s="3410" t="n"/>
      <c r="N67" s="1167" t="n"/>
      <c r="O67" s="1167" t="n"/>
      <c r="P67" s="1167" t="n"/>
      <c r="Q67" s="1167" t="n"/>
      <c r="R67" s="1167" t="n"/>
      <c r="S67" s="1167" t="n"/>
      <c r="T67" s="1167" t="n"/>
      <c r="U67" s="1167" t="n"/>
      <c r="V67" s="1168" t="n"/>
    </row>
    <row r="68" s="3154" customFormat="1" ht="15.75" customHeight="1">
      <c r="A68" s="1167" t="n"/>
      <c r="B68" s="1167" t="n"/>
      <c r="C68" s="1167" t="n"/>
      <c r="D68" s="1167" t="n"/>
      <c r="E68" s="1167" t="n"/>
      <c r="F68" s="642" t="n"/>
      <c r="G68" s="642" t="n"/>
      <c r="H68" s="788" t="n"/>
      <c r="I68" s="788" t="n"/>
      <c r="J68" s="1167" t="n"/>
      <c r="K68" s="1167" t="n"/>
      <c r="L68" s="3410" t="n"/>
      <c r="M68" s="3410" t="n"/>
      <c r="N68" s="1167" t="n"/>
      <c r="O68" s="1167" t="n"/>
      <c r="P68" s="1167" t="n"/>
      <c r="Q68" s="1167" t="n"/>
      <c r="R68" s="1167" t="n"/>
      <c r="S68" s="1167" t="n"/>
      <c r="T68" s="1167" t="n"/>
      <c r="U68" s="1167" t="n"/>
      <c r="V68" s="1168" t="n"/>
    </row>
    <row r="69" s="3154" customFormat="1" ht="12" customHeight="1">
      <c r="A69" s="1167" t="n"/>
      <c r="B69" s="1167" t="n"/>
      <c r="C69" s="1167" t="n"/>
      <c r="D69" s="1167" t="n"/>
      <c r="E69" s="790" t="inlineStr">
        <is>
          <t xml:space="preserve">Franchise Fees</t>
        </is>
      </c>
      <c r="F69" s="791" t="n">
        <v>100</v>
      </c>
      <c r="G69" s="792" t="inlineStr">
        <is>
          <t xml:space="preserve">Rooms</t>
        </is>
      </c>
      <c r="H69" s="793" t="n"/>
      <c r="I69" s="1167" t="n"/>
      <c r="J69" s="1167" t="n"/>
      <c r="K69" s="1167" t="n"/>
      <c r="L69" s="3410" t="n"/>
      <c r="M69" s="3410" t="n"/>
      <c r="N69" s="1167" t="n"/>
      <c r="O69" s="1167" t="n"/>
      <c r="P69" s="1167" t="n"/>
      <c r="Q69" s="1167" t="n"/>
      <c r="R69" s="1167" t="n"/>
      <c r="S69" s="1167" t="n"/>
      <c r="T69" s="1167" t="n"/>
      <c r="U69" s="1167" t="n"/>
      <c r="V69" s="1168" t="n"/>
    </row>
    <row r="70" s="3154" customFormat="1" ht="11.25" customHeight="1">
      <c r="A70" s="1167" t="n"/>
      <c r="B70" s="1167" t="n"/>
      <c r="C70" s="1167" t="n"/>
      <c r="D70" s="1167" t="n"/>
      <c r="E70" s="794" t="inlineStr">
        <is>
          <t xml:space="preserve">Monthly Fees</t>
        </is>
      </c>
      <c r="F70" s="795" t="n"/>
      <c r="G70" s="652" t="n"/>
      <c r="H70" s="1167" t="n"/>
      <c r="I70" s="1167" t="n"/>
      <c r="J70" s="1167" t="n"/>
      <c r="K70" s="1167" t="n"/>
      <c r="L70" s="3410" t="n"/>
      <c r="M70" s="3410" t="n"/>
      <c r="N70" s="1167" t="n"/>
      <c r="O70" s="1167" t="n"/>
      <c r="P70" s="1167" t="n"/>
      <c r="Q70" s="1167" t="n"/>
      <c r="R70" s="1167" t="n"/>
      <c r="S70" s="1167" t="n"/>
      <c r="T70" s="1167" t="n"/>
      <c r="U70" s="1167" t="n"/>
      <c r="V70" s="1168" t="n"/>
    </row>
    <row r="71" s="3154" customFormat="1" ht="11.25" customHeight="1">
      <c r="A71" s="1167" t="n"/>
      <c r="B71" s="1167" t="n"/>
      <c r="C71" s="1167" t="n"/>
      <c r="D71" s="796" t="n"/>
      <c r="E71" s="797" t="inlineStr">
        <is>
          <t xml:space="preserve">Royalty Fee</t>
        </is>
      </c>
      <c r="F71" s="798" t="n">
        <v>0.045</v>
      </c>
      <c r="G71" s="799" t="n"/>
      <c r="H71" s="1167" t="n"/>
      <c r="I71" s="1167" t="n"/>
      <c r="J71" s="1167" t="n"/>
      <c r="K71" s="1167" t="n"/>
      <c r="L71" s="1167" t="n"/>
      <c r="M71" s="1167" t="n"/>
      <c r="N71" s="1167" t="n"/>
      <c r="O71" s="1167" t="n"/>
      <c r="P71" s="1167" t="n"/>
      <c r="Q71" s="1167" t="n"/>
      <c r="R71" s="1167" t="n"/>
      <c r="S71" s="1167" t="n"/>
      <c r="T71" s="1167" t="n"/>
      <c r="U71" s="1167" t="n"/>
      <c r="V71" s="1168" t="n"/>
    </row>
    <row r="72" s="3154" customFormat="1" ht="11.25" customHeight="1">
      <c r="A72" s="1167" t="n"/>
      <c r="B72" s="1167" t="n"/>
      <c r="C72" s="1167" t="n"/>
      <c r="D72" s="796" t="n"/>
      <c r="E72" s="797" t="inlineStr">
        <is>
          <t xml:space="preserve">Marketing Fee</t>
        </is>
      </c>
      <c r="F72" s="798" t="n">
        <v>0.021</v>
      </c>
      <c r="G72" s="799" t="n"/>
      <c r="H72" s="1167" t="n"/>
      <c r="I72" s="1167" t="n"/>
      <c r="J72" s="1167" t="n"/>
      <c r="K72" s="1167" t="n"/>
      <c r="L72" s="3405" t="n"/>
      <c r="M72" s="3405" t="n"/>
      <c r="N72" s="1167" t="n"/>
      <c r="O72" s="1167" t="n"/>
      <c r="P72" s="1167" t="n"/>
      <c r="Q72" s="1167" t="n"/>
      <c r="R72" s="1167" t="n"/>
      <c r="S72" s="1167" t="n"/>
      <c r="T72" s="1167" t="n"/>
      <c r="U72" s="1167" t="n"/>
      <c r="V72" s="1168" t="n"/>
    </row>
    <row r="73" s="3154" customFormat="1" ht="11.25" customHeight="1">
      <c r="A73" s="1167" t="n"/>
      <c r="B73" s="1167" t="n"/>
      <c r="C73" s="1167" t="n"/>
      <c r="D73" s="796" t="n"/>
      <c r="E73" s="797" t="inlineStr">
        <is>
          <t xml:space="preserve">Reservation Fee</t>
        </is>
      </c>
      <c r="F73" s="798" t="n">
        <v>0.0175</v>
      </c>
      <c r="G73" s="799" t="n"/>
      <c r="H73" s="1167" t="n"/>
      <c r="I73" s="1167" t="n"/>
      <c r="J73" s="1167" t="n"/>
      <c r="K73" s="1167" t="n"/>
      <c r="L73" s="3405" t="n"/>
      <c r="M73" s="3405" t="n"/>
      <c r="N73" s="1167" t="n"/>
      <c r="O73" s="1167" t="n"/>
      <c r="P73" s="1167" t="n"/>
      <c r="Q73" s="1167" t="n"/>
      <c r="R73" s="1167" t="n"/>
      <c r="S73" s="1167" t="n"/>
      <c r="T73" s="1167" t="n"/>
      <c r="U73" s="1167" t="n"/>
      <c r="V73" s="1168" t="n"/>
    </row>
    <row r="74" s="3154" customFormat="1" ht="11.25" customHeight="1">
      <c r="A74" s="1167" t="n"/>
      <c r="B74" s="1167" t="n"/>
      <c r="C74" s="1167" t="n"/>
      <c r="D74" s="796" t="n"/>
      <c r="E74" s="797" t="inlineStr">
        <is>
          <t xml:space="preserve">Travel Agent Commission</t>
        </is>
      </c>
      <c r="F74" s="800" t="n">
        <v>0.1</v>
      </c>
      <c r="G74" s="799" t="n"/>
      <c r="H74" s="1167" t="n"/>
      <c r="I74" s="1167" t="n"/>
      <c r="J74" s="1167" t="n"/>
      <c r="K74" s="1167" t="n"/>
      <c r="L74" s="3410" t="n"/>
      <c r="M74" s="3405" t="n"/>
      <c r="N74" s="1167" t="n"/>
      <c r="O74" s="1167" t="n"/>
      <c r="P74" s="1167" t="n"/>
      <c r="Q74" s="1167" t="n"/>
      <c r="R74" s="1167" t="n"/>
      <c r="S74" s="1167" t="n"/>
      <c r="T74" s="1167" t="n"/>
      <c r="U74" s="1167" t="n"/>
      <c r="V74" s="1168" t="n"/>
    </row>
    <row r="75" s="3154" customFormat="1" ht="11.25" customHeight="1">
      <c r="A75" s="1167" t="n"/>
      <c r="B75" s="1167" t="n"/>
      <c r="C75" s="1167" t="n"/>
      <c r="D75" s="796" t="n"/>
      <c r="E75" s="797" t="inlineStr">
        <is>
          <t xml:space="preserve">Frequent Traveler</t>
        </is>
      </c>
      <c r="F75" s="800" t="n">
        <v>0.05</v>
      </c>
      <c r="G75" s="799" t="n"/>
      <c r="H75" s="1167" t="n"/>
      <c r="I75" s="1167" t="n"/>
      <c r="J75" s="1167" t="n"/>
      <c r="K75" s="1167" t="n"/>
      <c r="L75" s="3405" t="n"/>
      <c r="M75" s="3405" t="n"/>
      <c r="N75" s="1167" t="n"/>
      <c r="O75" s="1167" t="n"/>
      <c r="P75" s="1167" t="n"/>
      <c r="Q75" s="1167" t="n"/>
      <c r="R75" s="1167" t="n"/>
      <c r="S75" s="1167" t="n"/>
      <c r="T75" s="1167" t="n"/>
      <c r="U75" s="1167" t="n"/>
      <c r="V75" s="1168" t="n"/>
    </row>
    <row r="76" s="3154" customFormat="1" ht="11.25" customHeight="1">
      <c r="A76" s="1167" t="n"/>
      <c r="B76" s="1167" t="n"/>
      <c r="C76" s="1167" t="n"/>
      <c r="D76" s="796" t="n"/>
      <c r="E76" s="797" t="inlineStr">
        <is>
          <t xml:space="preserve">Global Distribution</t>
        </is>
      </c>
      <c r="F76" s="3414" t="n">
        <v>3.75</v>
      </c>
      <c r="G76" s="799" t="n"/>
      <c r="H76" s="1167" t="n"/>
      <c r="I76" s="1167" t="n"/>
      <c r="J76" s="1167" t="n"/>
      <c r="K76" s="1167" t="n"/>
      <c r="L76" s="3405" t="n"/>
      <c r="M76" s="3405" t="n"/>
      <c r="N76" s="1167" t="n"/>
      <c r="O76" s="1167" t="n"/>
      <c r="P76" s="1167" t="n"/>
      <c r="Q76" s="1167" t="n"/>
      <c r="R76" s="1167" t="n"/>
      <c r="S76" s="1167" t="n"/>
      <c r="T76" s="1167" t="n"/>
      <c r="U76" s="1167" t="n"/>
      <c r="V76" s="1168" t="n"/>
    </row>
    <row r="77" s="3154" customFormat="1" ht="11.25" customHeight="1">
      <c r="A77" s="1167" t="n"/>
      <c r="B77" s="1167" t="n"/>
      <c r="C77" s="1167" t="n"/>
      <c r="D77" s="796" t="n"/>
      <c r="E77" s="797" t="inlineStr">
        <is>
          <t xml:space="preserve">Technology Services Fee</t>
        </is>
      </c>
      <c r="F77" s="802" t="inlineStr">
        <is>
          <t xml:space="preserve">TBA</t>
        </is>
      </c>
      <c r="G77" s="799" t="n"/>
      <c r="H77" s="1167" t="n"/>
      <c r="I77" s="1167" t="n"/>
      <c r="J77" s="1167" t="n"/>
      <c r="K77" s="1167" t="n"/>
      <c r="L77" s="3410" t="n"/>
      <c r="M77" s="3405" t="n"/>
      <c r="N77" s="1167" t="n"/>
      <c r="O77" s="1167" t="n"/>
      <c r="P77" s="1167" t="n"/>
      <c r="Q77" s="1167" t="n"/>
      <c r="R77" s="1167" t="n"/>
      <c r="S77" s="1167" t="n"/>
      <c r="T77" s="1167" t="n"/>
      <c r="U77" s="1167" t="n"/>
      <c r="V77" s="1168" t="n"/>
    </row>
    <row r="78" s="3154" customFormat="1" ht="11.25" customHeight="1">
      <c r="A78" s="1167" t="n"/>
      <c r="B78" s="1167" t="n"/>
      <c r="C78" s="1167" t="n"/>
      <c r="D78" s="796" t="n"/>
      <c r="E78" s="797" t="inlineStr">
        <is>
          <t xml:space="preserve">Communications Fee</t>
        </is>
      </c>
      <c r="F78" s="3414" t="n">
        <v>150</v>
      </c>
      <c r="G78" s="799" t="n"/>
      <c r="H78" s="1167" t="n"/>
      <c r="I78" s="1167" t="n"/>
      <c r="J78" s="1167" t="n"/>
      <c r="K78" s="1167" t="n"/>
      <c r="L78" s="3410" t="n"/>
      <c r="M78" s="3405" t="n"/>
      <c r="N78" s="1167" t="n"/>
      <c r="O78" s="1167" t="n"/>
      <c r="P78" s="1167" t="n"/>
      <c r="Q78" s="1167" t="n"/>
      <c r="R78" s="1167" t="n"/>
      <c r="S78" s="1167" t="n"/>
      <c r="T78" s="1167" t="n"/>
      <c r="U78" s="1167" t="n"/>
      <c r="V78" s="1168" t="n"/>
    </row>
    <row r="79" s="3154" customFormat="1" ht="11.25" customHeight="1">
      <c r="A79" s="1167" t="n"/>
      <c r="B79" s="1167" t="n"/>
      <c r="C79" s="1167" t="n"/>
      <c r="D79" s="796" t="n"/>
      <c r="E79" s="797" t="inlineStr">
        <is>
          <t xml:space="preserve">Hardware Sub-Lease</t>
        </is>
      </c>
      <c r="F79" s="3414" t="n">
        <v>400</v>
      </c>
      <c r="G79" s="799" t="n"/>
      <c r="H79" s="1167" t="n"/>
      <c r="I79" s="1167" t="n"/>
      <c r="J79" s="1167" t="n"/>
      <c r="K79" s="1167" t="n"/>
      <c r="L79" s="3405" t="n"/>
      <c r="M79" s="3405" t="n"/>
      <c r="N79" s="1167" t="n"/>
      <c r="O79" s="1167" t="n"/>
      <c r="P79" s="1167" t="n"/>
      <c r="Q79" s="1167" t="n"/>
      <c r="R79" s="1167" t="n"/>
      <c r="S79" s="1167" t="n"/>
      <c r="T79" s="1167" t="n"/>
      <c r="U79" s="1167" t="n"/>
      <c r="V79" s="1168" t="n"/>
    </row>
    <row r="80" s="3154" customFormat="1" ht="11.25" customHeight="1">
      <c r="A80" s="1167" t="n"/>
      <c r="B80" s="1167" t="n"/>
      <c r="C80" s="1167" t="n"/>
      <c r="D80" s="796" t="n"/>
      <c r="E80" s="797" t="inlineStr">
        <is>
          <t xml:space="preserve">Hardware "out-of-warranty"</t>
        </is>
      </c>
      <c r="F80" s="3414" t="n">
        <v>300</v>
      </c>
      <c r="G80" s="799" t="n"/>
      <c r="H80" s="1167" t="n"/>
      <c r="I80" s="1167" t="n"/>
      <c r="J80" s="1167" t="n"/>
      <c r="K80" s="125" t="n"/>
      <c r="L80" s="3405" t="n"/>
      <c r="M80" s="3405" t="n"/>
      <c r="N80" s="1167" t="n"/>
      <c r="O80" s="1167" t="n"/>
      <c r="P80" s="1167" t="n"/>
      <c r="Q80" s="1167" t="n"/>
      <c r="R80" s="1167" t="n"/>
      <c r="S80" s="1167" t="n"/>
      <c r="T80" s="1167" t="n"/>
      <c r="U80" s="1167" t="n"/>
      <c r="V80" s="1168" t="n"/>
    </row>
    <row r="81" s="3154" customFormat="1" ht="11.25" customHeight="1">
      <c r="A81" s="1167" t="n"/>
      <c r="B81" s="1167" t="n"/>
      <c r="C81" s="1167" t="n"/>
      <c r="D81" s="796" t="n"/>
      <c r="E81" s="797" t="inlineStr">
        <is>
          <t xml:space="preserve">IOC Dues</t>
        </is>
      </c>
      <c r="F81" s="3414" t="n">
        <v>50</v>
      </c>
      <c r="G81" s="799" t="n"/>
      <c r="H81" s="1167" t="n"/>
      <c r="I81" s="1167" t="n"/>
      <c r="J81" s="675" t="n"/>
      <c r="K81" s="803" t="n"/>
      <c r="L81" s="3415" t="n"/>
      <c r="M81" s="3405" t="n"/>
      <c r="N81" s="1167" t="n"/>
      <c r="O81" s="1167" t="n"/>
      <c r="P81" s="1167" t="n"/>
      <c r="Q81" s="1167" t="n"/>
      <c r="R81" s="1167" t="n"/>
      <c r="S81" s="1167" t="n"/>
      <c r="T81" s="1167" t="n"/>
      <c r="U81" s="1167" t="n"/>
      <c r="V81" s="1168" t="n"/>
    </row>
    <row r="82" s="3154" customFormat="1" ht="11.25" customHeight="1">
      <c r="A82" s="1167" t="n"/>
      <c r="B82" s="1167" t="n"/>
      <c r="C82" s="1167" t="n"/>
      <c r="D82" s="1167" t="n"/>
      <c r="E82" s="789" t="n"/>
      <c r="F82" s="789" t="n"/>
      <c r="G82" s="1167" t="n"/>
      <c r="H82" s="1167" t="n"/>
      <c r="I82" s="1167" t="n"/>
      <c r="J82" s="1167" t="n"/>
      <c r="K82" s="129" t="n"/>
      <c r="L82" s="3405" t="n"/>
      <c r="M82" s="3405" t="n"/>
      <c r="N82" s="1167" t="n"/>
      <c r="O82" s="1167" t="n"/>
      <c r="P82" s="1167" t="n"/>
      <c r="Q82" s="1167" t="n"/>
      <c r="R82" s="1167" t="n"/>
      <c r="S82" s="1167" t="n"/>
      <c r="T82" s="1167" t="n"/>
      <c r="U82" s="1167" t="n"/>
      <c r="V82" s="1168" t="n"/>
    </row>
    <row r="83" s="3154" customFormat="1" ht="11.25" customHeight="1">
      <c r="A83" s="1167" t="n"/>
      <c r="B83" s="1167" t="n"/>
      <c r="C83" s="1167" t="n"/>
      <c r="D83" s="1167" t="n"/>
      <c r="E83" s="794" t="inlineStr">
        <is>
          <t xml:space="preserve">Annual Fees</t>
        </is>
      </c>
      <c r="F83" s="805" t="n"/>
      <c r="G83" s="1167" t="n"/>
      <c r="H83" s="1167" t="n"/>
      <c r="I83" s="1167" t="n"/>
      <c r="J83" s="1167" t="n"/>
      <c r="K83" s="1167" t="n"/>
      <c r="L83" s="3405" t="n"/>
      <c r="M83" s="3405" t="n"/>
      <c r="N83" s="1167" t="n"/>
      <c r="O83" s="1167" t="n"/>
      <c r="P83" s="1167" t="n"/>
      <c r="Q83" s="1167" t="n"/>
      <c r="R83" s="1167" t="n"/>
      <c r="S83" s="1167" t="n"/>
      <c r="T83" s="1167" t="n"/>
      <c r="U83" s="1167" t="n"/>
      <c r="V83" s="1168" t="n"/>
    </row>
    <row r="84" s="3154" customFormat="1" ht="11.25" customHeight="1">
      <c r="A84" s="1167" t="n"/>
      <c r="B84" s="1167" t="n"/>
      <c r="C84" s="1167" t="n"/>
      <c r="D84" s="796" t="n"/>
      <c r="E84" s="797" t="inlineStr">
        <is>
          <t xml:space="preserve">Annual Convention</t>
        </is>
      </c>
      <c r="F84" s="3414" t="n">
        <v>4000</v>
      </c>
      <c r="G84" s="799" t="n"/>
      <c r="H84" s="1167" t="n"/>
      <c r="I84" s="1167" t="n"/>
      <c r="J84" s="1167" t="n"/>
      <c r="K84" s="1167" t="n"/>
      <c r="L84" s="3405" t="n"/>
      <c r="M84" s="3405" t="n"/>
      <c r="N84" s="1167" t="n"/>
      <c r="O84" s="1167" t="n"/>
      <c r="P84" s="1167" t="n"/>
      <c r="Q84" s="1167" t="n"/>
      <c r="R84" s="1167" t="n"/>
      <c r="S84" s="1167" t="n"/>
      <c r="T84" s="1167" t="n"/>
      <c r="U84" s="1167" t="n"/>
      <c r="V84" s="1168" t="n"/>
    </row>
    <row r="85" s="3154" customFormat="1" ht="11.25" customHeight="1">
      <c r="A85" s="1167" t="n"/>
      <c r="B85" s="1167" t="n"/>
      <c r="C85" s="1167" t="n"/>
      <c r="D85" s="796" t="n"/>
      <c r="E85" s="797" t="inlineStr">
        <is>
          <t xml:space="preserve">Regional Meeting</t>
        </is>
      </c>
      <c r="F85" s="3414" t="n">
        <v>1000</v>
      </c>
      <c r="G85" s="799" t="n"/>
      <c r="H85" s="1167" t="n"/>
      <c r="I85" s="1167" t="n"/>
      <c r="J85" s="1167" t="n"/>
      <c r="K85" s="1167" t="n"/>
      <c r="L85" s="3405" t="n"/>
      <c r="M85" s="3405" t="n"/>
      <c r="N85" s="1167" t="n"/>
      <c r="O85" s="1167" t="n"/>
      <c r="P85" s="1167" t="n"/>
      <c r="Q85" s="1167" t="n"/>
      <c r="R85" s="1167" t="n"/>
      <c r="S85" s="1167" t="n"/>
      <c r="T85" s="1167" t="n"/>
      <c r="U85" s="1167" t="n"/>
      <c r="V85" s="1168" t="n"/>
    </row>
    <row r="86" s="3154" customFormat="1" ht="11.25" customHeight="1">
      <c r="A86" s="1167" t="n"/>
      <c r="B86" s="1167" t="n"/>
      <c r="C86" s="1167" t="n"/>
      <c r="D86" s="1167" t="n"/>
      <c r="E86" s="789" t="n"/>
      <c r="F86" s="789" t="n"/>
      <c r="G86" s="1167" t="n"/>
      <c r="H86" s="1167" t="n"/>
      <c r="I86" s="1167" t="n"/>
      <c r="J86" s="1167" t="n"/>
      <c r="K86" s="1167" t="n"/>
      <c r="L86" s="3410" t="n"/>
      <c r="M86" s="3410" t="n"/>
      <c r="N86" s="1167" t="n"/>
      <c r="O86" s="1167" t="n"/>
      <c r="P86" s="1167" t="n"/>
      <c r="Q86" s="1167" t="n"/>
      <c r="R86" s="1167" t="n"/>
      <c r="S86" s="1167" t="n"/>
      <c r="T86" s="1167" t="n"/>
      <c r="U86" s="1167" t="n"/>
      <c r="V86" s="1168" t="n"/>
    </row>
    <row r="87" s="3154" customFormat="1" ht="11.25" customHeight="1">
      <c r="A87" s="1167" t="n"/>
      <c r="B87" s="1167" t="n"/>
      <c r="C87" s="1167" t="n"/>
      <c r="D87" s="1167" t="n"/>
      <c r="E87" s="1167" t="n"/>
      <c r="F87" s="1167" t="n"/>
      <c r="G87" s="642" t="n"/>
      <c r="H87" s="1167" t="n"/>
      <c r="I87" s="1167" t="n"/>
      <c r="J87" s="1167" t="n"/>
      <c r="K87" s="1167" t="n"/>
      <c r="L87" s="3410" t="n"/>
      <c r="M87" s="3410" t="n"/>
      <c r="N87" s="1167" t="n"/>
      <c r="O87" s="1167" t="n"/>
      <c r="P87" s="1167" t="n"/>
      <c r="Q87" s="1167" t="n"/>
      <c r="R87" s="1167" t="n"/>
      <c r="S87" s="1167" t="n"/>
      <c r="T87" s="1167" t="n"/>
      <c r="U87" s="1167" t="n"/>
      <c r="V87" s="1168" t="n"/>
    </row>
    <row r="88" s="3154" customFormat="1" ht="12" customHeight="1">
      <c r="A88" s="1167" t="n"/>
      <c r="B88" s="1167" t="n"/>
      <c r="C88" s="1167" t="n"/>
      <c r="D88" s="1167" t="n"/>
      <c r="E88" s="745" t="inlineStr">
        <is>
          <t xml:space="preserve">From UFOC can vary by region</t>
        </is>
      </c>
      <c r="F88" s="790" t="inlineStr">
        <is>
          <t xml:space="preserve">Rooms</t>
        </is>
      </c>
      <c r="G88" s="806" t="n">
        <v>0</v>
      </c>
      <c r="H88" s="793" t="n"/>
      <c r="I88" s="1167" t="n"/>
      <c r="J88" s="1167" t="n"/>
      <c r="K88" s="1167" t="n"/>
      <c r="L88" s="3410" t="n"/>
      <c r="M88" s="3410" t="n"/>
      <c r="N88" s="1167" t="n"/>
      <c r="O88" s="1167" t="n"/>
      <c r="P88" s="1167" t="n"/>
      <c r="Q88" s="1167" t="n"/>
      <c r="R88" s="1167" t="n"/>
      <c r="S88" s="1167" t="n"/>
      <c r="T88" s="1167" t="n"/>
      <c r="U88" s="1167" t="n"/>
      <c r="V88" s="1168" t="n"/>
    </row>
    <row r="89" s="3154" customFormat="1" ht="11.25" customHeight="1">
      <c r="A89" s="1167" t="n"/>
      <c r="B89" s="1167" t="n"/>
      <c r="C89" s="1167" t="n"/>
      <c r="D89" s="1167" t="n"/>
      <c r="E89" s="794" t="inlineStr">
        <is>
          <t xml:space="preserve">Construction Fees</t>
        </is>
      </c>
      <c r="F89" s="805" t="n"/>
      <c r="G89" s="795" t="n"/>
      <c r="H89" s="805" t="n"/>
      <c r="I89" s="805" t="n"/>
      <c r="J89" s="805" t="n"/>
      <c r="K89" s="1167" t="n"/>
      <c r="L89" s="3410" t="n"/>
      <c r="M89" s="3410" t="n"/>
      <c r="N89" s="1167" t="n"/>
      <c r="O89" s="1167" t="n"/>
      <c r="P89" s="1167" t="n"/>
      <c r="Q89" s="1167" t="n"/>
      <c r="R89" s="1167" t="n"/>
      <c r="S89" s="1167" t="n"/>
      <c r="T89" s="1167" t="n"/>
      <c r="U89" s="1167" t="n"/>
      <c r="V89" s="1168" t="n"/>
    </row>
    <row r="90" s="3154" customFormat="1" ht="11.25" customHeight="1">
      <c r="A90" s="1167" t="n"/>
      <c r="B90" s="1167" t="n"/>
      <c r="C90" s="1167" t="n"/>
      <c r="D90" s="796" t="n"/>
      <c r="E90" s="807" t="inlineStr">
        <is>
          <t xml:space="preserve">Additional Working Capital</t>
        </is>
      </c>
      <c r="F90" s="3416" t="n">
        <v>50000</v>
      </c>
      <c r="G90" s="809" t="inlineStr">
        <is>
          <t xml:space="preserve">to</t>
        </is>
      </c>
      <c r="H90" s="3417" t="n">
        <v>150000</v>
      </c>
      <c r="I90" s="3417" t="n"/>
      <c r="J90" s="811" t="n"/>
      <c r="K90" s="799" t="n"/>
      <c r="L90" s="3410" t="n"/>
      <c r="M90" s="3410" t="n"/>
      <c r="N90" s="1167" t="n"/>
      <c r="O90" s="1167" t="n"/>
      <c r="P90" s="1167" t="n"/>
      <c r="Q90" s="1167" t="n"/>
      <c r="R90" s="1167" t="n"/>
      <c r="S90" s="1167" t="n"/>
      <c r="T90" s="1167" t="n"/>
      <c r="U90" s="1167" t="n"/>
      <c r="V90" s="1168" t="n"/>
    </row>
    <row r="91" s="3154" customFormat="1" ht="11.25" customHeight="1">
      <c r="A91" s="1167" t="n"/>
      <c r="B91" s="1167" t="n"/>
      <c r="C91" s="1167" t="n"/>
      <c r="D91" s="796" t="n"/>
      <c r="E91" s="807" t="inlineStr">
        <is>
          <t xml:space="preserve">Affiliation Fee</t>
        </is>
      </c>
      <c r="F91" s="3416" t="n">
        <v>1000</v>
      </c>
      <c r="G91" s="809" t="inlineStr">
        <is>
          <t xml:space="preserve">per room</t>
        </is>
      </c>
      <c r="H91" s="3417" t="n">
        <v>36000</v>
      </c>
      <c r="I91" s="3417" t="n"/>
      <c r="J91" s="807" t="inlineStr">
        <is>
          <t xml:space="preserve">minimum</t>
        </is>
      </c>
      <c r="K91" s="799" t="n"/>
      <c r="L91" s="3410" t="n"/>
      <c r="M91" s="3410" t="n"/>
      <c r="N91" s="1167" t="n"/>
      <c r="O91" s="1167" t="n"/>
      <c r="P91" s="1167" t="n"/>
      <c r="Q91" s="1167" t="n"/>
      <c r="R91" s="1167" t="n"/>
      <c r="S91" s="1167" t="n"/>
      <c r="T91" s="1167" t="n"/>
      <c r="U91" s="1167" t="n"/>
      <c r="V91" s="1168" t="n"/>
    </row>
    <row r="92" s="3154" customFormat="1" ht="11.25" customHeight="1">
      <c r="A92" s="1167" t="n"/>
      <c r="B92" s="1167" t="n"/>
      <c r="C92" s="1167" t="n"/>
      <c r="D92" s="796" t="n"/>
      <c r="E92" s="807" t="inlineStr">
        <is>
          <t xml:space="preserve">Architectural/Inspections</t>
        </is>
      </c>
      <c r="F92" s="3416" t="n">
        <v>30000</v>
      </c>
      <c r="G92" s="809" t="inlineStr">
        <is>
          <t xml:space="preserve">to</t>
        </is>
      </c>
      <c r="H92" s="3417" t="n">
        <v>50000</v>
      </c>
      <c r="I92" s="3417" t="n"/>
      <c r="J92" s="811" t="n"/>
      <c r="K92" s="799" t="n"/>
      <c r="L92" s="3405" t="n"/>
      <c r="M92" s="3405" t="n"/>
      <c r="N92" s="1167" t="n"/>
      <c r="O92" s="1167" t="n"/>
      <c r="P92" s="1167" t="n"/>
      <c r="Q92" s="1167" t="n"/>
      <c r="R92" s="1167" t="n"/>
      <c r="S92" s="1167" t="n"/>
      <c r="T92" s="1167" t="n"/>
      <c r="U92" s="1167" t="n"/>
      <c r="V92" s="1168" t="n"/>
    </row>
    <row r="93" s="3154" customFormat="1" ht="11.25" customHeight="1">
      <c r="A93" s="1167" t="n"/>
      <c r="B93" s="1167" t="n"/>
      <c r="C93" s="1167" t="n"/>
      <c r="D93" s="796" t="n"/>
      <c r="E93" s="807" t="inlineStr">
        <is>
          <t xml:space="preserve">Cabinets</t>
        </is>
      </c>
      <c r="F93" s="3416" t="n">
        <v>50000</v>
      </c>
      <c r="G93" s="812" t="n"/>
      <c r="H93" s="3417" t="n">
        <v>75000</v>
      </c>
      <c r="I93" s="3417" t="n"/>
      <c r="J93" s="811" t="n"/>
      <c r="K93" s="799" t="n"/>
      <c r="L93" s="3405" t="n"/>
      <c r="M93" s="3405" t="n"/>
      <c r="N93" s="1167" t="n"/>
      <c r="O93" s="1167" t="n"/>
      <c r="P93" s="1167" t="n"/>
      <c r="Q93" s="1167" t="n"/>
      <c r="R93" s="1167" t="n"/>
      <c r="S93" s="1167" t="n"/>
      <c r="T93" s="1167" t="n"/>
      <c r="U93" s="1167" t="n"/>
      <c r="V93" s="1168" t="n"/>
    </row>
    <row r="94" s="3154" customFormat="1" ht="11.25" customHeight="1">
      <c r="A94" s="1167" t="n"/>
      <c r="B94" s="1167" t="n"/>
      <c r="C94" s="1167" t="n"/>
      <c r="D94" s="796" t="n"/>
      <c r="E94" s="807" t="inlineStr">
        <is>
          <t xml:space="preserve">Carpet</t>
        </is>
      </c>
      <c r="F94" s="3416" t="n">
        <v>100000</v>
      </c>
      <c r="G94" s="812" t="n"/>
      <c r="H94" s="3417" t="n">
        <v>200000</v>
      </c>
      <c r="I94" s="3417" t="n"/>
      <c r="J94" s="811" t="n"/>
      <c r="K94" s="799" t="n"/>
      <c r="L94" s="3405" t="n"/>
      <c r="M94" s="3405" t="n"/>
      <c r="N94" s="1167" t="n"/>
      <c r="O94" s="1167" t="n"/>
      <c r="P94" s="1167" t="n"/>
      <c r="Q94" s="1167" t="n"/>
      <c r="R94" s="1167" t="n"/>
      <c r="S94" s="1167" t="n"/>
      <c r="T94" s="1167" t="n"/>
      <c r="U94" s="1167" t="n"/>
      <c r="V94" s="1168" t="n"/>
    </row>
    <row r="95" s="3154" customFormat="1" ht="11.25" customHeight="1">
      <c r="A95" s="1167" t="n"/>
      <c r="B95" s="1167" t="n"/>
      <c r="C95" s="1167" t="n"/>
      <c r="D95" s="796" t="n"/>
      <c r="E95" s="807" t="inlineStr">
        <is>
          <t xml:space="preserve">Construction  </t>
        </is>
      </c>
      <c r="F95" s="3416" t="n">
        <v>45000</v>
      </c>
      <c r="G95" s="809" t="inlineStr">
        <is>
          <t xml:space="preserve">to</t>
        </is>
      </c>
      <c r="H95" s="3417" t="n">
        <v>55000</v>
      </c>
      <c r="I95" s="3417" t="n"/>
      <c r="J95" s="811" t="n"/>
      <c r="K95" s="799" t="n"/>
      <c r="L95" s="3405" t="n"/>
      <c r="M95" s="3405" t="n"/>
      <c r="N95" s="1167" t="n"/>
      <c r="O95" s="1167" t="n"/>
      <c r="P95" s="1167" t="n"/>
      <c r="Q95" s="1167" t="n"/>
      <c r="R95" s="1167" t="n"/>
      <c r="S95" s="1167" t="n"/>
      <c r="T95" s="1167" t="n"/>
      <c r="U95" s="1167" t="n"/>
      <c r="V95" s="1168" t="n"/>
    </row>
    <row r="96" s="3154" customFormat="1" ht="11.25" customHeight="1">
      <c r="A96" s="1167" t="n"/>
      <c r="B96" s="1167" t="n"/>
      <c r="C96" s="1167" t="n"/>
      <c r="D96" s="796" t="n"/>
      <c r="E96" s="807" t="inlineStr">
        <is>
          <t xml:space="preserve">Const Ins</t>
        </is>
      </c>
      <c r="F96" s="3416" t="n">
        <v>9014</v>
      </c>
      <c r="G96" s="809" t="inlineStr">
        <is>
          <t xml:space="preserve">to</t>
        </is>
      </c>
      <c r="H96" s="3417" t="n">
        <v>14000</v>
      </c>
      <c r="I96" s="3417" t="n"/>
      <c r="J96" s="811" t="n"/>
      <c r="K96" s="799" t="n"/>
      <c r="L96" s="3405" t="n"/>
      <c r="M96" s="3405" t="n"/>
      <c r="N96" s="1167" t="n"/>
      <c r="O96" s="1167" t="n"/>
      <c r="P96" s="1167" t="n"/>
      <c r="Q96" s="1167" t="n"/>
      <c r="R96" s="1167" t="n"/>
      <c r="S96" s="1167" t="n"/>
      <c r="T96" s="1167" t="n"/>
      <c r="U96" s="1167" t="n"/>
      <c r="V96" s="1168" t="n"/>
    </row>
    <row r="97" s="3154" customFormat="1" ht="11.25" customHeight="1">
      <c r="A97" s="1167" t="n"/>
      <c r="B97" s="1167" t="n"/>
      <c r="C97" s="1167" t="n"/>
      <c r="D97" s="796" t="n"/>
      <c r="E97" s="807" t="inlineStr">
        <is>
          <t xml:space="preserve">Counter Tops</t>
        </is>
      </c>
      <c r="F97" s="3416" t="n">
        <v>25000</v>
      </c>
      <c r="G97" s="812" t="n"/>
      <c r="H97" s="3417" t="n">
        <v>35000</v>
      </c>
      <c r="I97" s="3417" t="n"/>
      <c r="J97" s="811" t="n"/>
      <c r="K97" s="799" t="n"/>
      <c r="L97" s="3405" t="n"/>
      <c r="M97" s="3405" t="n"/>
      <c r="N97" s="1167" t="n"/>
      <c r="O97" s="1167" t="n"/>
      <c r="P97" s="1167" t="n"/>
      <c r="Q97" s="1167" t="n"/>
      <c r="R97" s="1167" t="n"/>
      <c r="S97" s="1167" t="n"/>
      <c r="T97" s="1167" t="n"/>
      <c r="U97" s="1167" t="n"/>
      <c r="V97" s="1168" t="n"/>
    </row>
    <row r="98" s="3154" customFormat="1" ht="11.25" customHeight="1">
      <c r="A98" s="1167" t="n"/>
      <c r="B98" s="1167" t="n"/>
      <c r="C98" s="1167" t="n"/>
      <c r="D98" s="796" t="n"/>
      <c r="E98" s="807" t="inlineStr">
        <is>
          <t xml:space="preserve">CORE/Orientation</t>
        </is>
      </c>
      <c r="F98" s="3416" t="n">
        <v>2500</v>
      </c>
      <c r="G98" s="809" t="inlineStr">
        <is>
          <t xml:space="preserve">to</t>
        </is>
      </c>
      <c r="H98" s="3417" t="n">
        <v>7000</v>
      </c>
      <c r="I98" s="3417" t="n"/>
      <c r="J98" s="811" t="n"/>
      <c r="K98" s="799" t="n"/>
      <c r="L98" s="3405" t="n"/>
      <c r="M98" s="3405" t="n"/>
      <c r="N98" s="1167" t="n"/>
      <c r="O98" s="1167" t="n"/>
      <c r="P98" s="1167" t="n"/>
      <c r="Q98" s="1167" t="n"/>
      <c r="R98" s="1167" t="n"/>
      <c r="S98" s="1167" t="n"/>
      <c r="T98" s="1167" t="n"/>
      <c r="U98" s="1167" t="n"/>
      <c r="V98" s="1168" t="n"/>
    </row>
    <row r="99" s="3154" customFormat="1" ht="11.25" customHeight="1">
      <c r="A99" s="1167" t="n"/>
      <c r="B99" s="1167" t="n"/>
      <c r="C99" s="1167" t="n"/>
      <c r="D99" s="796" t="n"/>
      <c r="E99" s="807" t="inlineStr">
        <is>
          <t xml:space="preserve">Electrical Labor</t>
        </is>
      </c>
      <c r="F99" s="3416" t="n">
        <v>90000</v>
      </c>
      <c r="G99" s="812" t="n"/>
      <c r="H99" s="3417" t="n">
        <v>115000</v>
      </c>
      <c r="I99" s="3417" t="n"/>
      <c r="J99" s="811" t="n"/>
      <c r="K99" s="799" t="n"/>
      <c r="L99" s="3405" t="n"/>
      <c r="M99" s="3405" t="n"/>
      <c r="N99" s="1167" t="n"/>
      <c r="O99" s="1167" t="n"/>
      <c r="P99" s="1167" t="n"/>
      <c r="Q99" s="1167" t="n"/>
      <c r="R99" s="1167" t="n"/>
      <c r="S99" s="1167" t="n"/>
      <c r="T99" s="1167" t="n"/>
      <c r="U99" s="1167" t="n"/>
      <c r="V99" s="1168" t="n"/>
    </row>
    <row r="100" s="3154" customFormat="1" ht="11.25" customHeight="1">
      <c r="A100" s="1167" t="n"/>
      <c r="B100" s="1167" t="n"/>
      <c r="C100" s="1167" t="n"/>
      <c r="D100" s="796" t="n"/>
      <c r="E100" s="807" t="inlineStr">
        <is>
          <t xml:space="preserve">Engineer</t>
        </is>
      </c>
      <c r="F100" s="3416" t="n">
        <v>15000</v>
      </c>
      <c r="G100" s="809" t="inlineStr">
        <is>
          <t xml:space="preserve">to</t>
        </is>
      </c>
      <c r="H100" s="3417" t="n">
        <v>35000</v>
      </c>
      <c r="I100" s="3417" t="n"/>
      <c r="J100" s="811" t="n"/>
      <c r="K100" s="799" t="n"/>
      <c r="L100" s="3405" t="n"/>
      <c r="M100" s="3405" t="n"/>
      <c r="N100" s="1167" t="n"/>
      <c r="O100" s="1167" t="n"/>
      <c r="P100" s="1167" t="n"/>
      <c r="Q100" s="1167" t="n"/>
      <c r="R100" s="1167" t="n"/>
      <c r="S100" s="1167" t="n"/>
      <c r="T100" s="1167" t="n"/>
      <c r="U100" s="1167" t="n"/>
      <c r="V100" s="1168" t="n"/>
    </row>
    <row r="101" s="3154" customFormat="1" ht="11.25" customHeight="1">
      <c r="A101" s="1167" t="n"/>
      <c r="B101" s="1167" t="n"/>
      <c r="C101" s="1167" t="n"/>
      <c r="D101" s="796" t="n"/>
      <c r="E101" s="807" t="inlineStr">
        <is>
          <t xml:space="preserve">Environmental Impact</t>
        </is>
      </c>
      <c r="F101" s="3416" t="n">
        <v>0</v>
      </c>
      <c r="G101" s="809" t="inlineStr">
        <is>
          <t xml:space="preserve">to</t>
        </is>
      </c>
      <c r="H101" s="3417" t="n">
        <v>15000</v>
      </c>
      <c r="I101" s="3417" t="n"/>
      <c r="J101" s="811" t="n"/>
      <c r="K101" s="799" t="n"/>
      <c r="L101" s="3405" t="n"/>
      <c r="M101" s="3405" t="n"/>
      <c r="N101" s="1167" t="n"/>
      <c r="O101" s="1167" t="n"/>
      <c r="P101" s="1167" t="n"/>
      <c r="Q101" s="1167" t="n"/>
      <c r="R101" s="1167" t="n"/>
      <c r="S101" s="1167" t="n"/>
      <c r="T101" s="1167" t="n"/>
      <c r="U101" s="1167" t="n"/>
      <c r="V101" s="1168" t="n"/>
    </row>
    <row r="102" s="3154" customFormat="1" ht="11.25" customHeight="1">
      <c r="A102" s="1167" t="n"/>
      <c r="B102" s="1167" t="n"/>
      <c r="C102" s="1167" t="n"/>
      <c r="D102" s="796" t="n"/>
      <c r="E102" s="807" t="inlineStr">
        <is>
          <t xml:space="preserve">Exterior Doors</t>
        </is>
      </c>
      <c r="F102" s="3416" t="n">
        <v>15000</v>
      </c>
      <c r="G102" s="812" t="n"/>
      <c r="H102" s="3417" t="n">
        <v>25000</v>
      </c>
      <c r="I102" s="3417" t="n"/>
      <c r="J102" s="811" t="n"/>
      <c r="K102" s="799" t="n"/>
      <c r="L102" s="3405" t="n"/>
      <c r="M102" s="3405" t="n"/>
      <c r="N102" s="1167" t="n"/>
      <c r="O102" s="1167" t="n"/>
      <c r="P102" s="1167" t="n"/>
      <c r="Q102" s="1167" t="n"/>
      <c r="R102" s="1167" t="n"/>
      <c r="S102" s="1167" t="n"/>
      <c r="T102" s="1167" t="n"/>
      <c r="U102" s="1167" t="n"/>
      <c r="V102" s="1168" t="n"/>
    </row>
    <row r="103" s="3154" customFormat="1" ht="11.25" customHeight="1">
      <c r="A103" s="1167" t="n"/>
      <c r="B103" s="1167" t="n"/>
      <c r="C103" s="1167" t="n"/>
      <c r="D103" s="796" t="n"/>
      <c r="E103" s="807" t="inlineStr">
        <is>
          <t xml:space="preserve">Exterior Paint</t>
        </is>
      </c>
      <c r="F103" s="3416" t="n">
        <v>25000</v>
      </c>
      <c r="G103" s="812" t="n"/>
      <c r="H103" s="3417" t="n">
        <v>30000</v>
      </c>
      <c r="I103" s="3417" t="n"/>
      <c r="J103" s="811" t="n"/>
      <c r="K103" s="799" t="n"/>
      <c r="L103" s="3405" t="n"/>
      <c r="M103" s="3405" t="n"/>
      <c r="N103" s="1167" t="n"/>
      <c r="O103" s="1167" t="n"/>
      <c r="P103" s="1167" t="n"/>
      <c r="Q103" s="1167" t="n"/>
      <c r="R103" s="1167" t="n"/>
      <c r="S103" s="1167" t="n"/>
      <c r="T103" s="1167" t="n"/>
      <c r="U103" s="1167" t="n"/>
      <c r="V103" s="1168" t="n"/>
    </row>
    <row r="104" s="3154" customFormat="1" ht="11.25" customHeight="1">
      <c r="A104" s="1167" t="n"/>
      <c r="B104" s="1167" t="n"/>
      <c r="C104" s="1167" t="n"/>
      <c r="D104" s="796" t="n"/>
      <c r="E104" s="807" t="inlineStr">
        <is>
          <t xml:space="preserve">Foundation Work</t>
        </is>
      </c>
      <c r="F104" s="3416" t="n">
        <v>75000</v>
      </c>
      <c r="G104" s="809" t="inlineStr">
        <is>
          <t xml:space="preserve">to</t>
        </is>
      </c>
      <c r="H104" s="3417" t="n">
        <v>150000</v>
      </c>
      <c r="I104" s="3417" t="n"/>
      <c r="J104" s="811" t="n"/>
      <c r="K104" s="799" t="n"/>
      <c r="L104" s="3405" t="n"/>
      <c r="M104" s="3405" t="n"/>
      <c r="N104" s="1167" t="n"/>
      <c r="O104" s="1167" t="n"/>
      <c r="P104" s="1167" t="n"/>
      <c r="Q104" s="1167" t="n"/>
      <c r="R104" s="1167" t="n"/>
      <c r="S104" s="1167" t="n"/>
      <c r="T104" s="1167" t="n"/>
      <c r="U104" s="1167" t="n"/>
      <c r="V104" s="1168" t="n"/>
    </row>
    <row r="105" s="3154" customFormat="1" ht="11.25" customHeight="1">
      <c r="A105" s="1167" t="n"/>
      <c r="B105" s="1167" t="n"/>
      <c r="C105" s="1167" t="n"/>
      <c r="D105" s="796" t="n"/>
      <c r="E105" s="807" t="inlineStr">
        <is>
          <t xml:space="preserve">Fire Place</t>
        </is>
      </c>
      <c r="F105" s="3416" t="n">
        <v>5000</v>
      </c>
      <c r="G105" s="812" t="n"/>
      <c r="H105" s="3417" t="n">
        <v>10000</v>
      </c>
      <c r="I105" s="3417" t="n"/>
      <c r="J105" s="811" t="n"/>
      <c r="K105" s="799" t="n"/>
      <c r="L105" s="3405" t="n"/>
      <c r="M105" s="3405" t="n"/>
      <c r="N105" s="1167" t="n"/>
      <c r="O105" s="1167" t="n"/>
      <c r="P105" s="1167" t="n"/>
      <c r="Q105" s="1167" t="n"/>
      <c r="R105" s="1167" t="n"/>
      <c r="S105" s="1167" t="n"/>
      <c r="T105" s="1167" t="n"/>
      <c r="U105" s="1167" t="n"/>
      <c r="V105" s="1168" t="n"/>
    </row>
    <row r="106" s="3154" customFormat="1" ht="11.25" customHeight="1">
      <c r="A106" s="1167" t="n"/>
      <c r="B106" s="1167" t="n"/>
      <c r="C106" s="1167" t="n"/>
      <c r="D106" s="796" t="n"/>
      <c r="E106" s="807" t="inlineStr">
        <is>
          <t xml:space="preserve">Frame Labor</t>
        </is>
      </c>
      <c r="F106" s="3416" t="n">
        <v>100000</v>
      </c>
      <c r="G106" s="812" t="n"/>
      <c r="H106" s="3417" t="n">
        <v>150000</v>
      </c>
      <c r="I106" s="3417" t="n"/>
      <c r="J106" s="811" t="n"/>
      <c r="K106" s="799" t="n"/>
      <c r="L106" s="3405" t="n"/>
      <c r="M106" s="3405" t="n"/>
      <c r="N106" s="1167" t="n"/>
      <c r="O106" s="1167" t="n"/>
      <c r="P106" s="1167" t="n"/>
      <c r="Q106" s="1167" t="n"/>
      <c r="R106" s="1167" t="n"/>
      <c r="S106" s="1167" t="n"/>
      <c r="T106" s="1167" t="n"/>
      <c r="U106" s="1167" t="n"/>
      <c r="V106" s="1168" t="n"/>
    </row>
    <row r="107" s="3154" customFormat="1" ht="11.25" customHeight="1">
      <c r="A107" s="1167" t="n"/>
      <c r="B107" s="1167" t="n"/>
      <c r="C107" s="1167" t="n"/>
      <c r="D107" s="796" t="n"/>
      <c r="E107" s="807" t="inlineStr">
        <is>
          <t xml:space="preserve">Frame Material</t>
        </is>
      </c>
      <c r="F107" s="3416" t="n">
        <v>150000</v>
      </c>
      <c r="G107" s="812" t="n"/>
      <c r="H107" s="3417" t="n">
        <v>225000</v>
      </c>
      <c r="I107" s="3417" t="n"/>
      <c r="J107" s="811" t="n"/>
      <c r="K107" s="799" t="n"/>
      <c r="L107" s="1167" t="n"/>
      <c r="M107" s="1167" t="n"/>
      <c r="N107" s="1167" t="n"/>
      <c r="O107" s="1167" t="n"/>
      <c r="P107" s="1167" t="n"/>
      <c r="Q107" s="1167" t="n"/>
      <c r="R107" s="1167" t="n"/>
      <c r="S107" s="1167" t="n"/>
      <c r="T107" s="1167" t="n"/>
      <c r="U107" s="1167" t="n"/>
      <c r="V107" s="1168" t="n"/>
    </row>
    <row r="108" s="3154" customFormat="1" ht="11.25" customHeight="1">
      <c r="A108" s="1167" t="n"/>
      <c r="B108" s="1167" t="n"/>
      <c r="C108" s="1167" t="n"/>
      <c r="D108" s="796" t="n"/>
      <c r="E108" s="807" t="inlineStr">
        <is>
          <t xml:space="preserve">General Insurance</t>
        </is>
      </c>
      <c r="F108" s="3416" t="n">
        <v>20000</v>
      </c>
      <c r="G108" s="809" t="inlineStr">
        <is>
          <t xml:space="preserve">to</t>
        </is>
      </c>
      <c r="H108" s="3417" t="n">
        <v>50000</v>
      </c>
      <c r="I108" s="3417" t="n"/>
      <c r="J108" s="811" t="n"/>
      <c r="K108" s="799" t="n"/>
      <c r="L108" s="1167" t="n"/>
      <c r="M108" s="1167" t="n"/>
      <c r="N108" s="1167" t="n"/>
      <c r="O108" s="1167" t="n"/>
      <c r="P108" s="1167" t="n"/>
      <c r="Q108" s="1167" t="n"/>
      <c r="R108" s="1167" t="n"/>
      <c r="S108" s="1167" t="n"/>
      <c r="T108" s="1167" t="n"/>
      <c r="U108" s="1167" t="n"/>
      <c r="V108" s="1168" t="n"/>
    </row>
    <row r="109" s="3154" customFormat="1" ht="11.25" customHeight="1">
      <c r="A109" s="1167" t="n"/>
      <c r="B109" s="1167" t="n"/>
      <c r="C109" s="1167" t="n"/>
      <c r="D109" s="796" t="n"/>
      <c r="E109" s="807" t="inlineStr">
        <is>
          <t xml:space="preserve">Interior Doors</t>
        </is>
      </c>
      <c r="F109" s="3416" t="n">
        <v>35000</v>
      </c>
      <c r="G109" s="812" t="n"/>
      <c r="H109" s="3417" t="n">
        <v>45000</v>
      </c>
      <c r="I109" s="3417" t="n"/>
      <c r="J109" s="811" t="n"/>
      <c r="K109" s="799" t="n"/>
      <c r="L109" s="1167" t="n"/>
      <c r="M109" s="1167" t="n"/>
      <c r="N109" s="1167" t="n"/>
      <c r="O109" s="1167" t="n"/>
      <c r="P109" s="1167" t="n"/>
      <c r="Q109" s="1167" t="n"/>
      <c r="R109" s="1167" t="n"/>
      <c r="S109" s="1167" t="n"/>
      <c r="T109" s="1167" t="n"/>
      <c r="U109" s="1167" t="n"/>
      <c r="V109" s="1168" t="n"/>
    </row>
    <row r="110" s="3154" customFormat="1" ht="11.25" customHeight="1">
      <c r="A110" s="1167" t="n"/>
      <c r="B110" s="1167" t="n"/>
      <c r="C110" s="1167" t="n"/>
      <c r="D110" s="796" t="n"/>
      <c r="E110" s="807" t="inlineStr">
        <is>
          <t xml:space="preserve">Interior Paint</t>
        </is>
      </c>
      <c r="F110" s="3416" t="n">
        <v>50000</v>
      </c>
      <c r="G110" s="812" t="n"/>
      <c r="H110" s="3417" t="n">
        <v>70000</v>
      </c>
      <c r="I110" s="3417" t="n"/>
      <c r="J110" s="811" t="n"/>
      <c r="K110" s="799" t="n"/>
      <c r="L110" s="1167" t="n"/>
      <c r="M110" s="1167" t="n"/>
      <c r="N110" s="1167" t="n"/>
      <c r="O110" s="1167" t="n"/>
      <c r="P110" s="1167" t="n"/>
      <c r="Q110" s="1167" t="n"/>
      <c r="R110" s="1167" t="n"/>
      <c r="S110" s="1167" t="n"/>
      <c r="T110" s="1167" t="n"/>
      <c r="U110" s="1167" t="n"/>
      <c r="V110" s="1168" t="n"/>
    </row>
    <row r="111" s="3154" customFormat="1" ht="11.25" customHeight="1">
      <c r="A111" s="1167" t="n"/>
      <c r="B111" s="1167" t="n"/>
      <c r="C111" s="1167" t="n"/>
      <c r="D111" s="796" t="n"/>
      <c r="E111" s="807" t="inlineStr">
        <is>
          <t xml:space="preserve">Insurance</t>
        </is>
      </c>
      <c r="F111" s="3416" t="n">
        <v>9000</v>
      </c>
      <c r="G111" s="809" t="inlineStr">
        <is>
          <t xml:space="preserve">to</t>
        </is>
      </c>
      <c r="H111" s="3417" t="n">
        <v>25000</v>
      </c>
      <c r="I111" s="3417" t="n"/>
      <c r="J111" s="811" t="n"/>
      <c r="K111" s="813" t="n">
        <v>1</v>
      </c>
      <c r="L111" s="3418" t="n"/>
      <c r="M111" s="3418" t="n"/>
      <c r="N111" s="1167" t="n"/>
      <c r="O111" s="1167" t="n"/>
      <c r="P111" s="1167" t="n"/>
      <c r="Q111" s="1167" t="n"/>
      <c r="R111" s="1167" t="n"/>
      <c r="S111" s="1167" t="n"/>
      <c r="T111" s="1167" t="n"/>
      <c r="U111" s="1167" t="n"/>
      <c r="V111" s="1168" t="n"/>
    </row>
    <row r="112" s="3154" customFormat="1" ht="11.25" customHeight="1">
      <c r="A112" s="1167" t="n"/>
      <c r="B112" s="1167" t="n"/>
      <c r="C112" s="1167" t="n"/>
      <c r="D112" s="796" t="n"/>
      <c r="E112" s="807" t="inlineStr">
        <is>
          <t xml:space="preserve">Insulation</t>
        </is>
      </c>
      <c r="F112" s="3416" t="n">
        <v>60000</v>
      </c>
      <c r="G112" s="812" t="n"/>
      <c r="H112" s="3417" t="n">
        <v>90000</v>
      </c>
      <c r="I112" s="3417" t="n"/>
      <c r="J112" s="811" t="n"/>
      <c r="K112" s="813" t="n">
        <v>2</v>
      </c>
      <c r="L112" s="815" t="n"/>
      <c r="M112" s="3391" t="n"/>
      <c r="N112" s="1167" t="n"/>
      <c r="O112" s="1167" t="n"/>
      <c r="P112" s="1167" t="n"/>
      <c r="Q112" s="1167" t="n"/>
      <c r="R112" s="1167" t="n"/>
      <c r="S112" s="1167" t="n"/>
      <c r="T112" s="1167" t="n"/>
      <c r="U112" s="1167" t="n"/>
      <c r="V112" s="1168" t="n"/>
    </row>
    <row r="113" s="3154" customFormat="1" ht="11.25" customHeight="1">
      <c r="A113" s="1167" t="n"/>
      <c r="B113" s="1167" t="n"/>
      <c r="C113" s="1167" t="n"/>
      <c r="D113" s="796" t="n"/>
      <c r="E113" s="807" t="inlineStr">
        <is>
          <t xml:space="preserve">Kitchen Equipment</t>
        </is>
      </c>
      <c r="F113" s="3416" t="n">
        <v>15000</v>
      </c>
      <c r="G113" s="812" t="n"/>
      <c r="H113" s="3417" t="n">
        <v>25000</v>
      </c>
      <c r="I113" s="3417" t="n"/>
      <c r="J113" s="811" t="n"/>
      <c r="K113" s="813" t="n">
        <v>3</v>
      </c>
      <c r="L113" s="815" t="n"/>
      <c r="M113" s="3391" t="n"/>
      <c r="N113" s="1167" t="n"/>
      <c r="O113" s="1167" t="n"/>
      <c r="P113" s="1167" t="n"/>
      <c r="Q113" s="1167" t="n"/>
      <c r="R113" s="1167" t="n"/>
      <c r="S113" s="1167" t="n"/>
      <c r="T113" s="1167" t="n"/>
      <c r="U113" s="1167" t="n"/>
      <c r="V113" s="1168" t="n"/>
    </row>
    <row r="114" s="3154" customFormat="1" ht="11.25" customHeight="1">
      <c r="A114" s="1167" t="n"/>
      <c r="B114" s="1167" t="n"/>
      <c r="C114" s="1167" t="n"/>
      <c r="D114" s="796" t="n"/>
      <c r="E114" s="807" t="inlineStr">
        <is>
          <t xml:space="preserve">Laundry</t>
        </is>
      </c>
      <c r="F114" s="3416" t="n">
        <v>18000</v>
      </c>
      <c r="G114" s="812" t="n"/>
      <c r="H114" s="3417" t="n">
        <v>25000</v>
      </c>
      <c r="I114" s="3417" t="n"/>
      <c r="J114" s="811" t="n"/>
      <c r="K114" s="813" t="n">
        <v>4</v>
      </c>
      <c r="L114" s="3405" t="n"/>
      <c r="M114" s="3405" t="n"/>
      <c r="N114" s="1167" t="n"/>
      <c r="O114" s="1167" t="n"/>
      <c r="P114" s="1167" t="n"/>
      <c r="Q114" s="1167" t="n"/>
      <c r="R114" s="1167" t="n"/>
      <c r="S114" s="1167" t="n"/>
      <c r="T114" s="1167" t="n"/>
      <c r="U114" s="1167" t="n"/>
      <c r="V114" s="1168" t="n"/>
    </row>
    <row r="115" s="3154" customFormat="1" ht="11.25" customHeight="1">
      <c r="A115" s="1167" t="n"/>
      <c r="B115" s="1167" t="n"/>
      <c r="C115" s="1167" t="n"/>
      <c r="D115" s="796" t="n"/>
      <c r="E115" s="807" t="inlineStr">
        <is>
          <t xml:space="preserve">Legal Fees</t>
        </is>
      </c>
      <c r="F115" s="3416" t="n">
        <v>10000</v>
      </c>
      <c r="G115" s="809" t="inlineStr">
        <is>
          <t xml:space="preserve">to</t>
        </is>
      </c>
      <c r="H115" s="3417" t="n">
        <v>40000</v>
      </c>
      <c r="I115" s="3417" t="n"/>
      <c r="J115" s="811" t="n"/>
      <c r="K115" s="813" t="n">
        <v>5</v>
      </c>
      <c r="L115" s="3391" t="n"/>
      <c r="M115" s="3391" t="n"/>
      <c r="N115" s="1167" t="n"/>
      <c r="O115" s="1167" t="n"/>
      <c r="P115" s="1167" t="n"/>
      <c r="Q115" s="1167" t="n"/>
      <c r="R115" s="1167" t="n"/>
      <c r="S115" s="1167" t="n"/>
      <c r="T115" s="1167" t="n"/>
      <c r="U115" s="1167" t="n"/>
      <c r="V115" s="1168" t="n"/>
    </row>
    <row r="116" s="3154" customFormat="1" ht="11.25" customHeight="1">
      <c r="A116" s="1167" t="n"/>
      <c r="B116" s="1167" t="n"/>
      <c r="C116" s="1167" t="n"/>
      <c r="D116" s="796" t="n"/>
      <c r="E116" s="807" t="inlineStr">
        <is>
          <t xml:space="preserve">Light Fixtures</t>
        </is>
      </c>
      <c r="F116" s="3416" t="n">
        <v>40000</v>
      </c>
      <c r="G116" s="812" t="n"/>
      <c r="H116" s="3417" t="n">
        <v>70000</v>
      </c>
      <c r="I116" s="3417" t="n"/>
      <c r="J116" s="811" t="n"/>
      <c r="K116" s="813" t="n">
        <v>6</v>
      </c>
      <c r="L116" s="1167" t="n"/>
      <c r="M116" s="1167" t="n"/>
      <c r="N116" s="1167" t="n"/>
      <c r="O116" s="1167" t="n"/>
      <c r="P116" s="1167" t="n"/>
      <c r="Q116" s="1167" t="n"/>
      <c r="R116" s="1167" t="n"/>
      <c r="S116" s="1167" t="n"/>
      <c r="T116" s="1167" t="n"/>
      <c r="U116" s="1167" t="n"/>
      <c r="V116" s="1168" t="n"/>
    </row>
    <row r="117" s="3154" customFormat="1" ht="11.25" customHeight="1">
      <c r="A117" s="1167" t="n"/>
      <c r="B117" s="1167" t="n"/>
      <c r="C117" s="1167" t="n"/>
      <c r="D117" s="796" t="n"/>
      <c r="E117" s="807" t="inlineStr">
        <is>
          <t xml:space="preserve">Loan Origination</t>
        </is>
      </c>
      <c r="F117" s="3416" t="n">
        <v>38000</v>
      </c>
      <c r="G117" s="809" t="inlineStr">
        <is>
          <t xml:space="preserve">to</t>
        </is>
      </c>
      <c r="H117" s="3417" t="n">
        <v>50000</v>
      </c>
      <c r="I117" s="3417" t="n"/>
      <c r="J117" s="811" t="n"/>
      <c r="K117" s="813" t="n">
        <v>7</v>
      </c>
      <c r="L117" s="1167" t="n"/>
      <c r="M117" s="1167" t="n"/>
      <c r="N117" s="1167" t="n"/>
      <c r="O117" s="1167" t="n"/>
      <c r="P117" s="1167" t="n"/>
      <c r="Q117" s="1167" t="n"/>
      <c r="R117" s="1167" t="n"/>
      <c r="S117" s="1167" t="n"/>
      <c r="T117" s="1167" t="n"/>
      <c r="U117" s="1167" t="n"/>
      <c r="V117" s="1168" t="n"/>
    </row>
    <row r="118" s="3154" customFormat="1" ht="11.25" customHeight="1">
      <c r="A118" s="1167" t="n"/>
      <c r="B118" s="1167" t="n"/>
      <c r="C118" s="1167" t="n"/>
      <c r="D118" s="796" t="n"/>
      <c r="E118" s="807" t="inlineStr">
        <is>
          <t xml:space="preserve">HVAC</t>
        </is>
      </c>
      <c r="F118" s="3416" t="n">
        <v>90000</v>
      </c>
      <c r="G118" s="812" t="n"/>
      <c r="H118" s="3417" t="n">
        <v>125000</v>
      </c>
      <c r="I118" s="3417" t="n"/>
      <c r="J118" s="811" t="n"/>
      <c r="K118" s="813" t="n">
        <v>8</v>
      </c>
      <c r="L118" s="1167" t="n"/>
      <c r="M118" s="1167" t="n"/>
      <c r="N118" s="1167" t="n"/>
      <c r="O118" s="1167" t="n"/>
      <c r="P118" s="1167" t="n"/>
      <c r="Q118" s="1167" t="n"/>
      <c r="R118" s="1167" t="n"/>
      <c r="S118" s="1167" t="n"/>
      <c r="T118" s="1167" t="n"/>
      <c r="U118" s="1167" t="n"/>
      <c r="V118" s="1168" t="n"/>
    </row>
    <row r="119" s="3154" customFormat="1" ht="11.25" customHeight="1">
      <c r="A119" s="1167" t="n"/>
      <c r="B119" s="1167" t="n"/>
      <c r="C119" s="1167" t="n"/>
      <c r="D119" s="796" t="n"/>
      <c r="E119" s="807" t="inlineStr">
        <is>
          <t xml:space="preserve">Mandatory Signage</t>
        </is>
      </c>
      <c r="F119" s="3416" t="n">
        <v>35000</v>
      </c>
      <c r="G119" s="809" t="inlineStr">
        <is>
          <t xml:space="preserve">to</t>
        </is>
      </c>
      <c r="H119" s="3417" t="n">
        <v>80000</v>
      </c>
      <c r="I119" s="3417" t="n"/>
      <c r="J119" s="811" t="n"/>
      <c r="K119" s="813" t="n">
        <v>9</v>
      </c>
      <c r="L119" s="1167" t="n"/>
      <c r="M119" s="1167" t="n"/>
      <c r="N119" s="1167" t="n"/>
      <c r="O119" s="1167" t="n"/>
      <c r="P119" s="1167" t="n"/>
      <c r="Q119" s="1167" t="n"/>
      <c r="R119" s="1167" t="n"/>
      <c r="S119" s="1167" t="n"/>
      <c r="T119" s="1167" t="n"/>
      <c r="U119" s="1167" t="n"/>
      <c r="V119" s="1168" t="n"/>
    </row>
    <row r="120" s="3154" customFormat="1" ht="11.25" customHeight="1">
      <c r="A120" s="1167" t="n"/>
      <c r="B120" s="1167" t="n"/>
      <c r="C120" s="1167" t="n"/>
      <c r="D120" s="796" t="n"/>
      <c r="E120" s="807" t="inlineStr">
        <is>
          <t xml:space="preserve">Opening Inventories</t>
        </is>
      </c>
      <c r="F120" s="3416" t="n">
        <v>600</v>
      </c>
      <c r="G120" s="809" t="inlineStr">
        <is>
          <t xml:space="preserve">to</t>
        </is>
      </c>
      <c r="H120" s="3417" t="n">
        <v>1200</v>
      </c>
      <c r="I120" s="3417" t="n"/>
      <c r="J120" s="807" t="inlineStr">
        <is>
          <t xml:space="preserve">per room</t>
        </is>
      </c>
      <c r="K120" s="813" t="n">
        <v>10</v>
      </c>
      <c r="L120" s="1167" t="n"/>
      <c r="M120" s="1167" t="n"/>
      <c r="N120" s="1167" t="n"/>
      <c r="O120" s="1167" t="n"/>
      <c r="P120" s="1167" t="n"/>
      <c r="Q120" s="1167" t="n"/>
      <c r="R120" s="1167" t="n"/>
      <c r="S120" s="1167" t="n"/>
      <c r="T120" s="1167" t="n"/>
      <c r="U120" s="1167" t="n"/>
      <c r="V120" s="1168" t="n"/>
    </row>
    <row r="121" s="3154" customFormat="1" ht="11.25" customHeight="1">
      <c r="A121" s="1167" t="n"/>
      <c r="B121" s="1167" t="n"/>
      <c r="C121" s="1167" t="n"/>
      <c r="D121" s="796" t="n"/>
      <c r="E121" s="807" t="inlineStr">
        <is>
          <t xml:space="preserve">Phone &amp; Security</t>
        </is>
      </c>
      <c r="F121" s="3416" t="n">
        <v>20000</v>
      </c>
      <c r="G121" s="812" t="n"/>
      <c r="H121" s="3417" t="n">
        <v>40000</v>
      </c>
      <c r="I121" s="3417" t="n"/>
      <c r="J121" s="811" t="n"/>
      <c r="K121" s="813" t="n">
        <v>11</v>
      </c>
      <c r="L121" s="1167" t="n"/>
      <c r="M121" s="1167" t="n"/>
      <c r="N121" s="1167" t="n"/>
      <c r="O121" s="1167" t="n"/>
      <c r="P121" s="1167" t="n"/>
      <c r="Q121" s="1167" t="n"/>
      <c r="R121" s="1167" t="n"/>
      <c r="S121" s="1167" t="n"/>
      <c r="T121" s="1167" t="n"/>
      <c r="U121" s="1167" t="n"/>
      <c r="V121" s="1168" t="n"/>
    </row>
    <row r="122" s="3154" customFormat="1" ht="11.25" customHeight="1">
      <c r="A122" s="1167" t="n"/>
      <c r="B122" s="1167" t="n"/>
      <c r="C122" s="1167" t="n"/>
      <c r="D122" s="796" t="n"/>
      <c r="E122" s="807" t="inlineStr">
        <is>
          <t xml:space="preserve">Plumbing Labor</t>
        </is>
      </c>
      <c r="F122" s="3416" t="n">
        <v>75000</v>
      </c>
      <c r="G122" s="809" t="inlineStr">
        <is>
          <t xml:space="preserve">to</t>
        </is>
      </c>
      <c r="H122" s="3417" t="n">
        <v>150000</v>
      </c>
      <c r="I122" s="3417" t="n"/>
      <c r="J122" s="816" t="n"/>
      <c r="K122" s="813" t="n">
        <v>12</v>
      </c>
      <c r="L122" s="1167" t="n"/>
      <c r="M122" s="1167" t="n"/>
      <c r="N122" s="1167" t="n"/>
      <c r="O122" s="1167" t="n"/>
      <c r="P122" s="1167" t="n"/>
      <c r="Q122" s="1167" t="n"/>
      <c r="R122" s="1167" t="n"/>
      <c r="S122" s="1167" t="n"/>
      <c r="T122" s="1167" t="n"/>
      <c r="U122" s="1167" t="n"/>
      <c r="V122" s="1168" t="n"/>
    </row>
    <row r="123" s="3154" customFormat="1" ht="11.25" customHeight="1">
      <c r="A123" s="1167" t="n"/>
      <c r="B123" s="1167" t="n"/>
      <c r="C123" s="1167" t="n"/>
      <c r="D123" s="796" t="n"/>
      <c r="E123" s="807" t="inlineStr">
        <is>
          <t xml:space="preserve">Plumbing Fixtures</t>
        </is>
      </c>
      <c r="F123" s="3416" t="n">
        <v>50000</v>
      </c>
      <c r="G123" s="812" t="n"/>
      <c r="H123" s="3417" t="n">
        <v>100000</v>
      </c>
      <c r="I123" s="3417" t="n"/>
      <c r="J123" s="816" t="n"/>
      <c r="K123" s="799" t="n"/>
      <c r="L123" s="1167" t="n"/>
      <c r="M123" s="1167" t="n"/>
      <c r="N123" s="1167" t="n"/>
      <c r="O123" s="1167" t="n"/>
      <c r="P123" s="1167" t="n"/>
      <c r="Q123" s="1167" t="n"/>
      <c r="R123" s="1167" t="n"/>
      <c r="S123" s="1167" t="n"/>
      <c r="T123" s="1167" t="n"/>
      <c r="U123" s="1167" t="n"/>
      <c r="V123" s="1168" t="n"/>
    </row>
    <row r="124" s="3154" customFormat="1" ht="11.25" customHeight="1">
      <c r="A124" s="1167" t="n"/>
      <c r="B124" s="1167" t="n"/>
      <c r="C124" s="1167" t="n"/>
      <c r="D124" s="796" t="n"/>
      <c r="E124" s="807" t="inlineStr">
        <is>
          <t xml:space="preserve">Pre-Opening Advertising</t>
        </is>
      </c>
      <c r="F124" s="3416" t="n">
        <v>12000</v>
      </c>
      <c r="G124" s="809" t="inlineStr">
        <is>
          <t xml:space="preserve">to</t>
        </is>
      </c>
      <c r="H124" s="3417" t="n">
        <v>20000</v>
      </c>
      <c r="I124" s="3417" t="n"/>
      <c r="J124" s="811" t="n"/>
      <c r="K124" s="799" t="n"/>
      <c r="L124" s="1167" t="n"/>
      <c r="M124" s="1167" t="n"/>
      <c r="N124" s="1167" t="n"/>
      <c r="O124" s="1167" t="n"/>
      <c r="P124" s="1167" t="n"/>
      <c r="Q124" s="1167" t="n"/>
      <c r="R124" s="1167" t="n"/>
      <c r="S124" s="1167" t="n"/>
      <c r="T124" s="1167" t="n"/>
      <c r="U124" s="1167" t="n"/>
      <c r="V124" s="1168" t="n"/>
    </row>
    <row r="125" s="3154" customFormat="1" ht="11.25" customHeight="1">
      <c r="A125" s="1167" t="n"/>
      <c r="B125" s="1167" t="n"/>
      <c r="C125" s="1167" t="n"/>
      <c r="D125" s="796" t="n"/>
      <c r="E125" s="807" t="inlineStr">
        <is>
          <t xml:space="preserve">PMS System</t>
        </is>
      </c>
      <c r="F125" s="3416" t="n">
        <v>26000</v>
      </c>
      <c r="G125" s="809" t="inlineStr">
        <is>
          <t xml:space="preserve">to</t>
        </is>
      </c>
      <c r="H125" s="3417" t="n">
        <v>45000</v>
      </c>
      <c r="I125" s="3417" t="n"/>
      <c r="J125" s="811" t="n"/>
      <c r="K125" s="799" t="n"/>
      <c r="L125" s="1167" t="n"/>
      <c r="M125" s="1167" t="n"/>
      <c r="N125" s="1167" t="n"/>
      <c r="O125" s="1167" t="n"/>
      <c r="P125" s="1167" t="n"/>
      <c r="Q125" s="1167" t="n"/>
      <c r="R125" s="1167" t="n"/>
      <c r="S125" s="1167" t="n"/>
      <c r="T125" s="1167" t="n"/>
      <c r="U125" s="1167" t="n"/>
      <c r="V125" s="1168" t="n"/>
    </row>
    <row r="126" s="3154" customFormat="1" ht="11.25" customHeight="1">
      <c r="A126" s="1167" t="n"/>
      <c r="B126" s="1167" t="n"/>
      <c r="C126" s="1167" t="n"/>
      <c r="D126" s="796" t="n"/>
      <c r="E126" s="807" t="inlineStr">
        <is>
          <t xml:space="preserve">Roofing</t>
        </is>
      </c>
      <c r="F126" s="3416" t="n">
        <v>60000</v>
      </c>
      <c r="G126" s="812" t="n"/>
      <c r="H126" s="3417" t="n">
        <v>85000</v>
      </c>
      <c r="I126" s="3417" t="n"/>
      <c r="J126" s="811" t="n"/>
      <c r="K126" s="799" t="n"/>
      <c r="L126" s="1167" t="n"/>
      <c r="M126" s="1167" t="n"/>
      <c r="N126" s="1167" t="n"/>
      <c r="O126" s="1167" t="n"/>
      <c r="P126" s="1167" t="n"/>
      <c r="Q126" s="1167" t="n"/>
      <c r="R126" s="1167" t="n"/>
      <c r="S126" s="1167" t="n"/>
      <c r="T126" s="1167" t="n"/>
      <c r="U126" s="1167" t="n"/>
      <c r="V126" s="1168" t="n"/>
    </row>
    <row r="127" s="3154" customFormat="1" ht="15" customHeight="1">
      <c r="A127" s="1167" t="n"/>
      <c r="B127" s="1167" t="n"/>
      <c r="C127" s="1167" t="n"/>
      <c r="D127" s="796" t="n"/>
      <c r="E127" s="807" t="inlineStr">
        <is>
          <t xml:space="preserve">Salaries- const.</t>
        </is>
      </c>
      <c r="F127" s="3416" t="n">
        <v>20000</v>
      </c>
      <c r="G127" s="809" t="inlineStr">
        <is>
          <t xml:space="preserve">to</t>
        </is>
      </c>
      <c r="H127" s="3417" t="n">
        <v>80000</v>
      </c>
      <c r="I127" s="3417" t="n"/>
      <c r="J127" s="811" t="n"/>
      <c r="K127" s="799" t="n"/>
      <c r="L127" s="1167" t="n"/>
      <c r="M127" s="1167" t="n"/>
      <c r="N127" s="3373" t="n"/>
      <c r="O127" s="3373" t="n"/>
      <c r="P127" s="3373" t="n"/>
      <c r="Q127" s="3372" t="n"/>
      <c r="R127" s="3372" t="n"/>
      <c r="S127" s="3372" t="n"/>
      <c r="T127" s="3372" t="n"/>
      <c r="U127" s="1167" t="n"/>
      <c r="V127" s="1168" t="n"/>
    </row>
    <row r="128" s="3154" customFormat="1" ht="15" customHeight="1">
      <c r="A128" s="1167" t="n"/>
      <c r="B128" s="1167" t="n"/>
      <c r="C128" s="1167" t="n"/>
      <c r="D128" s="796" t="n"/>
      <c r="E128" s="807" t="inlineStr">
        <is>
          <t xml:space="preserve">Sheetrock, Tape &amp; Float</t>
        </is>
      </c>
      <c r="F128" s="3416" t="n">
        <v>80000</v>
      </c>
      <c r="G128" s="812" t="n"/>
      <c r="H128" s="3417" t="n">
        <v>110000</v>
      </c>
      <c r="I128" s="3417" t="n"/>
      <c r="J128" s="811" t="n"/>
      <c r="K128" s="799" t="n"/>
      <c r="L128" s="1167" t="n"/>
      <c r="M128" s="1167" t="n"/>
      <c r="N128" s="3373" t="n"/>
      <c r="O128" s="3373" t="n"/>
      <c r="P128" s="3373" t="n"/>
      <c r="Q128" s="3372" t="n"/>
      <c r="R128" s="3372" t="n"/>
      <c r="S128" s="3372" t="n"/>
      <c r="T128" s="3372" t="n"/>
      <c r="U128" s="1167" t="n"/>
      <c r="V128" s="1168" t="n"/>
    </row>
    <row r="129" s="3154" customFormat="1" ht="15" customHeight="1">
      <c r="A129" s="1167" t="n"/>
      <c r="B129" s="1167" t="n"/>
      <c r="C129" s="1167" t="n"/>
      <c r="D129" s="796" t="n"/>
      <c r="E129" s="807" t="inlineStr">
        <is>
          <t xml:space="preserve">Site Prep &amp; Paving</t>
        </is>
      </c>
      <c r="F129" s="3416" t="n">
        <v>50000</v>
      </c>
      <c r="G129" s="809" t="inlineStr">
        <is>
          <t xml:space="preserve">to</t>
        </is>
      </c>
      <c r="H129" s="3417" t="n">
        <v>150000</v>
      </c>
      <c r="I129" s="3417" t="n"/>
      <c r="J129" s="811" t="n"/>
      <c r="K129" s="799" t="n"/>
      <c r="L129" s="1167" t="n"/>
      <c r="M129" s="1167" t="n"/>
      <c r="N129" s="3373" t="n"/>
      <c r="O129" s="3373" t="n"/>
      <c r="P129" s="3373" t="n"/>
      <c r="Q129" s="3372" t="n"/>
      <c r="R129" s="3372" t="n"/>
      <c r="S129" s="3372" t="n"/>
      <c r="T129" s="3372" t="n"/>
      <c r="U129" s="1167" t="n"/>
      <c r="V129" s="1168" t="n"/>
    </row>
    <row r="130" s="3154" customFormat="1" ht="15" customHeight="1">
      <c r="A130" s="1167" t="n"/>
      <c r="B130" s="1167" t="n"/>
      <c r="C130" s="1167" t="n"/>
      <c r="D130" s="796" t="n"/>
      <c r="E130" s="807" t="inlineStr">
        <is>
          <t xml:space="preserve">Soil Test</t>
        </is>
      </c>
      <c r="F130" s="3416" t="n">
        <v>3000</v>
      </c>
      <c r="G130" s="809" t="inlineStr">
        <is>
          <t xml:space="preserve">to</t>
        </is>
      </c>
      <c r="H130" s="3417" t="n">
        <v>7500</v>
      </c>
      <c r="I130" s="3417" t="n"/>
      <c r="J130" s="811" t="n"/>
      <c r="K130" s="799" t="n"/>
      <c r="L130" s="740" t="n"/>
      <c r="M130" s="1167" t="n"/>
      <c r="N130" s="3373" t="n"/>
      <c r="O130" s="3373" t="n"/>
      <c r="P130" s="3373" t="n"/>
      <c r="Q130" s="3372" t="n"/>
      <c r="R130" s="3372" t="n"/>
      <c r="S130" s="3372" t="n"/>
      <c r="T130" s="3372" t="n"/>
      <c r="U130" s="1167" t="n"/>
      <c r="V130" s="1168" t="n"/>
    </row>
    <row r="131" s="3154" customFormat="1" ht="15" customHeight="1">
      <c r="A131" s="1167" t="n"/>
      <c r="B131" s="1167" t="n"/>
      <c r="C131" s="1167" t="n"/>
      <c r="D131" s="796" t="n"/>
      <c r="E131" s="807" t="inlineStr">
        <is>
          <t xml:space="preserve">Stairs</t>
        </is>
      </c>
      <c r="F131" s="3416" t="n">
        <v>25000</v>
      </c>
      <c r="G131" s="812" t="n"/>
      <c r="H131" s="3417" t="n">
        <v>40000</v>
      </c>
      <c r="I131" s="3417" t="n"/>
      <c r="J131" s="811" t="n"/>
      <c r="K131" s="799" t="n"/>
      <c r="L131" s="740" t="n"/>
      <c r="M131" s="1167" t="n"/>
      <c r="N131" s="3373" t="n"/>
      <c r="O131" s="3373" t="n"/>
      <c r="P131" s="3373" t="n"/>
      <c r="Q131" s="3372" t="n"/>
      <c r="R131" s="3372" t="n"/>
      <c r="S131" s="3372" t="n"/>
      <c r="T131" s="3372" t="n"/>
      <c r="U131" s="1167" t="n"/>
      <c r="V131" s="1168" t="n"/>
    </row>
    <row r="132" s="3154" customFormat="1" ht="15" customHeight="1">
      <c r="A132" s="1167" t="n"/>
      <c r="B132" s="1167" t="n"/>
      <c r="C132" s="1167" t="n"/>
      <c r="D132" s="796" t="n"/>
      <c r="E132" s="807" t="inlineStr">
        <is>
          <t xml:space="preserve">Stucco</t>
        </is>
      </c>
      <c r="F132" s="3416" t="n">
        <v>100000</v>
      </c>
      <c r="G132" s="812" t="n"/>
      <c r="H132" s="3417" t="n">
        <v>115000</v>
      </c>
      <c r="I132" s="3417" t="n"/>
      <c r="J132" s="811" t="n"/>
      <c r="K132" s="799" t="n"/>
      <c r="L132" s="1167" t="n"/>
      <c r="M132" s="1167" t="n"/>
      <c r="N132" s="3373" t="n"/>
      <c r="O132" s="3373" t="n"/>
      <c r="P132" s="3373" t="n"/>
      <c r="Q132" s="3372" t="n"/>
      <c r="R132" s="3372" t="n"/>
      <c r="S132" s="3372" t="n"/>
      <c r="T132" s="3372" t="n"/>
      <c r="U132" s="1167" t="n"/>
      <c r="V132" s="1168" t="n"/>
    </row>
    <row r="133" s="3154" customFormat="1" ht="11.25" customHeight="1">
      <c r="A133" s="1167" t="n"/>
      <c r="B133" s="1167" t="n"/>
      <c r="C133" s="1167" t="n"/>
      <c r="D133" s="796" t="n"/>
      <c r="E133" s="807" t="inlineStr">
        <is>
          <t xml:space="preserve">Tile Floor</t>
        </is>
      </c>
      <c r="F133" s="3416" t="n">
        <v>50000</v>
      </c>
      <c r="G133" s="812" t="n"/>
      <c r="H133" s="3417" t="n">
        <v>60000</v>
      </c>
      <c r="I133" s="3417" t="n"/>
      <c r="J133" s="811" t="n"/>
      <c r="K133" s="799" t="n"/>
      <c r="L133" s="1167" t="n"/>
      <c r="M133" s="1167" t="n"/>
      <c r="N133" s="1167" t="n"/>
      <c r="O133" s="1167" t="n"/>
      <c r="P133" s="1167" t="n"/>
      <c r="Q133" s="1167" t="n"/>
      <c r="R133" s="1167" t="n"/>
      <c r="S133" s="1167" t="n"/>
      <c r="T133" s="1167" t="n"/>
      <c r="U133" s="1167" t="n"/>
      <c r="V133" s="1168" t="n"/>
    </row>
    <row r="134" s="3154" customFormat="1" ht="15" customHeight="1">
      <c r="A134" s="1167" t="n"/>
      <c r="B134" s="1167" t="n"/>
      <c r="C134" s="1167" t="n"/>
      <c r="D134" s="796" t="n"/>
      <c r="E134" s="807" t="inlineStr">
        <is>
          <t xml:space="preserve">Tile Showers</t>
        </is>
      </c>
      <c r="F134" s="3416" t="n">
        <v>35000</v>
      </c>
      <c r="G134" s="812" t="n"/>
      <c r="H134" s="3417" t="n">
        <v>45000</v>
      </c>
      <c r="I134" s="3417" t="n"/>
      <c r="J134" s="811" t="n"/>
      <c r="K134" s="817" t="n"/>
      <c r="L134" s="1167" t="n"/>
      <c r="M134" s="1167" t="n"/>
      <c r="N134" s="3373" t="n"/>
      <c r="O134" s="3373" t="n"/>
      <c r="P134" s="3373" t="n"/>
      <c r="Q134" s="3373" t="n"/>
      <c r="R134" s="3373" t="n"/>
      <c r="S134" s="3373" t="n"/>
      <c r="T134" s="3373" t="n"/>
      <c r="U134" s="1167" t="n"/>
      <c r="V134" s="1168" t="n"/>
    </row>
    <row r="135" s="3154" customFormat="1" ht="11.25" customHeight="1">
      <c r="A135" s="1167" t="n"/>
      <c r="B135" s="1167" t="n"/>
      <c r="C135" s="1167" t="n"/>
      <c r="D135" s="796" t="n"/>
      <c r="E135" s="807" t="inlineStr">
        <is>
          <t xml:space="preserve">Travel</t>
        </is>
      </c>
      <c r="F135" s="3416" t="n">
        <v>0</v>
      </c>
      <c r="G135" s="809" t="inlineStr">
        <is>
          <t xml:space="preserve">to</t>
        </is>
      </c>
      <c r="H135" s="3417" t="n">
        <v>15000</v>
      </c>
      <c r="I135" s="3417" t="n"/>
      <c r="J135" s="811" t="n"/>
      <c r="K135" s="799" t="n"/>
      <c r="L135" s="1167" t="n"/>
      <c r="M135" s="1167" t="n"/>
      <c r="N135" s="1167" t="n"/>
      <c r="O135" s="1167" t="n"/>
      <c r="P135" s="1167" t="n"/>
      <c r="Q135" s="1167" t="n"/>
      <c r="R135" s="1167" t="n"/>
      <c r="S135" s="1167" t="n"/>
      <c r="T135" s="1167" t="n"/>
      <c r="U135" s="1167" t="n"/>
      <c r="V135" s="1168" t="n"/>
    </row>
    <row r="136" s="3154" customFormat="1" ht="11.25" customHeight="1">
      <c r="A136" s="1167" t="n"/>
      <c r="B136" s="1167" t="n"/>
      <c r="C136" s="1167" t="n"/>
      <c r="D136" s="796" t="n"/>
      <c r="E136" s="807" t="inlineStr">
        <is>
          <t xml:space="preserve">Trim Labor</t>
        </is>
      </c>
      <c r="F136" s="3416" t="n">
        <v>50000</v>
      </c>
      <c r="G136" s="812" t="n"/>
      <c r="H136" s="3417" t="n">
        <v>75000</v>
      </c>
      <c r="I136" s="3417" t="n"/>
      <c r="J136" s="811" t="n"/>
      <c r="K136" s="799" t="n"/>
      <c r="L136" s="1167" t="n"/>
      <c r="M136" s="1167" t="n"/>
      <c r="N136" s="1167" t="n"/>
      <c r="O136" s="1167" t="n"/>
      <c r="P136" s="1167" t="n"/>
      <c r="Q136" s="1167" t="n"/>
      <c r="R136" s="1167" t="n"/>
      <c r="S136" s="1167" t="n"/>
      <c r="T136" s="1167" t="n"/>
      <c r="U136" s="1167" t="n"/>
      <c r="V136" s="1168" t="n"/>
    </row>
    <row r="137" s="3154" customFormat="1" ht="11.25" customHeight="1">
      <c r="A137" s="1167" t="n"/>
      <c r="B137" s="1167" t="n"/>
      <c r="C137" s="1167" t="n"/>
      <c r="D137" s="796" t="n"/>
      <c r="E137" s="807" t="inlineStr">
        <is>
          <t xml:space="preserve">Windows</t>
        </is>
      </c>
      <c r="F137" s="3416" t="n">
        <v>30000</v>
      </c>
      <c r="G137" s="812" t="n"/>
      <c r="H137" s="3417" t="n">
        <v>50000</v>
      </c>
      <c r="I137" s="3417" t="n"/>
      <c r="J137" s="811" t="n"/>
      <c r="K137" s="799" t="n"/>
      <c r="L137" s="1167" t="n"/>
      <c r="M137" s="1167" t="n"/>
      <c r="N137" s="1167" t="n"/>
      <c r="O137" s="1167" t="n"/>
      <c r="P137" s="1167" t="n"/>
      <c r="Q137" s="1167" t="n"/>
      <c r="R137" s="1167" t="n"/>
      <c r="S137" s="1167" t="n"/>
      <c r="T137" s="1167" t="n"/>
      <c r="U137" s="1167" t="n"/>
      <c r="V137" s="1168" t="n"/>
    </row>
    <row r="138" s="3154" customFormat="1" ht="11.25" customHeight="1">
      <c r="A138" s="1167" t="n"/>
      <c r="B138" s="1167" t="n"/>
      <c r="C138" s="1167" t="n"/>
      <c r="D138" s="796" t="n"/>
      <c r="E138" s="807" t="inlineStr">
        <is>
          <t xml:space="preserve">Worker's Comp</t>
        </is>
      </c>
      <c r="F138" s="3416" t="n">
        <v>5000</v>
      </c>
      <c r="G138" s="809" t="inlineStr">
        <is>
          <t xml:space="preserve">to</t>
        </is>
      </c>
      <c r="H138" s="3417" t="n">
        <v>25000</v>
      </c>
      <c r="I138" s="3417" t="n"/>
      <c r="J138" s="811" t="n"/>
      <c r="K138" s="799" t="n"/>
      <c r="L138" s="1167" t="n"/>
      <c r="M138" s="1167" t="n"/>
      <c r="N138" s="1167" t="n"/>
      <c r="O138" s="1167" t="n"/>
      <c r="P138" s="1167" t="n"/>
      <c r="Q138" s="1167" t="n"/>
      <c r="R138" s="1167" t="n"/>
      <c r="S138" s="1167" t="n"/>
      <c r="T138" s="1167" t="n"/>
      <c r="U138" s="1167" t="n"/>
      <c r="V138" s="1168" t="n"/>
    </row>
    <row r="139" s="3154" customFormat="1" ht="11.25" customHeight="1">
      <c r="A139" s="1167" t="n"/>
      <c r="B139" s="1167" t="n"/>
      <c r="C139" s="1167" t="n"/>
      <c r="D139" s="796" t="n"/>
      <c r="E139" s="807" t="inlineStr">
        <is>
          <t xml:space="preserve">Working Capital</t>
        </is>
      </c>
      <c r="F139" s="3416" t="n">
        <v>101798</v>
      </c>
      <c r="G139" s="809" t="inlineStr">
        <is>
          <t xml:space="preserve">to</t>
        </is>
      </c>
      <c r="H139" s="3417" t="n">
        <v>153153</v>
      </c>
      <c r="I139" s="3417" t="n"/>
      <c r="J139" s="811" t="n"/>
      <c r="K139" s="799" t="n"/>
      <c r="L139" s="1167" t="n"/>
      <c r="M139" s="1167" t="n"/>
      <c r="N139" s="1167" t="n"/>
      <c r="O139" s="1167" t="n"/>
      <c r="P139" s="1167" t="n"/>
      <c r="Q139" s="1167" t="n"/>
      <c r="R139" s="1167" t="n"/>
      <c r="S139" s="1167" t="n"/>
      <c r="T139" s="1167" t="n"/>
      <c r="U139" s="1167" t="n"/>
      <c r="V139" s="1168" t="n"/>
    </row>
    <row r="140" s="3154" customFormat="1" ht="11.25" customHeight="1">
      <c r="A140" s="1167" t="n"/>
      <c r="B140" s="1167" t="n"/>
      <c r="C140" s="1167" t="n"/>
      <c r="D140" s="1167" t="n"/>
      <c r="E140" s="789" t="n"/>
      <c r="F140" s="789" t="n"/>
      <c r="G140" s="789" t="n"/>
      <c r="H140" s="789" t="n"/>
      <c r="I140" s="789" t="n"/>
      <c r="J140" s="789" t="n"/>
      <c r="K140" s="1167" t="n"/>
      <c r="L140" s="1167" t="n"/>
      <c r="M140" s="1167" t="n"/>
      <c r="N140" s="1167" t="n"/>
      <c r="O140" s="1167" t="n"/>
      <c r="P140" s="1167" t="n"/>
      <c r="Q140" s="1167" t="n"/>
      <c r="R140" s="1167" t="n"/>
      <c r="S140" s="1167" t="n"/>
      <c r="T140" s="1167" t="n"/>
      <c r="U140" s="1167" t="n"/>
      <c r="V140" s="1168" t="n"/>
    </row>
    <row r="141" s="3154" customFormat="1" ht="11.25" customHeight="1">
      <c r="A141" s="1167" t="n"/>
      <c r="B141" s="1167" t="n"/>
      <c r="C141" s="1167" t="n"/>
      <c r="D141" s="1167" t="n"/>
      <c r="E141" s="805" t="n"/>
      <c r="F141" s="805" t="n"/>
      <c r="G141" s="805" t="n"/>
      <c r="H141" s="805" t="n"/>
      <c r="I141" s="805" t="n"/>
      <c r="J141" s="805" t="n"/>
      <c r="K141" s="1167" t="n"/>
      <c r="L141" s="1167" t="n"/>
      <c r="M141" s="1167" t="n"/>
      <c r="N141" s="1167" t="n"/>
      <c r="O141" s="1167" t="n"/>
      <c r="P141" s="1167" t="n"/>
      <c r="Q141" s="1167" t="n"/>
      <c r="R141" s="1167" t="n"/>
      <c r="S141" s="1167" t="n"/>
      <c r="T141" s="1167" t="n"/>
      <c r="U141" s="1167" t="n"/>
      <c r="V141" s="1168" t="n"/>
    </row>
    <row r="142" s="3154" customFormat="1" ht="11.25" customHeight="1">
      <c r="A142" s="1167" t="n"/>
      <c r="B142" s="1167" t="n"/>
      <c r="C142" s="1167" t="n"/>
      <c r="D142" s="796" t="n"/>
      <c r="E142" s="797" t="inlineStr">
        <is>
          <t xml:space="preserve">FFE</t>
        </is>
      </c>
      <c r="F142" s="3414" t="n">
        <v>8000</v>
      </c>
      <c r="G142" s="797" t="inlineStr">
        <is>
          <t xml:space="preserve">to</t>
        </is>
      </c>
      <c r="H142" s="3419" t="n">
        <v>12000</v>
      </c>
      <c r="I142" s="3419" t="n"/>
      <c r="J142" s="819" t="n"/>
      <c r="K142" s="1167" t="n"/>
      <c r="L142" s="1167" t="n"/>
      <c r="M142" s="1167" t="n"/>
      <c r="N142" s="1167" t="n"/>
      <c r="O142" s="1167" t="n"/>
      <c r="P142" s="1167" t="n"/>
      <c r="Q142" s="1167" t="n"/>
      <c r="R142" s="1167" t="n"/>
      <c r="S142" s="1167" t="n"/>
      <c r="T142" s="1167" t="n"/>
      <c r="U142" s="1167" t="n"/>
      <c r="V142" s="1168" t="n"/>
    </row>
    <row r="143" s="3154" customFormat="1" ht="11.25" customHeight="1">
      <c r="A143" s="1167" t="n"/>
      <c r="B143" s="1167" t="n"/>
      <c r="C143" s="1167" t="n"/>
      <c r="D143" s="1167" t="n"/>
      <c r="E143" s="789" t="n"/>
      <c r="F143" s="3420" t="n">
        <f t="array" ref="F143">SUM(F90:F139)</f>
        <v>2000912</v>
      </c>
      <c r="G143" s="789" t="n"/>
      <c r="H143" s="3421" t="n">
        <f t="array" ref="H143">SUM(H90:H142)</f>
        <v>3450853</v>
      </c>
      <c r="I143" s="3421" t="n"/>
      <c r="J143" s="789" t="n"/>
      <c r="K143" s="1167" t="n"/>
      <c r="L143" s="1167" t="n"/>
      <c r="M143" s="1167" t="n"/>
      <c r="N143" s="1167" t="n"/>
      <c r="O143" s="1167" t="n"/>
      <c r="P143" s="1167" t="n"/>
      <c r="Q143" s="1167" t="n"/>
      <c r="R143" s="1167" t="n"/>
      <c r="S143" s="1167" t="n"/>
      <c r="T143" s="1167" t="n"/>
      <c r="U143" s="1167" t="n"/>
      <c r="V143" s="1168" t="n"/>
    </row>
    <row r="144" s="3154" customFormat="1" ht="11.25" customHeight="1">
      <c r="A144" s="1167" t="n"/>
      <c r="B144" s="1167" t="n"/>
      <c r="C144" s="1167" t="n"/>
      <c r="D144" s="1167" t="n"/>
      <c r="E144" s="745" t="inlineStr">
        <is>
          <t xml:space="preserve">Estimated Loan Amounts</t>
        </is>
      </c>
      <c r="F144" s="1167" t="n"/>
      <c r="G144" s="1167" t="n"/>
      <c r="H144" s="1167" t="n"/>
      <c r="I144" s="1167" t="n"/>
      <c r="J144" s="1167" t="n"/>
      <c r="K144" s="1167" t="n"/>
      <c r="L144" s="1167" t="n"/>
      <c r="M144" s="1167" t="n"/>
      <c r="N144" s="1167" t="n"/>
      <c r="O144" s="1167" t="n"/>
      <c r="P144" s="1167" t="n"/>
      <c r="Q144" s="1167" t="n"/>
      <c r="R144" s="1167" t="n"/>
      <c r="S144" s="1167" t="n"/>
      <c r="T144" s="1167" t="n"/>
      <c r="U144" s="1167" t="n"/>
      <c r="V144" s="1168" t="n"/>
    </row>
    <row r="145" s="3154" customFormat="1" ht="11.25" customHeight="1">
      <c r="A145" s="1167" t="n"/>
      <c r="B145" s="1167" t="n"/>
      <c r="C145" s="1167" t="n"/>
      <c r="D145" s="1167" t="n"/>
      <c r="E145" s="1167" t="n"/>
      <c r="F145" s="1167" t="n"/>
      <c r="G145" s="1167" t="n"/>
      <c r="H145" s="1167" t="n"/>
      <c r="I145" s="1167" t="n"/>
      <c r="J145" s="1167" t="n"/>
      <c r="K145" s="1167" t="n"/>
      <c r="L145" s="1167" t="n"/>
      <c r="M145" s="1167" t="n"/>
      <c r="N145" s="1167" t="n"/>
      <c r="O145" s="1167" t="n"/>
      <c r="P145" s="1167" t="n"/>
      <c r="Q145" s="1167" t="n"/>
      <c r="R145" s="1167" t="n"/>
      <c r="S145" s="1167" t="n"/>
      <c r="T145" s="1167" t="n"/>
      <c r="U145" s="1167" t="n"/>
      <c r="V145" s="1168" t="n"/>
    </row>
    <row r="146" s="3154" customFormat="1" ht="11.25" customHeight="1">
      <c r="A146" s="1167" t="n"/>
      <c r="B146" s="1167" t="n"/>
      <c r="C146" s="1167" t="n"/>
      <c r="D146" s="1167" t="n"/>
      <c r="E146" s="745" t="inlineStr">
        <is>
          <t xml:space="preserve">Down Payment </t>
        </is>
      </c>
      <c r="F146" s="3405" t="n">
        <v>0</v>
      </c>
      <c r="G146" s="743" t="n">
        <v>0.3</v>
      </c>
      <c r="H146" s="1167" t="n"/>
      <c r="I146" s="1167" t="n"/>
      <c r="J146" s="1167" t="n"/>
      <c r="K146" s="1167" t="n"/>
      <c r="L146" s="1167" t="n"/>
      <c r="M146" s="1167" t="n"/>
      <c r="N146" s="1167" t="n"/>
      <c r="O146" s="1167" t="n"/>
      <c r="P146" s="1167" t="n"/>
      <c r="Q146" s="1167" t="n"/>
      <c r="R146" s="1167" t="n"/>
      <c r="S146" s="1167" t="n"/>
      <c r="T146" s="1167" t="n"/>
      <c r="U146" s="1167" t="n"/>
      <c r="V146" s="1168" t="n"/>
    </row>
    <row r="147" s="3154" customFormat="1" ht="11.25" customHeight="1">
      <c r="A147" s="1167" t="n"/>
      <c r="B147" s="1167" t="n"/>
      <c r="C147" s="1167" t="n"/>
      <c r="D147" s="1167" t="n"/>
      <c r="E147" s="745" t="inlineStr">
        <is>
          <t xml:space="preserve">Loan Amount</t>
        </is>
      </c>
      <c r="F147" s="3405" t="n">
        <v>0</v>
      </c>
      <c r="G147" s="1167" t="n"/>
      <c r="H147" s="1167" t="n"/>
      <c r="I147" s="1167" t="n"/>
      <c r="J147" s="1167" t="n"/>
      <c r="K147" s="1167" t="n"/>
      <c r="L147" s="1167" t="n"/>
      <c r="M147" s="1167" t="n"/>
      <c r="N147" s="1167" t="n"/>
      <c r="O147" s="1167" t="n"/>
      <c r="P147" s="1167" t="n"/>
      <c r="Q147" s="1167" t="n"/>
      <c r="R147" s="1167" t="n"/>
      <c r="S147" s="1167" t="n"/>
      <c r="T147" s="1167" t="n"/>
      <c r="U147" s="1167" t="n"/>
      <c r="V147" s="1168" t="n"/>
    </row>
    <row r="148" s="3154" customFormat="1" ht="11.25" customHeight="1">
      <c r="A148" s="1167" t="n"/>
      <c r="B148" s="1167" t="n"/>
      <c r="C148" s="1167" t="n"/>
      <c r="D148" s="1167" t="n"/>
      <c r="E148" s="745" t="inlineStr">
        <is>
          <t xml:space="preserve">Estimated Payment Loan </t>
        </is>
      </c>
      <c r="F148" s="3405" t="n">
        <v>33230</v>
      </c>
      <c r="G148" s="1167" t="n"/>
      <c r="H148" s="1167" t="n"/>
      <c r="I148" s="1167" t="n"/>
      <c r="J148" s="1167" t="n"/>
      <c r="K148" s="1167" t="n"/>
      <c r="L148" s="1167" t="n"/>
      <c r="M148" s="1167" t="n"/>
      <c r="N148" s="1167" t="n"/>
      <c r="O148" s="1167" t="n"/>
      <c r="P148" s="1167" t="n"/>
      <c r="Q148" s="1167" t="n"/>
      <c r="R148" s="1167" t="n"/>
      <c r="S148" s="1167" t="n"/>
      <c r="T148" s="1167" t="n"/>
      <c r="U148" s="1167" t="n"/>
      <c r="V148" s="1168" t="n"/>
    </row>
    <row r="149" s="3154" customFormat="1" ht="11.25" customHeight="1">
      <c r="A149" s="1167" t="n"/>
      <c r="B149" s="1167" t="n"/>
      <c r="C149" s="1167" t="n"/>
      <c r="D149" s="1167" t="n"/>
      <c r="E149" s="1167" t="n"/>
      <c r="F149" s="3405" t="n"/>
      <c r="G149" s="1167" t="n"/>
      <c r="H149" s="1167" t="n"/>
      <c r="I149" s="1167" t="n"/>
      <c r="J149" s="1167" t="n"/>
      <c r="K149" s="1167" t="n"/>
      <c r="L149" s="1167" t="n"/>
      <c r="M149" s="1167" t="n"/>
      <c r="N149" s="1167" t="n"/>
      <c r="O149" s="1167" t="n"/>
      <c r="P149" s="1167" t="n"/>
      <c r="Q149" s="1167" t="n"/>
      <c r="R149" s="1167" t="n"/>
      <c r="S149" s="1167" t="n"/>
      <c r="T149" s="1167" t="n"/>
      <c r="U149" s="1167" t="n"/>
      <c r="V149" s="1168" t="n"/>
    </row>
    <row r="150" s="3154" customFormat="1" ht="11.25" customHeight="1">
      <c r="A150" s="1167" t="n"/>
      <c r="B150" s="1167" t="n"/>
      <c r="C150" s="1167" t="n"/>
      <c r="D150" s="1167" t="n"/>
      <c r="E150" s="745" t="inlineStr">
        <is>
          <t xml:space="preserve">Cash</t>
        </is>
      </c>
      <c r="F150" s="3405" t="n">
        <f t="array" ref="F150">'JYI-Hotel Deal Overview'!B71</f>
        <v>0</v>
      </c>
      <c r="G150" s="1167" t="n"/>
      <c r="H150" s="1167" t="n"/>
      <c r="I150" s="1167" t="n"/>
      <c r="J150" s="1167" t="n"/>
      <c r="K150" s="1167" t="n"/>
      <c r="L150" s="1167" t="n"/>
      <c r="M150" s="1167" t="n"/>
      <c r="N150" s="1167" t="n"/>
      <c r="O150" s="1167" t="n"/>
      <c r="P150" s="1167" t="n"/>
      <c r="Q150" s="1167" t="n"/>
      <c r="R150" s="1167" t="n"/>
      <c r="S150" s="1167" t="n"/>
      <c r="T150" s="1167" t="n"/>
      <c r="U150" s="1167" t="n"/>
      <c r="V150" s="1168" t="n"/>
    </row>
    <row r="151" s="3154" customFormat="1" ht="12" customHeight="1">
      <c r="A151" s="1167" t="n"/>
      <c r="B151" s="1167" t="n"/>
      <c r="C151" s="1167" t="n"/>
      <c r="D151" s="1167" t="n"/>
      <c r="E151" s="745" t="inlineStr">
        <is>
          <t xml:space="preserve">Land</t>
        </is>
      </c>
      <c r="F151" s="3422" t="n">
        <v>0</v>
      </c>
      <c r="G151" s="1167" t="n"/>
      <c r="H151" s="1167" t="n"/>
      <c r="I151" s="1167" t="n"/>
      <c r="J151" s="1167" t="n"/>
      <c r="K151" s="1167" t="n"/>
      <c r="L151" s="1167" t="n"/>
      <c r="M151" s="1167" t="n"/>
      <c r="N151" s="1167" t="n"/>
      <c r="O151" s="1167" t="n"/>
      <c r="P151" s="1167" t="n"/>
      <c r="Q151" s="1167" t="n"/>
      <c r="R151" s="1167" t="n"/>
      <c r="S151" s="1167" t="n"/>
      <c r="T151" s="1167" t="n"/>
      <c r="U151" s="1167" t="n"/>
      <c r="V151" s="1168" t="n"/>
    </row>
    <row r="152" s="3154" customFormat="1" ht="11.25" customHeight="1">
      <c r="A152" s="1167" t="n"/>
      <c r="B152" s="1167" t="n"/>
      <c r="C152" s="1167" t="n"/>
      <c r="D152" s="1167" t="n"/>
      <c r="E152" s="1167" t="n"/>
      <c r="F152" s="3423" t="n">
        <f t="array" ref="F152">SUM(F150:F151)</f>
        <v>0</v>
      </c>
      <c r="G152" s="1167" t="n"/>
      <c r="H152" s="1167" t="n"/>
      <c r="I152" s="1167" t="n"/>
      <c r="J152" s="1167" t="n"/>
      <c r="K152" s="1167" t="n"/>
      <c r="L152" s="1167" t="n"/>
      <c r="M152" s="1167" t="n"/>
      <c r="N152" s="1167" t="n"/>
      <c r="O152" s="1167" t="n"/>
      <c r="P152" s="1167" t="n"/>
      <c r="Q152" s="1167" t="n"/>
      <c r="R152" s="1167" t="n"/>
      <c r="S152" s="1167" t="n"/>
      <c r="T152" s="1167" t="n"/>
      <c r="U152" s="1167" t="n"/>
      <c r="V152" s="1168" t="n"/>
    </row>
    <row r="153" s="3154" customFormat="1" ht="11.25" customHeight="1">
      <c r="A153" s="1167" t="n"/>
      <c r="B153" s="1167" t="n"/>
      <c r="C153" s="1167" t="n"/>
      <c r="D153" s="1167" t="n"/>
      <c r="E153" s="742" t="n"/>
      <c r="F153" s="3405" t="n"/>
      <c r="G153" s="1167" t="n"/>
      <c r="H153" s="1167" t="n"/>
      <c r="I153" s="1167" t="n"/>
      <c r="J153" s="1167" t="n"/>
      <c r="K153" s="1167" t="n"/>
      <c r="L153" s="1167" t="n"/>
      <c r="M153" s="1167" t="n"/>
      <c r="N153" s="1167" t="n"/>
      <c r="O153" s="1167" t="n"/>
      <c r="P153" s="1167" t="n"/>
      <c r="Q153" s="1167" t="n"/>
      <c r="R153" s="1167" t="n"/>
      <c r="S153" s="1167" t="n"/>
      <c r="T153" s="1167" t="n"/>
      <c r="U153" s="1167" t="n"/>
      <c r="V153" s="1168" t="n"/>
    </row>
  </sheetData>
  <conditionalFormatting sqref="F76:F76 F78:F81 F84:F85 F90:F139 F142:F143 F146:F153 H90:I139 H142:I143 L49:M50 L52:M70 L72:M83 L84:M106 L114:M114 R55:S56 R58:R59">
    <cfRule type="cellIs" dxfId="0" priority="1" stopIfTrue="1" operator="lessThan">
      <formula>0</formula>
    </cfRule>
  </conditionalFormatting>
  <hyperlinks>
    <hyperlink ref="E8" location="'JYI-Hotel Deal Overview'!A1"/>
    <hyperlink ref="E20" location="'CB-Construction Budget'!A1"/>
    <hyperlink ref="E22" location="'FFE-FF&amp;E'!A1"/>
    <hyperlink ref="E50" location="'JYI-Loan Amortization'!A1"/>
    <hyperlink ref="E53" location="'JYI-Bank Loans'!A1"/>
    <hyperlink ref="E70" location="'JYI-Budget Annual'!A1"/>
  </hyperlinks>
  <pageMargins left="0.7" right="0.7" top="0.75" bottom="0.75" header="0.3" footer="0.3"/>
  <drawing r:id="Rfa10d3ccfee24350"/>
</worksheet>
</file>

<file path=xl/worksheets/sheet30.xml><?xml version="1.0" encoding="utf-8"?>
<worksheet xmlns="http://schemas.openxmlformats.org/spreadsheetml/2006/main">
  <sheetViews>
    <sheetView showGridLines="0" workbookViewId="0"/>
  </sheetViews>
  <sheetFormatPr baseColWidth="8" defaultColWidth="8.5" defaultRowHeight="15"/>
  <cols>
    <col min="1" max="1" width="5" style="3136" customWidth="1"/>
    <col min="2" max="2" width="30" style="3136" customWidth="1"/>
    <col min="3" max="3" width="58" style="3136" customWidth="1"/>
    <col min="4" max="4" width="15" style="3136" customWidth="1"/>
    <col min="5" max="6" width="8.5" style="3136" customWidth="1"/>
    <col min="7" max="7" width="10" style="3136" customWidth="1"/>
    <col min="8" max="8" width="12" style="3136" customWidth="1"/>
    <col min="9" max="9" width="50" style="3136" customWidth="1"/>
    <col min="10" max="16384" width="8.5" style="3136" customWidth="1"/>
  </cols>
  <sheetData>
    <row r="1" s="3154" customFormat="1" ht="17.25" customHeight="1">
      <c r="A1" s="2790" t="inlineStr">
        <is>
          <t xml:space="preserve">SLEEP SPACE — CONSTRUCTION BUDGET (EXHIBIT A)</t>
        </is>
      </c>
      <c r="B1" s="3202" t="n"/>
      <c r="C1" s="3202" t="n"/>
      <c r="D1" s="3202" t="n"/>
      <c r="E1" s="3202" t="n"/>
      <c r="F1" s="3202" t="n"/>
      <c r="G1" s="3202" t="n"/>
      <c r="H1" s="3202" t="n"/>
      <c r="I1" s="81" t="n"/>
    </row>
    <row r="2" s="3154" customFormat="1" ht="15" customHeight="1">
      <c r="A2" s="2792" t="inlineStr">
        <is>
          <t xml:space="preserve">System: Livio closed-wall prefab  |  Source: Livio Turnkey Proposal V1 (10/14/2025)</t>
        </is>
      </c>
      <c r="B2" s="3204" t="n"/>
      <c r="C2" s="3204" t="n"/>
      <c r="D2" s="3204" t="n"/>
      <c r="E2" s="3204" t="n"/>
      <c r="F2" s="3204" t="n"/>
      <c r="G2" s="3204" t="n"/>
      <c r="H2" s="3205" t="n"/>
      <c r="I2" s="50" t="n"/>
    </row>
    <row r="3" s="3154" customFormat="1" ht="15" customHeight="1">
      <c r="A3" s="2795" t="n"/>
      <c r="B3" s="2795" t="n"/>
      <c r="C3" s="2795" t="n"/>
      <c r="D3" s="2795" t="n"/>
      <c r="E3" s="2796" t="n"/>
      <c r="F3" s="2796" t="n"/>
      <c r="G3" s="2795" t="n"/>
      <c r="H3" s="2795" t="n"/>
      <c r="I3" s="2795" t="n"/>
    </row>
    <row r="4" s="3154" customFormat="1" ht="27.75" customHeight="1">
      <c r="A4" s="2797" t="inlineStr">
        <is>
          <t xml:space="preserve">#</t>
        </is>
      </c>
      <c r="B4" s="2797" t="inlineStr">
        <is>
          <t xml:space="preserve">Category</t>
        </is>
      </c>
      <c r="C4" s="2797" t="inlineStr">
        <is>
          <t xml:space="preserve">Scope / Specification</t>
        </is>
      </c>
      <c r="D4" s="2797" t="inlineStr">
        <is>
          <t xml:space="preserve">Total Cost</t>
        </is>
      </c>
      <c r="E4" s="2797" t="inlineStr">
        <is>
          <t xml:space="preserve">Material</t>
        </is>
      </c>
      <c r="F4" s="2797" t="inlineStr">
        <is>
          <t xml:space="preserve">Labor</t>
        </is>
      </c>
      <c r="G4" s="2797" t="inlineStr">
        <is>
          <t xml:space="preserve">Labor %</t>
        </is>
      </c>
      <c r="H4" s="2797" t="inlineStr">
        <is>
          <t xml:space="preserve">$/GSF</t>
        </is>
      </c>
      <c r="I4" s="2797" t="inlineStr">
        <is>
          <t xml:space="preserve">Notes</t>
        </is>
      </c>
    </row>
    <row r="5" s="3154" customFormat="1" ht="33.75" customHeight="1">
      <c r="A5" s="2798" t="n">
        <v>1</v>
      </c>
      <c r="B5" s="2799" t="inlineStr">
        <is>
          <t xml:space="preserve">Livio Closed Wall System</t>
        </is>
      </c>
      <c r="C5" s="2800" t="inlineStr">
        <is>
          <t xml:space="preserve">Framing of all walls (ext &amp; int), subfloors, roof; fire-rated sheathing — factory prefab. Priced at $67.50/sf × GSF (mid of $60–75/sf range per client).</t>
        </is>
      </c>
      <c r="D5" s="4379" t="n">
        <f>'CB-Assumptions'!$B$7*'Assumptions'!$J$8</f>
        <v>1225174.9315068496</v>
      </c>
      <c r="E5" s="4372" t="n">
        <f>D5*(1-G5)</f>
        <v>1041398.6917808221</v>
      </c>
      <c r="F5" s="4372" t="n">
        <f>D5*G5</f>
        <v>183776.23972602744</v>
      </c>
      <c r="G5" s="4387" t="n">
        <f>'CB-Assumptions'!$B$13</f>
        <v>0.15</v>
      </c>
      <c r="H5" s="4278" t="n"/>
      <c r="I5" s="2805" t="inlineStr">
        <is>
          <t xml:space="preserve">Client-set rate: $67.50/sf × GSF (mid of $60–75)  |  GUESS 15% (factory-prefab; mostly material)</t>
        </is>
      </c>
    </row>
    <row r="6" s="3154" customFormat="1" ht="33.75" customHeight="1">
      <c r="A6" s="2798" t="n">
        <v>2</v>
      </c>
      <c r="B6" s="2799" t="inlineStr">
        <is>
          <t xml:space="preserve">Concrete</t>
        </is>
      </c>
      <c r="C6" s="4527" t="inlineStr">
        <is>
          <t xml:space="preserve">Slab-on-grade/foundation source bid held flat pending updated 100-key structural/foundation bid.</t>
        </is>
      </c>
      <c r="D6" s="4379" t="n">
        <v>265114.89</v>
      </c>
      <c r="E6" s="4372" t="n">
        <f>D6*(1-G6)</f>
        <v>106045.956</v>
      </c>
      <c r="F6" s="4372" t="n">
        <f>D6*G6</f>
        <v>159068.934</v>
      </c>
      <c r="G6" s="4387" t="n">
        <f>'CB-Assumptions'!$B$14</f>
        <v>0.6</v>
      </c>
      <c r="H6" s="4278" t="n">
        <f>D6/'Assumptions'!$J$8</f>
        <v>14.606285694231865</v>
      </c>
      <c r="I6" s="4528" t="inlineStr">
        <is>
          <t xml:space="preserve">Source Livio V1 quote held flat; do not scale by full GSF without contractor confirmation.</t>
        </is>
      </c>
    </row>
    <row r="7" s="3154" customFormat="1" ht="33.75" customHeight="1">
      <c r="A7" s="2798" t="n">
        <v>3</v>
      </c>
      <c r="B7" s="2799" t="inlineStr">
        <is>
          <t xml:space="preserve">Dampproofing &amp; Waterproofing</t>
        </is>
      </c>
      <c r="C7" s="4527" t="inlineStr">
        <is>
          <t xml:space="preserve">Dampproofing/waterproofing source bid held flat pending updated envelope/wet-area scope.</t>
        </is>
      </c>
      <c r="D7" s="4529" t="n">
        <v>13255.74</v>
      </c>
      <c r="E7" s="4372" t="n">
        <f>D7*(1-G7)</f>
        <v>4639.509</v>
      </c>
      <c r="F7" s="4372" t="n">
        <f>D7*G7</f>
        <v>8616.231</v>
      </c>
      <c r="G7" s="4387" t="n">
        <f>'CB-Assumptions'!$B$15</f>
        <v>0.65</v>
      </c>
      <c r="H7" s="4278" t="n">
        <f>D7/'Assumptions'!$J$8</f>
        <v>0.7303140367878133</v>
      </c>
      <c r="I7" s="4528" t="inlineStr">
        <is>
          <t xml:space="preserve">Source Livio V1 quote held flat; likely tied to footprint/envelope/wet areas, not full GSF.</t>
        </is>
      </c>
    </row>
    <row r="8" s="3154" customFormat="1" ht="33.75" customHeight="1">
      <c r="A8" s="2798" t="n">
        <v>4</v>
      </c>
      <c r="B8" s="2799" t="inlineStr">
        <is>
          <t xml:space="preserve">Interior Sheathing Finish</t>
        </is>
      </c>
      <c r="C8" s="2800" t="inlineStr">
        <is>
          <t xml:space="preserve">Install remaining sheathing on interior walls and ceiling (material from Livio factory)</t>
        </is>
      </c>
      <c r="D8" s="4279" t="n">
        <v>54475.65753424658</v>
      </c>
      <c r="E8" s="4372" t="n">
        <f>D8*(1-G8)</f>
        <v>0</v>
      </c>
      <c r="F8" s="4372" t="n">
        <f>D8*G8</f>
        <v>54475.65753424658</v>
      </c>
      <c r="G8" s="4387" t="n">
        <f>'CB-Assumptions'!$B$16</f>
        <v>1</v>
      </c>
      <c r="H8" s="4278" t="n"/>
      <c r="I8" s="2807" t="inlineStr">
        <is>
          <t xml:space="preserve">Total: Livio V1 quote (2025-10-14)  |  Livio scope: material from factory → 100% field labor</t>
        </is>
      </c>
    </row>
    <row r="9" s="3154" customFormat="1" ht="33.75" customHeight="1">
      <c r="A9" s="2798" t="n">
        <v>5</v>
      </c>
      <c r="B9" s="2799" t="inlineStr">
        <is>
          <t xml:space="preserve">Erosion Control</t>
        </is>
      </c>
      <c r="C9" s="2800" t="inlineStr">
        <is>
          <t xml:space="preserve">Temporary erosion &amp; sediment control per city requirements</t>
        </is>
      </c>
      <c r="D9" s="4279" t="n">
        <v>21164.80821917808</v>
      </c>
      <c r="E9" s="4372" t="n">
        <f>D9*(1-G9)</f>
        <v>5291.20205479452</v>
      </c>
      <c r="F9" s="4372" t="n">
        <f>D9*G9</f>
        <v>15873.60616438356</v>
      </c>
      <c r="G9" s="4387" t="n">
        <f>'CB-Assumptions'!$B$17</f>
        <v>0.75</v>
      </c>
      <c r="H9" s="4278" t="n"/>
      <c r="I9" s="2805" t="inlineStr">
        <is>
          <t xml:space="preserve">Total: Livio V1 quote (2025-10-14)  |  GUESS 75% (labor + light materials)</t>
        </is>
      </c>
    </row>
    <row r="10" s="3154" customFormat="1" ht="33.75" customHeight="1">
      <c r="A10" s="2798" t="n">
        <v>6</v>
      </c>
      <c r="B10" s="2799" t="inlineStr">
        <is>
          <t xml:space="preserve">Fire Sprinklers</t>
        </is>
      </c>
      <c r="C10" s="2800" t="inlineStr">
        <is>
          <t xml:space="preserve">NFPA fire sprinkler system supply &amp; install</t>
        </is>
      </c>
      <c r="D10" s="4279" t="n">
        <v>72634.21917808219</v>
      </c>
      <c r="E10" s="4372" t="n">
        <f>D10*(1-G10)</f>
        <v>36317.109589041094</v>
      </c>
      <c r="F10" s="4372" t="n">
        <f>D10*G10</f>
        <v>36317.109589041094</v>
      </c>
      <c r="G10" s="4387" t="n">
        <f>'CB-Assumptions'!$B$18</f>
        <v>0.5</v>
      </c>
      <c r="H10" s="4278" t="n"/>
      <c r="I10" s="2805" t="inlineStr">
        <is>
          <t xml:space="preserve">Total: Livio V1 quote (2025-10-14)  |  GUESS 50% (NFPA split)</t>
        </is>
      </c>
    </row>
    <row r="11" s="3154" customFormat="1" ht="33.75" customHeight="1">
      <c r="A11" s="2798" t="n">
        <v>7</v>
      </c>
      <c r="B11" s="2799" t="inlineStr">
        <is>
          <t xml:space="preserve">Flashing &amp; Sheet Metal</t>
        </is>
      </c>
      <c r="C11" s="2800" t="inlineStr">
        <is>
          <t xml:space="preserve">Sheet metal flashing for building envelope</t>
        </is>
      </c>
      <c r="D11" s="4279" t="n">
        <v>36317.10958904109</v>
      </c>
      <c r="E11" s="4372" t="n">
        <f>D11*(1-G11)</f>
        <v>18158.554794520544</v>
      </c>
      <c r="F11" s="4372" t="n">
        <f>D11*G11</f>
        <v>18158.554794520544</v>
      </c>
      <c r="G11" s="4387" t="n">
        <f>'CB-Assumptions'!$B$19</f>
        <v>0.5</v>
      </c>
      <c r="H11" s="4278" t="n"/>
      <c r="I11" s="2805" t="inlineStr">
        <is>
          <t xml:space="preserve">Total: Livio V1 quote (2025-10-14)  |  GUESS 50%</t>
        </is>
      </c>
    </row>
    <row r="12" s="3154" customFormat="1" ht="33.75" customHeight="1">
      <c r="A12" s="2798" t="n">
        <v>8</v>
      </c>
      <c r="B12" s="2799" t="inlineStr">
        <is>
          <t xml:space="preserve">Panel Installation</t>
        </is>
      </c>
      <c r="C12" s="2800" t="inlineStr">
        <is>
          <t xml:space="preserve">Installation of pre-assembled Livio closed-wall panels; framing / MEP hook-ups. Priced at $22.50/sf × GSF (mid of $15–30/sf range per client).</t>
        </is>
      </c>
      <c r="D12" s="4379" t="n">
        <f>'CB-Assumptions'!$B$8*'Assumptions'!$J$8</f>
        <v>408391.64383561653</v>
      </c>
      <c r="E12" s="4372" t="n">
        <f>D12*(1-G12)</f>
        <v>0</v>
      </c>
      <c r="F12" s="4372" t="n">
        <f>D12*G12</f>
        <v>408391.64383561653</v>
      </c>
      <c r="G12" s="4387" t="n">
        <f>'CB-Assumptions'!$B$20</f>
        <v>1</v>
      </c>
      <c r="H12" s="4278" t="n"/>
      <c r="I12" s="2807" t="inlineStr">
        <is>
          <t xml:space="preserve">Client-set rate: $22.50/sf × GSF (mid of $15–30)  |  Livio scope: install only → 100% labor</t>
        </is>
      </c>
    </row>
    <row r="13" s="3154" customFormat="1" ht="33.75" customHeight="1">
      <c r="A13" s="2798" t="n">
        <v>9</v>
      </c>
      <c r="B13" s="2799" t="inlineStr">
        <is>
          <t xml:space="preserve">Grading (Earth Work)</t>
        </is>
      </c>
      <c r="C13" s="4527" t="inlineStr">
        <is>
          <t xml:space="preserve">Rough grading / sitework one-acre allowance pending civil/sitework bid.</t>
        </is>
      </c>
      <c r="D13" s="4379" t="n">
        <f>'CB-Assumptions'!$B$10</f>
        <v>65000</v>
      </c>
      <c r="E13" s="4372" t="n">
        <f>D13*(1-G13)</f>
        <v>12999.999999999996</v>
      </c>
      <c r="F13" s="4372" t="n">
        <f>D13*G13</f>
        <v>52000</v>
      </c>
      <c r="G13" s="4387" t="n">
        <f>'CB-Assumptions'!$B$21</f>
        <v>0.8</v>
      </c>
      <c r="H13" s="4278" t="n">
        <f>D13/'Assumptions'!$J$8</f>
        <v>3.581121264539578</v>
      </c>
      <c r="I13" s="4528" t="inlineStr">
        <is>
          <t xml:space="preserve">One-acre allowance; do not scale by full building GSF.</t>
        </is>
      </c>
    </row>
    <row r="14" s="3154" customFormat="1" ht="33.75" customHeight="1">
      <c r="A14" s="2798" t="n">
        <v>10</v>
      </c>
      <c r="B14" s="2799" t="inlineStr">
        <is>
          <t xml:space="preserve">HVAC (Ductwork + Install)</t>
        </is>
      </c>
      <c r="C14" s="2800" t="inlineStr">
        <is>
          <t xml:space="preserve">Ductwork, grilles, louvers; equipment supplied via Exhibit B</t>
        </is>
      </c>
      <c r="D14" s="4279" t="n">
        <v>181585.5479452055</v>
      </c>
      <c r="E14" s="4372" t="n">
        <f>D14*(1-G14)</f>
        <v>72634.2191780822</v>
      </c>
      <c r="F14" s="4372" t="n">
        <f>D14*G14</f>
        <v>108951.3287671233</v>
      </c>
      <c r="G14" s="4387" t="n">
        <f>'CB-Assumptions'!$B$22</f>
        <v>0.6</v>
      </c>
      <c r="H14" s="4278" t="n"/>
      <c r="I14" s="2805" t="inlineStr">
        <is>
          <t xml:space="preserve">Total: Livio V1 quote (2025-10-14)  |  GUESS 60%</t>
        </is>
      </c>
    </row>
    <row r="15" s="3154" customFormat="1" ht="33.75" customHeight="1">
      <c r="A15" s="2798" t="n">
        <v>11</v>
      </c>
      <c r="B15" s="2799" t="inlineStr">
        <is>
          <t xml:space="preserve">Insulation</t>
        </is>
      </c>
      <c r="C15" s="2800" t="inlineStr">
        <is>
          <t xml:space="preserve">Install remaining insulation in wall and floor cavities (labor)</t>
        </is>
      </c>
      <c r="D15" s="4279" t="n">
        <v>27237.83561643835</v>
      </c>
      <c r="E15" s="4372" t="n">
        <f>D15*(1-G15)</f>
        <v>0</v>
      </c>
      <c r="F15" s="4372" t="n">
        <f>D15*G15</f>
        <v>27237.83561643835</v>
      </c>
      <c r="G15" s="4387" t="n">
        <f>'CB-Assumptions'!$B$23</f>
        <v>1</v>
      </c>
      <c r="H15" s="4278" t="n"/>
      <c r="I15" s="2807" t="inlineStr">
        <is>
          <t xml:space="preserve">Total: Livio V1 quote (2025-10-14)  |  Livio scope: labor only → 100%</t>
        </is>
      </c>
    </row>
    <row r="16" s="3154" customFormat="1" ht="33.75" customHeight="1">
      <c r="A16" s="2798" t="n">
        <v>12</v>
      </c>
      <c r="B16" s="2799" t="inlineStr">
        <is>
          <t xml:space="preserve">Painting &amp; Coating</t>
        </is>
      </c>
      <c r="C16" s="2800" t="inlineStr">
        <is>
          <t xml:space="preserve">1 primer + 1 finish coat interior/exterior; standard color palette</t>
        </is>
      </c>
      <c r="D16" s="4279" t="n">
        <v>163426.9863013698</v>
      </c>
      <c r="E16" s="4372" t="n">
        <f>D16*(1-G16)</f>
        <v>49028.09589041094</v>
      </c>
      <c r="F16" s="4372" t="n">
        <f>D16*G16</f>
        <v>114398.89041095885</v>
      </c>
      <c r="G16" s="4387" t="n">
        <f>'CB-Assumptions'!$B$24</f>
        <v>0.7</v>
      </c>
      <c r="H16" s="4278" t="n"/>
      <c r="I16" s="2805" t="inlineStr">
        <is>
          <t xml:space="preserve">Total: Livio V1 quote (2025-10-14)  |  GUESS 70% (industry rule of thumb)</t>
        </is>
      </c>
    </row>
    <row r="17" s="3154" customFormat="1" ht="33.75" customHeight="1">
      <c r="A17" s="2798" t="n">
        <v>13</v>
      </c>
      <c r="B17" s="2799" t="inlineStr">
        <is>
          <t xml:space="preserve">Finished Plumbing Labor</t>
        </is>
      </c>
      <c r="C17" s="2800" t="inlineStr">
        <is>
          <t xml:space="preserve">Install of finished plumbing fixtures (fixtures in Exhibit B)</t>
        </is>
      </c>
      <c r="D17" s="4279" t="n">
        <v>54475.65753424658</v>
      </c>
      <c r="E17" s="4372" t="n">
        <f>D17*(1-G17)</f>
        <v>0</v>
      </c>
      <c r="F17" s="4372" t="n">
        <f>D17*G17</f>
        <v>54475.65753424658</v>
      </c>
      <c r="G17" s="4387" t="n">
        <f>'CB-Assumptions'!$B$25</f>
        <v>1</v>
      </c>
      <c r="H17" s="4278" t="n"/>
      <c r="I17" s="2807" t="inlineStr">
        <is>
          <t xml:space="preserve">Total: Livio V1 quote (2025-10-14)  |  Livio scope: 'Labor' → 100%</t>
        </is>
      </c>
    </row>
    <row r="18" s="3154" customFormat="1" ht="33.75" customHeight="1">
      <c r="A18" s="2798" t="n">
        <v>14</v>
      </c>
      <c r="B18" s="2799" t="inlineStr">
        <is>
          <t xml:space="preserve">Roofing</t>
        </is>
      </c>
      <c r="C18" s="2800" t="inlineStr">
        <is>
          <t xml:space="preserve">Roofing material install, prefinished downspouts and gutters</t>
        </is>
      </c>
      <c r="D18" s="4279" t="n">
        <v>163426.9863013698</v>
      </c>
      <c r="E18" s="4372" t="n">
        <f>D18*(1-G18)</f>
        <v>73542.1438356164</v>
      </c>
      <c r="F18" s="4372" t="n">
        <f>D18*G18</f>
        <v>89884.84246575339</v>
      </c>
      <c r="G18" s="4387" t="n">
        <f>'CB-Assumptions'!$B$26</f>
        <v>0.55</v>
      </c>
      <c r="H18" s="4278" t="n"/>
      <c r="I18" s="2805" t="inlineStr">
        <is>
          <t xml:space="preserve">Total: Livio V1 quote (2025-10-14)  |  GUESS 55%</t>
        </is>
      </c>
    </row>
    <row r="19" s="3154" customFormat="1" ht="33.75" customHeight="1">
      <c r="A19" s="2798" t="n">
        <v>15</v>
      </c>
      <c r="B19" s="2799" t="inlineStr">
        <is>
          <t xml:space="preserve">Finished Electrical Labor</t>
        </is>
      </c>
      <c r="C19" s="2800" t="inlineStr">
        <is>
          <t xml:space="preserve">Install of electrical fixtures (devices/fixtures in Exhibit B)</t>
        </is>
      </c>
      <c r="D19" s="4279" t="n">
        <v>45396.38356164384</v>
      </c>
      <c r="E19" s="4372" t="n">
        <f>D19*(1-G19)</f>
        <v>13618.915068493154</v>
      </c>
      <c r="F19" s="4372" t="n">
        <f>D19*G19</f>
        <v>31777.468493150685</v>
      </c>
      <c r="G19" s="4387" t="n">
        <f>'CB-Assumptions'!$B$27</f>
        <v>0.7</v>
      </c>
      <c r="H19" s="4278" t="n"/>
      <c r="I19" s="2805" t="inlineStr">
        <is>
          <t xml:space="preserve">Total: Livio V1 quote (2025-10-14)  |  GUESS 70%</t>
        </is>
      </c>
    </row>
    <row r="20" s="3154" customFormat="1" ht="33.75" customHeight="1">
      <c r="A20" s="2798" t="n">
        <v>16</v>
      </c>
      <c r="B20" s="2799" t="inlineStr">
        <is>
          <t xml:space="preserve">Exterior Facade</t>
        </is>
      </c>
      <c r="C20" s="2800" t="inlineStr">
        <is>
          <t xml:space="preserve">Labor to install Livio-provided exterior facade systems</t>
        </is>
      </c>
      <c r="D20" s="4279" t="n">
        <v>181585.5479452055</v>
      </c>
      <c r="E20" s="4372" t="n">
        <f>D20*(1-G20)</f>
        <v>0</v>
      </c>
      <c r="F20" s="4372" t="n">
        <f>D20*G20</f>
        <v>181585.5479452055</v>
      </c>
      <c r="G20" s="4387" t="n">
        <f>'CB-Assumptions'!$B$28</f>
        <v>1</v>
      </c>
      <c r="H20" s="4278" t="n"/>
      <c r="I20" s="2807" t="inlineStr">
        <is>
          <t xml:space="preserve">Total: Livio V1 quote (2025-10-14)  |  Livio scope: 'Labor to install' → 100%</t>
        </is>
      </c>
    </row>
    <row r="21" s="3154" customFormat="1" ht="33.75" customHeight="1">
      <c r="A21" s="2798" t="n">
        <v>17</v>
      </c>
      <c r="B21" s="2799" t="inlineStr">
        <is>
          <t xml:space="preserve">Cleaning</t>
        </is>
      </c>
      <c r="C21" s="2800" t="inlineStr">
        <is>
          <t xml:space="preserve">Post-construction cleaning of whole project</t>
        </is>
      </c>
      <c r="D21" s="4279" t="n">
        <v>13618.91780821918</v>
      </c>
      <c r="E21" s="4372" t="n">
        <f>D21*(1-G21)</f>
        <v>0</v>
      </c>
      <c r="F21" s="4372" t="n">
        <f>D21*G21</f>
        <v>13618.91780821918</v>
      </c>
      <c r="G21" s="4387" t="n">
        <f>'CB-Assumptions'!$B$29</f>
        <v>1</v>
      </c>
      <c r="H21" s="4278" t="n"/>
      <c r="I21" s="2807" t="inlineStr">
        <is>
          <t xml:space="preserve">Total: Livio V1 quote (2025-10-14)  |  Pure labor → 100%</t>
        </is>
      </c>
    </row>
    <row r="22" s="3154" customFormat="1" ht="33.75" customHeight="1">
      <c r="A22" s="2798" t="n">
        <v>18</v>
      </c>
      <c r="B22" s="2799" t="inlineStr">
        <is>
          <t xml:space="preserve">General Requirements</t>
        </is>
      </c>
      <c r="C22" s="2800" t="inlineStr">
        <is>
          <t xml:space="preserve">Project mgmt/supervision, temp power/toilets/fence, printing, scheduling, logistics</t>
        </is>
      </c>
      <c r="D22" s="4279" t="n">
        <v>217902.6575342466</v>
      </c>
      <c r="E22" s="4372" t="n">
        <f>D22*(1-G22)</f>
        <v>32685.398630136995</v>
      </c>
      <c r="F22" s="4372" t="n">
        <f>D22*G22</f>
        <v>185217.2589041096</v>
      </c>
      <c r="G22" s="4387" t="n">
        <f>'CB-Assumptions'!$B$30</f>
        <v>0.85</v>
      </c>
      <c r="H22" s="4278" t="n"/>
      <c r="I22" s="2805" t="inlineStr">
        <is>
          <t xml:space="preserve">Total: Livio V1 quote (2025-10-14)  |  GUESS 85% (supervision/PM-heavy)</t>
        </is>
      </c>
    </row>
    <row r="23" s="3154" customFormat="1" ht="15" customHeight="1">
      <c r="A23" s="2808" t="n"/>
      <c r="B23" s="2809" t="inlineStr">
        <is>
          <t xml:space="preserve">EXHIBIT A SUBTOTAL</t>
        </is>
      </c>
      <c r="C23" s="2808" t="n"/>
      <c r="D23" s="4374" t="n">
        <f>SUM(D5:D22)</f>
        <v>3210185.5204109596</v>
      </c>
      <c r="E23" s="4375" t="n">
        <f>SUM(E5:E22)</f>
        <v>1466359.7958219182</v>
      </c>
      <c r="F23" s="4375" t="n">
        <f>SUM(F5:F22)</f>
        <v>1743825.7245890414</v>
      </c>
      <c r="G23" s="4376" t="n">
        <f>IFERROR(F23/D23,0)</f>
        <v>0.5432164943432308</v>
      </c>
      <c r="H23" s="4282" t="n"/>
      <c r="I23" s="2813" t="n"/>
    </row>
    <row r="24" s="3154" customFormat="1" ht="15" customHeight="1">
      <c r="A24" s="2814" t="n"/>
      <c r="B24" s="2799" t="inlineStr">
        <is>
          <t xml:space="preserve">Contingency (shown in CB-Summary only)</t>
        </is>
      </c>
      <c r="C24" s="4530" t="inlineStr">
        <is>
          <t xml:space="preserve">Set to $0 here to avoid double-counting; the single active hard-cost contingency is CB-Summary!B18.</t>
        </is>
      </c>
      <c r="D24" s="4531" t="n">
        <v>0</v>
      </c>
      <c r="E24" s="4532" t="n">
        <v>0</v>
      </c>
      <c r="F24" s="4532" t="n">
        <v>0</v>
      </c>
      <c r="G24" s="4283" t="n">
        <v>0</v>
      </c>
      <c r="H24" s="4278" t="n">
        <v>0</v>
      </c>
      <c r="I24" s="2817" t="n"/>
    </row>
    <row r="25" s="3154" customFormat="1" ht="15" customHeight="1">
      <c r="A25" s="2808" t="n"/>
      <c r="B25" s="2809" t="inlineStr">
        <is>
          <t xml:space="preserve">EXHIBIT A TOTAL BEFORE SUMMARY CONTINGENCY</t>
        </is>
      </c>
      <c r="C25" s="2808" t="n"/>
      <c r="D25" s="4533" t="n">
        <f>D23</f>
        <v>3210185.5204109596</v>
      </c>
      <c r="E25" s="4280" t="n">
        <f>E23</f>
        <v>1466359.7958219182</v>
      </c>
      <c r="F25" s="4280" t="n">
        <f>F23</f>
        <v>1743825.7245890414</v>
      </c>
      <c r="G25" s="4281" t="n">
        <f>IFERROR(F25/D25,0)</f>
        <v>0.5432164943432308</v>
      </c>
      <c r="H25" s="4282" t="n">
        <f>D25/'Assumptions'!$J$8</f>
        <v>176.86251738862674</v>
      </c>
      <c r="I25" s="2817" t="n"/>
    </row>
    <row r="26" s="3154" customFormat="1" ht="15" customHeight="1">
      <c r="A26" s="2818" t="n"/>
      <c r="B26" s="2818" t="n"/>
      <c r="C26" s="2818" t="n"/>
      <c r="D26" s="2818" t="n"/>
      <c r="E26" s="2819" t="n"/>
      <c r="F26" s="2819" t="n"/>
      <c r="G26" s="2818" t="n"/>
      <c r="H26" s="2818" t="n"/>
      <c r="I26" s="49" t="n"/>
    </row>
    <row r="27" s="3154" customFormat="1" ht="21.75" customHeight="1">
      <c r="A27" s="2820" t="n"/>
      <c r="B27" s="4284" t="inlineStr">
        <is>
          <t xml:space="preserve">OTHER / REFERENCE — NOT INCLUDED IN TOTAL ABOVE</t>
        </is>
      </c>
      <c r="I27" s="3162" t="n"/>
    </row>
    <row r="28" s="3154" customFormat="1" ht="60" customHeight="1">
      <c r="A28" s="2824" t="inlineStr">
        <is>
          <t xml:space="preserve">—</t>
        </is>
      </c>
      <c r="B28" s="2825" t="inlineStr">
        <is>
          <t xml:space="preserve">Other — Per-room HRV ductless ventilator</t>
        </is>
      </c>
      <c r="C28" s="2825" t="inlineStr">
        <is>
          <t xml:space="preserve">Heat-recovery ventilator (HRV), ductless single-room wall unit — fresh-air / IAQ improvement for guest rooms. Sourced from Alibaba (see Notes for link). Intended to be folded into the HVAC line (#10) when priced — listed here as a separate note so it isn't lost. Qty assumption: 100 units (1 per guest room).</t>
        </is>
      </c>
      <c r="D28" s="2826" t="n"/>
      <c r="E28" s="2826" t="n"/>
      <c r="F28" s="2826" t="n"/>
      <c r="G28" s="2826" t="n"/>
      <c r="H28" s="2827" t="n"/>
      <c r="I28" s="2828" t="inlineStr">
        <is>
          <t xml:space="preserve">REFERENCE ONLY — NOT in Construction Budget total. To be folded into HVAC (#10) once priced.  |  Qty: 100 (1 per guest room)  |  Source: https://www.alibaba.com/product-detail/Ductless-Single-Room-HRV-Ventilator-Wall_1601599159791.html</t>
        </is>
      </c>
    </row>
    <row r="29" s="3154" customFormat="1" ht="60" customHeight="1">
      <c r="A29" s="2829" t="inlineStr">
        <is>
          <t xml:space="preserve">—</t>
        </is>
      </c>
      <c r="B29" s="2830" t="inlineStr">
        <is>
          <t xml:space="preserve">Other — Multi-zone DC aircon (ZERO brand)</t>
        </is>
      </c>
      <c r="C29" s="2830" t="inlineStr">
        <is>
          <t xml:space="preserve">Multi-zone DC inverter air conditioning system (ZERO brand) — guest-room cooling/heating. Sourced from Alibaba (see Notes for link). Intended to be folded into the HVAC line (#10) when priced — listed here as a separate note so it isn't lost. Qty assumption: 100 zones (1 per guest room) across multiple condensers.</t>
        </is>
      </c>
      <c r="D29" s="2831" t="n"/>
      <c r="E29" s="2831" t="n"/>
      <c r="F29" s="2831" t="n"/>
      <c r="G29" s="2831" t="n"/>
      <c r="H29" s="2832" t="n"/>
      <c r="I29" s="2833" t="inlineStr">
        <is>
          <t xml:space="preserve">REFERENCE ONLY — NOT in Construction Budget total. To be folded into HVAC (#10) once priced.  |  Qty: 100 zones (1 per guest room)  |  Source: https://www.alibaba.com/product-detail/ZERO-Brand-Multi-Zone-Aircon-Dc_1601014857928.html</t>
        </is>
      </c>
    </row>
  </sheetData>
  <mergeCells>
    <mergeCell ref="B27:I27"/>
    <mergeCell ref="A2:H2"/>
    <mergeCell ref="A1:H1"/>
  </mergeCells>
  <pageMargins left="0.7" right="0.7" top="0.75" bottom="0.75" header="0.3" footer="0.3"/>
</worksheet>
</file>

<file path=xl/worksheets/sheet31.xml><?xml version="1.0" encoding="utf-8"?>
<worksheet xmlns="http://schemas.openxmlformats.org/spreadsheetml/2006/main">
  <sheetViews>
    <sheetView showGridLines="0" workbookViewId="0"/>
  </sheetViews>
  <sheetFormatPr baseColWidth="8" defaultColWidth="8.5" defaultRowHeight="15"/>
  <cols>
    <col min="1" max="1" width="5" style="3136" customWidth="1"/>
    <col min="2" max="2" width="32" style="3136" customWidth="1"/>
    <col min="3" max="3" width="62" style="3136" customWidth="1"/>
    <col min="4" max="4" width="15" style="3136" customWidth="1"/>
    <col min="5" max="6" width="8.5" style="3136" customWidth="1"/>
    <col min="7" max="7" width="10" style="3136" customWidth="1"/>
    <col min="8" max="8" width="12" style="3136" customWidth="1"/>
    <col min="9" max="9" width="50" style="3136" customWidth="1"/>
    <col min="10" max="16384" width="8.5" style="3136" customWidth="1"/>
  </cols>
  <sheetData>
    <row r="1" s="3154" customFormat="1" ht="17.25" customHeight="1">
      <c r="A1" s="2790" t="inlineStr">
        <is>
          <t xml:space="preserve">SLEEP SPACE — HOTEL-SPECIFIC ADD-ONS (NOT IN LIVIO SCOPE)</t>
        </is>
      </c>
      <c r="B1" s="3202" t="n"/>
      <c r="C1" s="3202" t="n"/>
      <c r="D1" s="3202" t="n"/>
      <c r="E1" s="3202" t="n"/>
      <c r="F1" s="3202" t="n"/>
      <c r="G1" s="3202" t="n"/>
      <c r="H1" s="3202" t="n"/>
      <c r="I1" s="81" t="n"/>
    </row>
    <row r="2" s="3154" customFormat="1" ht="15" customHeight="1">
      <c r="A2" s="2792" t="inlineStr">
        <is>
          <t xml:space="preserve">Items required for a hotel (R-1 occupancy, IBC) that a residential prefab scope typically excludes. Educated-guess allowances.</t>
        </is>
      </c>
      <c r="B2" s="3204" t="n"/>
      <c r="C2" s="3204" t="n"/>
      <c r="D2" s="3204" t="n"/>
      <c r="E2" s="3204" t="n"/>
      <c r="F2" s="3204" t="n"/>
      <c r="G2" s="3204" t="n"/>
      <c r="H2" s="3205" t="n"/>
      <c r="I2" s="50" t="n"/>
    </row>
    <row r="3" s="3154" customFormat="1" ht="15" customHeight="1">
      <c r="A3" s="2795" t="n"/>
      <c r="B3" s="2795" t="n"/>
      <c r="C3" s="2795" t="n"/>
      <c r="D3" s="2795" t="n"/>
      <c r="E3" s="2796" t="n"/>
      <c r="F3" s="2796" t="n"/>
      <c r="G3" s="2795" t="n"/>
      <c r="H3" s="2795" t="n"/>
      <c r="I3" s="2795" t="n"/>
    </row>
    <row r="4" s="3154" customFormat="1" ht="27.75" customHeight="1">
      <c r="A4" s="2797" t="inlineStr">
        <is>
          <t xml:space="preserve">#</t>
        </is>
      </c>
      <c r="B4" s="2797" t="inlineStr">
        <is>
          <t xml:space="preserve">Category</t>
        </is>
      </c>
      <c r="C4" s="2797" t="inlineStr">
        <is>
          <t xml:space="preserve">Scope / Why a hotel needs it</t>
        </is>
      </c>
      <c r="D4" s="2797" t="inlineStr">
        <is>
          <t xml:space="preserve">Total Cost</t>
        </is>
      </c>
      <c r="E4" s="2797" t="inlineStr">
        <is>
          <t xml:space="preserve">Material</t>
        </is>
      </c>
      <c r="F4" s="2797" t="inlineStr">
        <is>
          <t xml:space="preserve">Labor</t>
        </is>
      </c>
      <c r="G4" s="2797" t="inlineStr">
        <is>
          <t xml:space="preserve">Labor %</t>
        </is>
      </c>
      <c r="H4" s="2797" t="inlineStr">
        <is>
          <t xml:space="preserve">$/GSF</t>
        </is>
      </c>
      <c r="I4" s="2797" t="inlineStr">
        <is>
          <t xml:space="preserve">Notes</t>
        </is>
      </c>
    </row>
    <row r="5" s="3154" customFormat="1" ht="39.75" customHeight="1">
      <c r="A5" s="2798" t="n">
        <v>1</v>
      </c>
      <c r="B5" s="2799" t="inlineStr">
        <is>
          <t xml:space="preserve">Elevator (2-stop hydraulic)</t>
        </is>
      </c>
      <c r="C5" s="2800" t="inlineStr">
        <is>
          <t xml:space="preserve">ADA Title III requires accessibility; residential prefab excludes vertical transportation. Budget hotel = 1 elevator, 2 stops.</t>
        </is>
      </c>
      <c r="D5" s="4279" t="n">
        <v>191780.8219178082</v>
      </c>
      <c r="E5" s="4372" t="n">
        <f>D5*(1-G5)</f>
        <v>115068.49315068492</v>
      </c>
      <c r="F5" s="4372" t="n">
        <f>D5*G5</f>
        <v>76712.32876712328</v>
      </c>
      <c r="G5" s="4377" t="n">
        <v>0.4</v>
      </c>
      <c r="H5" s="4278" t="n"/>
      <c r="I5" s="2805" t="inlineStr">
        <is>
          <t xml:space="preserve">ALLOWANCE — educated guess, no bid yet  |  Labor %: GUESS</t>
        </is>
      </c>
    </row>
    <row r="6" s="3154" customFormat="1" ht="39.75" customHeight="1">
      <c r="A6" s="2798" t="n">
        <v>2</v>
      </c>
      <c r="B6" s="2799" t="inlineStr">
        <is>
          <t xml:space="preserve">Commercial fire alarm &amp; life safety</t>
        </is>
      </c>
      <c r="C6" s="2800" t="inlineStr">
        <is>
          <t xml:space="preserve">Hotels (R-1 occupancy) require full addressable fire alarm panel, smoke detectors in all rooms, strobes/horns, exit signs, emergency lighting.</t>
        </is>
      </c>
      <c r="D6" s="4279" t="n">
        <v>68493.1506849315</v>
      </c>
      <c r="E6" s="4372" t="n">
        <f>D6*(1-G6)</f>
        <v>34246.57534246575</v>
      </c>
      <c r="F6" s="4372" t="n">
        <f>D6*G6</f>
        <v>34246.57534246575</v>
      </c>
      <c r="G6" s="4377" t="n">
        <v>0.5</v>
      </c>
      <c r="H6" s="4278" t="n"/>
      <c r="I6" s="2805" t="inlineStr">
        <is>
          <t xml:space="preserve">ALLOWANCE — educated guess, no bid yet  |  Labor %: GUESS</t>
        </is>
      </c>
    </row>
    <row r="7" s="3154" customFormat="1" ht="39.75" customHeight="1">
      <c r="A7" s="2798" t="n">
        <v>3</v>
      </c>
      <c r="B7" s="2799" t="inlineStr">
        <is>
          <t xml:space="preserve">Sprinkler upgrade (NFPA 13 vs 13R)</t>
        </is>
      </c>
      <c r="C7" s="2800" t="inlineStr">
        <is>
          <t xml:space="preserve">Hotels typically NFPA 13 (commercial) — higher density, coverage at corridors, BOH. Residential 13R does not suffice.</t>
        </is>
      </c>
      <c r="D7" s="4279" t="n">
        <v>41095.8904109589</v>
      </c>
      <c r="E7" s="4372" t="n">
        <f>D7*(1-G7)</f>
        <v>18493.1506849315</v>
      </c>
      <c r="F7" s="4372" t="n">
        <f>D7*G7</f>
        <v>22602.739726027397</v>
      </c>
      <c r="G7" s="4377" t="n">
        <v>0.55</v>
      </c>
      <c r="H7" s="4278" t="n"/>
      <c r="I7" s="2805" t="inlineStr">
        <is>
          <t xml:space="preserve">ALLOWANCE — educated guess, no bid yet  |  Labor %: GUESS</t>
        </is>
      </c>
    </row>
    <row r="8" s="3154" customFormat="1" ht="39.75" customHeight="1">
      <c r="A8" s="2798" t="n">
        <v>4</v>
      </c>
      <c r="B8" s="2799" t="inlineStr">
        <is>
          <t xml:space="preserve">Key card / electronic access control</t>
        </is>
      </c>
      <c r="C8" s="2800" t="inlineStr">
        <is>
          <t xml:space="preserve">RFID/BLE locks on all guest doors + front desk + BOH access control. ~80 locks @ ~$350 installed + server.</t>
        </is>
      </c>
      <c r="D8" s="4279" t="n">
        <v>43835.61643835616</v>
      </c>
      <c r="E8" s="4372" t="n">
        <f>D8*(1-G8)</f>
        <v>24109.589041095893</v>
      </c>
      <c r="F8" s="4372" t="n">
        <f>D8*G8</f>
        <v>19726.027397260274</v>
      </c>
      <c r="G8" s="4377" t="n">
        <v>0.45</v>
      </c>
      <c r="H8" s="4278" t="n"/>
      <c r="I8" s="2805" t="inlineStr">
        <is>
          <t xml:space="preserve">ALLOWANCE — educated guess, no bid yet  |  Labor %: GUESS</t>
        </is>
      </c>
    </row>
    <row r="9" s="3154" customFormat="1" ht="39.75" customHeight="1">
      <c r="A9" s="2798" t="n">
        <v>5</v>
      </c>
      <c r="B9" s="2799" t="inlineStr">
        <is>
          <t xml:space="preserve">CCTV / security system</t>
        </is>
      </c>
      <c r="C9" s="2800" t="inlineStr">
        <is>
          <t xml:space="preserve">Cameras at entrances, corridors, parking, BOH. DVR/NVR.</t>
        </is>
      </c>
      <c r="D9" s="4279" t="n">
        <v>27397.2602739726</v>
      </c>
      <c r="E9" s="4372" t="n">
        <f>D9*(1-G9)</f>
        <v>15068.49315068493</v>
      </c>
      <c r="F9" s="4372" t="n">
        <f>D9*G9</f>
        <v>12328.76712328767</v>
      </c>
      <c r="G9" s="4377" t="n">
        <v>0.45</v>
      </c>
      <c r="H9" s="4278" t="n"/>
      <c r="I9" s="2805" t="inlineStr">
        <is>
          <t xml:space="preserve">ALLOWANCE — educated guess, no bid yet  |  Labor %: GUESS</t>
        </is>
      </c>
    </row>
    <row r="10" s="3154" customFormat="1" ht="39.75" customHeight="1">
      <c r="A10" s="2798" t="n">
        <v>6</v>
      </c>
      <c r="B10" s="2799" t="inlineStr">
        <is>
          <t xml:space="preserve">Structured cabling &amp; IT backbone</t>
        </is>
      </c>
      <c r="C10" s="2800" t="inlineStr">
        <is>
          <t xml:space="preserve">Cat6 to every room for TV/PMS/POS; MDF/IDF closets, server room rough-in.</t>
        </is>
      </c>
      <c r="D10" s="4279" t="n">
        <v>41095.8904109589</v>
      </c>
      <c r="E10" s="4372" t="n">
        <f>D10*(1-G10)</f>
        <v>16438.35616438356</v>
      </c>
      <c r="F10" s="4372" t="n">
        <f>D10*G10</f>
        <v>24657.53424657534</v>
      </c>
      <c r="G10" s="4377" t="n">
        <v>0.6</v>
      </c>
      <c r="H10" s="4278" t="n"/>
      <c r="I10" s="2805" t="inlineStr">
        <is>
          <t xml:space="preserve">ALLOWANCE — educated guess, no bid yet  |  Labor %: GUESS</t>
        </is>
      </c>
    </row>
    <row r="11" s="3154" customFormat="1" ht="39.75" customHeight="1">
      <c r="A11" s="2798" t="n">
        <v>7</v>
      </c>
      <c r="B11" s="2799" t="inlineStr">
        <is>
          <t xml:space="preserve">WiFi system (AP per room/zone)</t>
        </is>
      </c>
      <c r="C11" s="2800" t="inlineStr">
        <is>
          <t xml:space="preserve">Guest WiFi is table stakes; APs in each room or every 2 rooms, management controller.</t>
        </is>
      </c>
      <c r="D11" s="4279" t="n">
        <v>34246.57534246575</v>
      </c>
      <c r="E11" s="4372" t="n">
        <f>D11*(1-G11)</f>
        <v>17123.287671232876</v>
      </c>
      <c r="F11" s="4372" t="n">
        <f>D11*G11</f>
        <v>17123.287671232876</v>
      </c>
      <c r="G11" s="4377" t="n">
        <v>0.5</v>
      </c>
      <c r="H11" s="4278" t="n"/>
      <c r="I11" s="2805" t="inlineStr">
        <is>
          <t xml:space="preserve">ALLOWANCE — educated guess, no bid yet  |  Labor %: GUESS</t>
        </is>
      </c>
    </row>
    <row r="12" s="3154" customFormat="1" ht="39.75" customHeight="1">
      <c r="A12" s="2798" t="n">
        <v>8</v>
      </c>
      <c r="B12" s="2799" t="inlineStr">
        <is>
          <t xml:space="preserve">Low-voltage rough-in premium</t>
        </is>
      </c>
      <c r="C12" s="2800" t="inlineStr">
        <is>
          <t xml:space="preserve">Hotel rooms have much more LV than residential (PMS, guest WiFi, CCTV, card reader, thermostat control, TV).</t>
        </is>
      </c>
      <c r="D12" s="4279" t="n">
        <v>27397.2602739726</v>
      </c>
      <c r="E12" s="4372" t="n">
        <f>D12*(1-G12)</f>
        <v>8219.17808219178</v>
      </c>
      <c r="F12" s="4372" t="n">
        <f>D12*G12</f>
        <v>19178.082191780817</v>
      </c>
      <c r="G12" s="4377" t="n">
        <v>0.7</v>
      </c>
      <c r="H12" s="4278" t="n"/>
      <c r="I12" s="2805" t="inlineStr">
        <is>
          <t xml:space="preserve">ALLOWANCE — educated guess, no bid yet  |  Labor %: GUESS</t>
        </is>
      </c>
    </row>
    <row r="13" s="3154" customFormat="1" ht="39.75" customHeight="1">
      <c r="A13" s="2798" t="n">
        <v>9</v>
      </c>
      <c r="B13" s="2799" t="inlineStr">
        <is>
          <t xml:space="preserve">Lobby &amp; front desk millwork</t>
        </is>
      </c>
      <c r="C13" s="2800" t="inlineStr">
        <is>
          <t xml:space="preserve">Reception desk, back-wall display, lobby built-ins. Not in Livio cabinetry scope.</t>
        </is>
      </c>
      <c r="D13" s="4279" t="n">
        <v>47945.20547945205</v>
      </c>
      <c r="E13" s="4372" t="n">
        <f>D13*(1-G13)</f>
        <v>21575.34246575342</v>
      </c>
      <c r="F13" s="4372" t="n">
        <f>D13*G13</f>
        <v>26369.863013698632</v>
      </c>
      <c r="G13" s="4377" t="n">
        <v>0.55</v>
      </c>
      <c r="H13" s="4278" t="n"/>
      <c r="I13" s="2805" t="inlineStr">
        <is>
          <t xml:space="preserve">ALLOWANCE — educated guess, no bid yet  |  Labor %: GUESS</t>
        </is>
      </c>
    </row>
    <row r="14" s="3154" customFormat="1" ht="39.75" customHeight="1">
      <c r="A14" s="2798" t="n">
        <v>10</v>
      </c>
      <c r="B14" s="2799" t="inlineStr">
        <is>
          <t xml:space="preserve">BOH + guest laundry build-out</t>
        </is>
      </c>
      <c r="C14" s="2800" t="inlineStr">
        <is>
          <t xml:space="preserve">Guest coin-op laundry room finish, housekeeping carts/storage, linen room, manager office. Hotel-specific scope not in Livio residential plan.</t>
        </is>
      </c>
      <c r="D14" s="4279" t="n">
        <v>54794.52054794521</v>
      </c>
      <c r="E14" s="4372" t="n">
        <f>D14*(1-G14)</f>
        <v>16438.356164383567</v>
      </c>
      <c r="F14" s="4372" t="n">
        <f>D14*G14</f>
        <v>38356.16438356165</v>
      </c>
      <c r="G14" s="4377" t="n">
        <v>0.7</v>
      </c>
      <c r="H14" s="4278" t="n"/>
      <c r="I14" s="2805" t="inlineStr">
        <is>
          <t xml:space="preserve">ALLOWANCE — educated guess, no bid yet  |  Labor %: GUESS</t>
        </is>
      </c>
    </row>
    <row r="15" s="3154" customFormat="1" ht="39.75" customHeight="1">
      <c r="A15" s="2798" t="n">
        <v>11</v>
      </c>
      <c r="B15" s="2799" t="inlineStr">
        <is>
          <t xml:space="preserve">Guest + BOH laundry MEP rough-in</t>
        </is>
      </c>
      <c r="C15" s="2800" t="inlineStr">
        <is>
          <t xml:space="preserve">240V / gas / water / vent for 2–3 guest coin-op washer/dryers + housekeeping laundry. Floor drain, makeup air. NOTE: laundry equipment itself is in FF&amp;E (Exhibit B) per client.</t>
        </is>
      </c>
      <c r="D15" s="4279" t="n">
        <v>34246.57534246575</v>
      </c>
      <c r="E15" s="4372" t="n">
        <f>D15*(1-G15)</f>
        <v>10273.972602739726</v>
      </c>
      <c r="F15" s="4372" t="n">
        <f>D15*G15</f>
        <v>23972.602739726026</v>
      </c>
      <c r="G15" s="4377" t="n">
        <v>0.7</v>
      </c>
      <c r="H15" s="4278" t="n"/>
      <c r="I15" s="2805" t="inlineStr">
        <is>
          <t xml:space="preserve">ALLOWANCE — educated guess, no bid yet  |  Labor %: GUESS</t>
        </is>
      </c>
    </row>
    <row r="16" s="3154" customFormat="1" ht="39.75" customHeight="1">
      <c r="A16" s="2798" t="n">
        <v>12</v>
      </c>
      <c r="B16" s="2799" t="inlineStr">
        <is>
          <t xml:space="preserve">Corridor finishes &amp; wall protection</t>
        </is>
      </c>
      <c r="C16" s="2800" t="inlineStr">
        <is>
          <t xml:space="preserve">Hotel corridors get carpet tile, wall base, chair rail / vinyl wall protection — heavier spec than residential halls.</t>
        </is>
      </c>
      <c r="D16" s="4279" t="n">
        <v>27397.2602739726</v>
      </c>
      <c r="E16" s="4372" t="n">
        <f>D16*(1-G16)</f>
        <v>10958.90410958904</v>
      </c>
      <c r="F16" s="4372" t="n">
        <f>D16*G16</f>
        <v>16438.35616438356</v>
      </c>
      <c r="G16" s="4377" t="n">
        <v>0.6</v>
      </c>
      <c r="H16" s="4278" t="n"/>
      <c r="I16" s="2805" t="inlineStr">
        <is>
          <t xml:space="preserve">ALLOWANCE — educated guess, no bid yet  |  Labor %: GUESS</t>
        </is>
      </c>
    </row>
    <row r="17" s="3154" customFormat="1" ht="39.75" customHeight="1">
      <c r="A17" s="2798" t="n">
        <v>13</v>
      </c>
      <c r="B17" s="2799" t="inlineStr">
        <is>
          <t xml:space="preserve">Sound attenuation upgrades (STC 50+)</t>
        </is>
      </c>
      <c r="C17" s="2800" t="inlineStr">
        <is>
          <t xml:space="preserve">Hotel party walls &amp; floor/ceiling assemblies typically STC 50–55 (IBC R-1). Residential prefab default may be lower — add resilient channel, double drywall, acoustic sealant.</t>
        </is>
      </c>
      <c r="D17" s="4279" t="n">
        <v>68493.1506849315</v>
      </c>
      <c r="E17" s="4372" t="n">
        <f>D17*(1-G17)</f>
        <v>20547.945205479453</v>
      </c>
      <c r="F17" s="4372" t="n">
        <f>D17*G17</f>
        <v>47945.20547945205</v>
      </c>
      <c r="G17" s="4377" t="n">
        <v>0.7</v>
      </c>
      <c r="H17" s="4278" t="n"/>
      <c r="I17" s="2805" t="inlineStr">
        <is>
          <t xml:space="preserve">ALLOWANCE — educated guess, no bid yet  |  Labor %: GUESS</t>
        </is>
      </c>
    </row>
    <row r="18" s="3154" customFormat="1" ht="39.75" customHeight="1">
      <c r="A18" s="2798" t="n">
        <v>14</v>
      </c>
      <c r="B18" s="2799" t="inlineStr">
        <is>
          <t xml:space="preserve">Signage — exterior &amp; wayfinding</t>
        </is>
      </c>
      <c r="C18" s="2800" t="inlineStr">
        <is>
          <t xml:space="preserve">Monument sign, illuminated building ID, room number plaques, ADA signage, egress/wayfinding.</t>
        </is>
      </c>
      <c r="D18" s="4279" t="n">
        <v>75342.46575342465</v>
      </c>
      <c r="E18" s="4372" t="n">
        <f>D18*(1-G18)</f>
        <v>45205.47945205479</v>
      </c>
      <c r="F18" s="4372" t="n">
        <f>D18*G18</f>
        <v>30136.986301369863</v>
      </c>
      <c r="G18" s="4377" t="n">
        <v>0.4</v>
      </c>
      <c r="H18" s="4278" t="n"/>
      <c r="I18" s="2805" t="inlineStr">
        <is>
          <t xml:space="preserve">ALLOWANCE — educated guess, no bid yet  |  Labor %: GUESS</t>
        </is>
      </c>
    </row>
    <row r="19" s="3154" customFormat="1" ht="39.75" customHeight="1">
      <c r="A19" s="2798" t="n">
        <v>15</v>
      </c>
      <c r="B19" s="2799" t="inlineStr">
        <is>
          <t xml:space="preserve">ADA premium (accessible rooms + routes)</t>
        </is>
      </c>
      <c r="C19" s="2800" t="inlineStr">
        <is>
          <t xml:space="preserve">Hotel must provide 4–5% accessible guest rooms (roll-in showers, grab bars, wider doors, lowered counters) + accessible route/parking.</t>
        </is>
      </c>
      <c r="D19" s="4279" t="n">
        <v>27397.2602739726</v>
      </c>
      <c r="E19" s="4372" t="n">
        <f>D19*(1-G19)</f>
        <v>10958.90410958904</v>
      </c>
      <c r="F19" s="4372" t="n">
        <f>D19*G19</f>
        <v>16438.35616438356</v>
      </c>
      <c r="G19" s="4377" t="n">
        <v>0.6</v>
      </c>
      <c r="H19" s="4278" t="n"/>
      <c r="I19" s="2805" t="inlineStr">
        <is>
          <t xml:space="preserve">ALLOWANCE — educated guess, no bid yet  |  Labor %: GUESS</t>
        </is>
      </c>
    </row>
    <row r="20" s="3154" customFormat="1" ht="39.75" customHeight="1">
      <c r="A20" s="2798" t="n">
        <v>16</v>
      </c>
      <c r="B20" s="2799" t="inlineStr">
        <is>
          <t xml:space="preserve">Parking lot, striping &amp; site lighting</t>
        </is>
      </c>
      <c r="C20" s="2800" t="inlineStr">
        <is>
          <t xml:space="preserve">AC paving, ADA stalls, wheel stops, pole lights, bollards — not in Livio building scope.</t>
        </is>
      </c>
      <c r="D20" s="4279" t="n">
        <v>102739.7260273972</v>
      </c>
      <c r="E20" s="4372" t="n">
        <f>D20*(1-G20)</f>
        <v>46232.87671232874</v>
      </c>
      <c r="F20" s="4372" t="n">
        <f>D20*G20</f>
        <v>56506.849315068466</v>
      </c>
      <c r="G20" s="4377" t="n">
        <v>0.55</v>
      </c>
      <c r="H20" s="4278" t="n"/>
      <c r="I20" s="2805" t="inlineStr">
        <is>
          <t xml:space="preserve">ALLOWANCE — educated guess, no bid yet  |  Labor %: GUESS</t>
        </is>
      </c>
    </row>
    <row r="21" s="3154" customFormat="1" ht="39.75" customHeight="1">
      <c r="A21" s="2798" t="n">
        <v>17</v>
      </c>
      <c r="B21" s="2799" t="inlineStr">
        <is>
          <t xml:space="preserve">Emergency lighting &amp; exit signage</t>
        </is>
      </c>
      <c r="C21" s="2800" t="inlineStr">
        <is>
          <t xml:space="preserve">Battery-backed egress lighting &amp; illuminated exit signs on code path.</t>
        </is>
      </c>
      <c r="D21" s="4279" t="n">
        <v>20547.94520547945</v>
      </c>
      <c r="E21" s="4372" t="n">
        <f>D21*(1-G21)</f>
        <v>8219.17808219178</v>
      </c>
      <c r="F21" s="4372" t="n">
        <f>D21*G21</f>
        <v>12328.76712328767</v>
      </c>
      <c r="G21" s="4377" t="n">
        <v>0.6</v>
      </c>
      <c r="H21" s="4278" t="n"/>
      <c r="I21" s="2805" t="inlineStr">
        <is>
          <t xml:space="preserve">ALLOWANCE — educated guess, no bid yet  |  Labor %: GUESS</t>
        </is>
      </c>
    </row>
    <row r="22" s="3154" customFormat="1" ht="39.75" customHeight="1">
      <c r="A22" s="2798" t="n">
        <v>18</v>
      </c>
      <c r="B22" s="2799" t="inlineStr">
        <is>
          <t xml:space="preserve">Exterior trash &amp; recycling enclosure</t>
        </is>
      </c>
      <c r="C22" s="2800" t="inlineStr">
        <is>
          <t xml:space="preserve">CMU / steel-gate enclosure per city code for commercial waste pickup.</t>
        </is>
      </c>
      <c r="D22" s="4279" t="n">
        <v>16438.35616438356</v>
      </c>
      <c r="E22" s="4372" t="n">
        <f>D22*(1-G22)</f>
        <v>5753.424657534246</v>
      </c>
      <c r="F22" s="4372" t="n">
        <f>D22*G22</f>
        <v>10684.931506849314</v>
      </c>
      <c r="G22" s="4377" t="n">
        <v>0.65</v>
      </c>
      <c r="H22" s="4278" t="n"/>
      <c r="I22" s="2805" t="inlineStr">
        <is>
          <t xml:space="preserve">ALLOWANCE — educated guess, no bid yet  |  Labor %: GUESS</t>
        </is>
      </c>
    </row>
    <row r="23" s="3154" customFormat="1" ht="15" customHeight="1">
      <c r="A23" s="2808" t="n"/>
      <c r="B23" s="2809" t="inlineStr">
        <is>
          <t xml:space="preserve">HOTEL ADD-ONS SUBTOTAL</t>
        </is>
      </c>
      <c r="C23" s="2808" t="n"/>
      <c r="D23" s="4374" t="n">
        <f t="array" ref="D23">SUM(D5:D22)</f>
        <v>950684.9315068494</v>
      </c>
      <c r="E23" s="4375" t="n">
        <f>SUM(E5:E22)</f>
        <v>444931.5068493151</v>
      </c>
      <c r="F23" s="4375" t="n">
        <f>SUM(F5:F22)</f>
        <v>505753.42465753417</v>
      </c>
      <c r="G23" s="4376" t="n">
        <f>IFERROR(F23/D23,0)</f>
        <v>0.5319884726224783</v>
      </c>
      <c r="H23" s="4282" t="n"/>
      <c r="I23" s="2813" t="n"/>
    </row>
  </sheetData>
  <mergeCells>
    <mergeCell ref="A2:H2"/>
    <mergeCell ref="A1:H1"/>
  </mergeCells>
  <pageMargins left="0.7" right="0.7" top="0.75" bottom="0.75" header="0.3" footer="0.3"/>
</worksheet>
</file>

<file path=xl/worksheets/sheet32.xml><?xml version="1.0" encoding="utf-8"?>
<worksheet xmlns="http://schemas.openxmlformats.org/spreadsheetml/2006/main">
  <sheetViews>
    <sheetView showGridLines="0" workbookViewId="0"/>
  </sheetViews>
  <sheetFormatPr baseColWidth="8" defaultColWidth="8.5" defaultRowHeight="15"/>
  <cols>
    <col min="1" max="1" width="12" style="3136" customWidth="1"/>
    <col min="2" max="2" width="38" style="3136" customWidth="1"/>
    <col min="3" max="3" width="15" style="3136" customWidth="1"/>
    <col min="4" max="4" width="12" style="3136" customWidth="1"/>
    <col min="5" max="5" width="10" style="3136" customWidth="1"/>
    <col min="6" max="6" width="48" style="3136" customWidth="1"/>
    <col min="7" max="16384" width="8.5" style="3136" customWidth="1"/>
  </cols>
  <sheetData>
    <row r="1" s="3154" customFormat="1" ht="17.25" customHeight="1">
      <c r="A1" s="4286" t="inlineStr">
        <is>
          <t xml:space="preserve">SLEEP SPACE — LABOR &amp; MATERIAL (SEPARATE SECTIONS)</t>
        </is>
      </c>
      <c r="B1" s="3202" t="n"/>
      <c r="C1" s="3202" t="n"/>
      <c r="D1" s="3202" t="n"/>
      <c r="E1" s="3202" t="n"/>
      <c r="F1" s="3203" t="n"/>
    </row>
    <row r="2" s="3154" customFormat="1" ht="31.5" customHeight="1">
      <c r="A2" s="2838" t="inlineStr">
        <is>
          <t xml:space="preserve">All line items pivoted into two separate sections. Highlighted rows and 'GUESS' tags in the Notes column flag any number that is estimated rather than sourced from the Livio quote. Formulas reference the source tabs.</t>
        </is>
      </c>
      <c r="B2" s="3204" t="n"/>
      <c r="C2" s="3204" t="n"/>
      <c r="D2" s="3204" t="n"/>
      <c r="E2" s="3204" t="n"/>
      <c r="F2" s="3205" t="n"/>
    </row>
    <row r="3" s="3154" customFormat="1" ht="15" customHeight="1">
      <c r="A3" s="2840" t="inlineStr">
        <is>
          <t xml:space="preserve">Legend: yellow-shaded row = contains a guess. Notes column shows source or basis for every amount.</t>
        </is>
      </c>
      <c r="B3" s="4287" t="n"/>
      <c r="C3" s="4287" t="n"/>
      <c r="D3" s="4287" t="n"/>
      <c r="E3" s="4287" t="n"/>
      <c r="F3" s="4288" t="n"/>
    </row>
    <row r="4" s="3154" customFormat="1" ht="26.25" customHeight="1">
      <c r="A4" s="2797" t="inlineStr">
        <is>
          <t xml:space="preserve">Source</t>
        </is>
      </c>
      <c r="B4" s="2797" t="inlineStr">
        <is>
          <t xml:space="preserve">Line Item</t>
        </is>
      </c>
      <c r="C4" s="2797" t="inlineStr">
        <is>
          <t xml:space="preserve">Amount</t>
        </is>
      </c>
      <c r="D4" s="2797" t="inlineStr">
        <is>
          <t xml:space="preserve">% of Section</t>
        </is>
      </c>
      <c r="E4" s="2797" t="inlineStr">
        <is>
          <t xml:space="preserve">$/GSF</t>
        </is>
      </c>
      <c r="F4" s="2797" t="inlineStr">
        <is>
          <t xml:space="preserve">Notes</t>
        </is>
      </c>
    </row>
    <row r="5" s="3154" customFormat="1" ht="24" customHeight="1">
      <c r="A5" s="4289" t="inlineStr">
        <is>
          <t xml:space="preserve">◆ LABOR</t>
        </is>
      </c>
      <c r="B5" s="4290" t="n"/>
      <c r="C5" s="4290" t="n"/>
      <c r="D5" s="4290" t="n"/>
      <c r="E5" s="4290" t="n"/>
      <c r="F5" s="4291" t="n"/>
    </row>
    <row r="6" s="3154" customFormat="1" ht="15" customHeight="1">
      <c r="A6" s="4292" t="inlineStr">
        <is>
          <t xml:space="preserve">Livio Exhibit A</t>
        </is>
      </c>
      <c r="B6" s="4293" t="n"/>
      <c r="C6" s="4293" t="n"/>
      <c r="D6" s="4293" t="n"/>
      <c r="E6" s="4293" t="n"/>
      <c r="F6" s="4294" t="n"/>
    </row>
    <row r="7" s="3154" customFormat="1" ht="15" customHeight="1">
      <c r="A7" s="2848" t="inlineStr">
        <is>
          <t xml:space="preserve">Livio A</t>
        </is>
      </c>
      <c r="B7" s="2849" t="inlineStr">
        <is>
          <t xml:space="preserve">Livio Closed Wall System</t>
        </is>
      </c>
      <c r="C7" s="4378" t="n">
        <f>'CB-Construction Budget'!F5</f>
        <v>183776.23972602744</v>
      </c>
      <c r="D7" s="4296" t="n">
        <f t="array" ref="D7">IFERROR(C7/$C$44,0)</f>
        <v>0.08169360913021326</v>
      </c>
      <c r="E7" s="4297" t="n">
        <f t="array" ref="E7">IFERROR(C7/'Assumptions'!$J$8,0)</f>
        <v>10.125</v>
      </c>
      <c r="F7" s="2805" t="inlineStr">
        <is>
          <t xml:space="preserve">Labor % = GUESS 15% (factory-prefab; mostly material)</t>
        </is>
      </c>
    </row>
    <row r="8" s="3154" customFormat="1" ht="15" customHeight="1">
      <c r="A8" s="2848" t="inlineStr">
        <is>
          <t xml:space="preserve">Livio A</t>
        </is>
      </c>
      <c r="B8" s="2849" t="inlineStr">
        <is>
          <t xml:space="preserve">Concrete</t>
        </is>
      </c>
      <c r="C8" s="4378" t="n">
        <f>'CB-Construction Budget'!F6</f>
        <v>159068.934</v>
      </c>
      <c r="D8" s="4296" t="n">
        <f t="array" ref="D8">IFERROR(C8/$C$44,0)</f>
        <v>0.07071053003548465</v>
      </c>
      <c r="E8" s="4297" t="n">
        <f t="array" ref="E8">IFERROR(C8/'Assumptions'!$J$8,0)</f>
        <v>8.763771416539118</v>
      </c>
      <c r="F8" s="2805" t="inlineStr">
        <is>
          <t xml:space="preserve">Labor % = GUESS 60% (typical trade split)</t>
        </is>
      </c>
    </row>
    <row r="9" s="3154" customFormat="1" ht="15" customHeight="1">
      <c r="A9" s="2848" t="inlineStr">
        <is>
          <t xml:space="preserve">Livio A</t>
        </is>
      </c>
      <c r="B9" s="2849" t="inlineStr">
        <is>
          <t xml:space="preserve">Dampproofing &amp; Waterproofing</t>
        </is>
      </c>
      <c r="C9" s="4378" t="n">
        <f>'CB-Construction Budget'!F7</f>
        <v>8616.231</v>
      </c>
      <c r="D9" s="4296" t="n">
        <f t="array" ref="D9">IFERROR(C9/$C$44,0)</f>
        <v>0.0038301524100122146</v>
      </c>
      <c r="E9" s="4297" t="n">
        <f t="array" ref="E9">IFERROR(C9/'Assumptions'!$J$8,0)</f>
        <v>0.47470412391207867</v>
      </c>
      <c r="F9" s="2805" t="inlineStr">
        <is>
          <t xml:space="preserve">Labor % = GUESS 65%</t>
        </is>
      </c>
    </row>
    <row r="10" s="3154" customFormat="1" ht="15" customHeight="1">
      <c r="A10" s="2815" t="inlineStr">
        <is>
          <t xml:space="preserve">Livio A</t>
        </is>
      </c>
      <c r="B10" s="2799" t="inlineStr">
        <is>
          <t xml:space="preserve">Interior Sheathing Finish</t>
        </is>
      </c>
      <c r="C10" s="4379" t="n">
        <f>'CB-Construction Budget'!F8</f>
        <v>54475.65753424658</v>
      </c>
      <c r="D10" s="4283" t="n">
        <f t="array" ref="D10">IFERROR(C10/$C$44,0)</f>
        <v>0.024215932812362458</v>
      </c>
      <c r="E10" s="4298" t="n">
        <f t="array" ref="E10">IFERROR(C10/'Assumptions'!$J$8,0)</f>
        <v>3.0012913168564017</v>
      </c>
      <c r="F10" s="2807" t="inlineStr">
        <is>
          <t xml:space="preserve">Labor % = Livio scope: material from factory → 100% field labor</t>
        </is>
      </c>
    </row>
    <row r="11" s="3154" customFormat="1" ht="15" customHeight="1">
      <c r="A11" s="2848" t="inlineStr">
        <is>
          <t xml:space="preserve">Livio A</t>
        </is>
      </c>
      <c r="B11" s="2849" t="inlineStr">
        <is>
          <t xml:space="preserve">Erosion Control</t>
        </is>
      </c>
      <c r="C11" s="4378" t="n">
        <f>'CB-Construction Budget'!F9</f>
        <v>15873.60616438356</v>
      </c>
      <c r="D11" s="4296" t="n">
        <f t="array" ref="D11">IFERROR(C11/$C$44,0)</f>
        <v>0.00705625590888852</v>
      </c>
      <c r="E11" s="4297" t="n">
        <f t="array" ref="E11">IFERROR(C11/'Assumptions'!$J$8,0)</f>
        <v>0.8745432089261614</v>
      </c>
      <c r="F11" s="2805" t="inlineStr">
        <is>
          <t xml:space="preserve">Labor % = GUESS 75% (labor + light materials)</t>
        </is>
      </c>
    </row>
    <row r="12" s="3154" customFormat="1" ht="15" customHeight="1">
      <c r="A12" s="2848" t="inlineStr">
        <is>
          <t xml:space="preserve">Livio A</t>
        </is>
      </c>
      <c r="B12" s="2849" t="inlineStr">
        <is>
          <t xml:space="preserve">Fire Sprinklers</t>
        </is>
      </c>
      <c r="C12" s="4378" t="n">
        <f>'CB-Construction Budget'!F10</f>
        <v>36317.109589041094</v>
      </c>
      <c r="D12" s="4296" t="n">
        <f t="array" ref="D12">IFERROR(C12/$C$44,0)</f>
        <v>0.016143957238047988</v>
      </c>
      <c r="E12" s="4297" t="n">
        <f t="array" ref="E12">IFERROR(C12/'Assumptions'!$J$8,0)</f>
        <v>2.000861129475835</v>
      </c>
      <c r="F12" s="2805" t="inlineStr">
        <is>
          <t xml:space="preserve">Labor % = GUESS 50% (NFPA split)</t>
        </is>
      </c>
    </row>
    <row r="13" s="3154" customFormat="1" ht="15" customHeight="1">
      <c r="A13" s="2848" t="inlineStr">
        <is>
          <t xml:space="preserve">Livio A</t>
        </is>
      </c>
      <c r="B13" s="2849" t="inlineStr">
        <is>
          <t xml:space="preserve">Flashing &amp; Sheet Metal</t>
        </is>
      </c>
      <c r="C13" s="4378" t="n">
        <f>'CB-Construction Budget'!F11</f>
        <v>18158.554794520544</v>
      </c>
      <c r="D13" s="4296" t="n">
        <f t="array" ref="D13">IFERROR(C13/$C$44,0)</f>
        <v>0.008071978619023992</v>
      </c>
      <c r="E13" s="4297" t="n">
        <f t="array" ref="E13">IFERROR(C13/'Assumptions'!$J$8,0)</f>
        <v>1.0004305647379172</v>
      </c>
      <c r="F13" s="2805" t="inlineStr">
        <is>
          <t xml:space="preserve">Labor % = GUESS 50%</t>
        </is>
      </c>
    </row>
    <row r="14" s="3154" customFormat="1" ht="15" customHeight="1">
      <c r="A14" s="2815" t="inlineStr">
        <is>
          <t xml:space="preserve">Livio A</t>
        </is>
      </c>
      <c r="B14" s="2799" t="inlineStr">
        <is>
          <t xml:space="preserve">Panel Installation</t>
        </is>
      </c>
      <c r="C14" s="4379" t="n">
        <f>'CB-Construction Budget'!F12</f>
        <v>408391.64383561653</v>
      </c>
      <c r="D14" s="4283" t="n">
        <f t="array" ref="D14">IFERROR(C14/$C$44,0)</f>
        <v>0.18154135362269613</v>
      </c>
      <c r="E14" s="4298" t="n">
        <f t="array" ref="E14">IFERROR(C14/'Assumptions'!$J$8,0)</f>
        <v>22.5</v>
      </c>
      <c r="F14" s="2807" t="inlineStr">
        <is>
          <t xml:space="preserve">Labor % = Livio scope: install only → 100% labor</t>
        </is>
      </c>
    </row>
    <row r="15" s="3154" customFormat="1" ht="15" customHeight="1">
      <c r="A15" s="2848" t="inlineStr">
        <is>
          <t xml:space="preserve">Livio A</t>
        </is>
      </c>
      <c r="B15" s="2849" t="inlineStr">
        <is>
          <t xml:space="preserve">Grading (Earth Work)</t>
        </is>
      </c>
      <c r="C15" s="4378" t="n">
        <f>'CB-Construction Budget'!F13</f>
        <v>52000</v>
      </c>
      <c r="D15" s="4296" t="n">
        <f t="array" ref="D15">IFERROR(C15/$C$44,0)</f>
        <v>0.023115434732499066</v>
      </c>
      <c r="E15" s="4297" t="n">
        <f t="array" ref="E15">IFERROR(C15/'Assumptions'!$J$8,0)</f>
        <v>2.8648970116316623</v>
      </c>
      <c r="F15" s="2805" t="inlineStr">
        <is>
          <t xml:space="preserve">Labor % = GUESS 80% (equipment + operators)</t>
        </is>
      </c>
    </row>
    <row r="16" s="3154" customFormat="1" ht="15" customHeight="1">
      <c r="A16" s="2848" t="inlineStr">
        <is>
          <t xml:space="preserve">Livio A</t>
        </is>
      </c>
      <c r="B16" s="2849" t="inlineStr">
        <is>
          <t xml:space="preserve">HVAC (Ductwork + Install)</t>
        </is>
      </c>
      <c r="C16" s="4378" t="n">
        <f>'CB-Construction Budget'!F14</f>
        <v>108951.3287671233</v>
      </c>
      <c r="D16" s="4296" t="n">
        <f t="array" ref="D16">IFERROR(C16/$C$44,0)</f>
        <v>0.048431871714143974</v>
      </c>
      <c r="E16" s="4297" t="n">
        <f t="array" ref="E16">IFERROR(C16/'Assumptions'!$J$8,0)</f>
        <v>6.002583388427506</v>
      </c>
      <c r="F16" s="2805" t="inlineStr">
        <is>
          <t xml:space="preserve">Labor % = GUESS 60%</t>
        </is>
      </c>
    </row>
    <row r="17" s="3154" customFormat="1" ht="15" customHeight="1">
      <c r="A17" s="2815" t="inlineStr">
        <is>
          <t xml:space="preserve">Livio A</t>
        </is>
      </c>
      <c r="B17" s="2799" t="inlineStr">
        <is>
          <t xml:space="preserve">Insulation</t>
        </is>
      </c>
      <c r="C17" s="4379" t="n">
        <f>'CB-Construction Budget'!F15</f>
        <v>27237.83561643835</v>
      </c>
      <c r="D17" s="4283" t="n">
        <f t="array" ref="D17">IFERROR(C17/$C$44,0)</f>
        <v>0.012107969450890753</v>
      </c>
      <c r="E17" s="4298" t="n">
        <f t="array" ref="E17">IFERROR(C17/'Assumptions'!$J$8,0)</f>
        <v>1.5006460357855518</v>
      </c>
      <c r="F17" s="2807" t="inlineStr">
        <is>
          <t xml:space="preserve">Labor % = Livio scope: labor only → 100%</t>
        </is>
      </c>
    </row>
    <row r="18" s="3154" customFormat="1" ht="15" customHeight="1">
      <c r="A18" s="2848" t="inlineStr">
        <is>
          <t xml:space="preserve">Livio A</t>
        </is>
      </c>
      <c r="B18" s="2849" t="inlineStr">
        <is>
          <t xml:space="preserve">Painting &amp; Coating</t>
        </is>
      </c>
      <c r="C18" s="4378" t="n">
        <f>'CB-Construction Budget'!F16</f>
        <v>114398.89041095885</v>
      </c>
      <c r="D18" s="4296" t="n">
        <f t="array" ref="D18">IFERROR(C18/$C$44,0)</f>
        <v>0.05085346316855447</v>
      </c>
      <c r="E18" s="4297" t="n">
        <f t="array" ref="E18">IFERROR(C18/'Assumptions'!$J$8,0)</f>
        <v>6.302712293698732</v>
      </c>
      <c r="F18" s="2805" t="inlineStr">
        <is>
          <t xml:space="preserve">Labor % = GUESS 70% (industry rule of thumb)</t>
        </is>
      </c>
    </row>
    <row r="19" s="3154" customFormat="1" ht="15" customHeight="1">
      <c r="A19" s="2815" t="inlineStr">
        <is>
          <t xml:space="preserve">Livio A</t>
        </is>
      </c>
      <c r="B19" s="2799" t="inlineStr">
        <is>
          <t xml:space="preserve">Finished Plumbing Labor</t>
        </is>
      </c>
      <c r="C19" s="4379" t="n">
        <f>'CB-Construction Budget'!F17</f>
        <v>54475.65753424658</v>
      </c>
      <c r="D19" s="4283" t="n">
        <f t="array" ref="D19">IFERROR(C19/$C$44,0)</f>
        <v>0.024215932812362458</v>
      </c>
      <c r="E19" s="4298" t="n">
        <f t="array" ref="E19">IFERROR(C19/'Assumptions'!$J$8,0)</f>
        <v>3.0012913168564017</v>
      </c>
      <c r="F19" s="2807" t="inlineStr">
        <is>
          <t xml:space="preserve">Labor % = Livio scope: 'Labor' → 100%</t>
        </is>
      </c>
    </row>
    <row r="20" s="3154" customFormat="1" ht="15" customHeight="1">
      <c r="A20" s="2848" t="inlineStr">
        <is>
          <t xml:space="preserve">Livio A</t>
        </is>
      </c>
      <c r="B20" s="2849" t="inlineStr">
        <is>
          <t xml:space="preserve">Roofing</t>
        </is>
      </c>
      <c r="C20" s="4378" t="n">
        <f>'CB-Construction Budget'!F18</f>
        <v>89884.84246575339</v>
      </c>
      <c r="D20" s="4296" t="n">
        <f t="array" ref="D20">IFERROR(C20/$C$44,0)</f>
        <v>0.03995629248957852</v>
      </c>
      <c r="E20" s="4297" t="n">
        <f t="array" ref="E20">IFERROR(C20/'Assumptions'!$J$8,0)</f>
        <v>4.952131087906147</v>
      </c>
      <c r="F20" s="2805" t="inlineStr">
        <is>
          <t xml:space="preserve">Labor % = GUESS 55%</t>
        </is>
      </c>
    </row>
    <row r="21" s="3154" customFormat="1" ht="15" customHeight="1">
      <c r="A21" s="2848" t="inlineStr">
        <is>
          <t xml:space="preserve">Livio A</t>
        </is>
      </c>
      <c r="B21" s="2849" t="inlineStr">
        <is>
          <t xml:space="preserve">Finished Electrical Labor</t>
        </is>
      </c>
      <c r="C21" s="4378" t="n">
        <f>'CB-Construction Budget'!F19</f>
        <v>31777.468493150685</v>
      </c>
      <c r="D21" s="4296" t="n">
        <f t="array" ref="D21">IFERROR(C21/$C$44,0)</f>
        <v>0.014125961517643656</v>
      </c>
      <c r="E21" s="4297" t="n">
        <f t="array" ref="E21">IFERROR(C21/'Assumptions'!$J$8,0)</f>
        <v>1.7507533562162827</v>
      </c>
      <c r="F21" s="2805" t="inlineStr">
        <is>
          <t xml:space="preserve">Labor % = GUESS 70%</t>
        </is>
      </c>
    </row>
    <row r="22" s="3154" customFormat="1" ht="15" customHeight="1">
      <c r="A22" s="2815" t="inlineStr">
        <is>
          <t xml:space="preserve">Livio A</t>
        </is>
      </c>
      <c r="B22" s="2799" t="inlineStr">
        <is>
          <t xml:space="preserve">Exterior Facade</t>
        </is>
      </c>
      <c r="C22" s="4379" t="n">
        <f>'CB-Construction Budget'!F20</f>
        <v>181585.5479452055</v>
      </c>
      <c r="D22" s="4283" t="n">
        <f t="array" ref="D22">IFERROR(C22/$C$44,0)</f>
        <v>0.08071978619023996</v>
      </c>
      <c r="E22" s="4298" t="n">
        <f t="array" ref="E22">IFERROR(C22/'Assumptions'!$J$8,0)</f>
        <v>10.004305647379176</v>
      </c>
      <c r="F22" s="2807" t="inlineStr">
        <is>
          <t xml:space="preserve">Labor % = Livio scope: 'Labor to install' → 100%</t>
        </is>
      </c>
    </row>
    <row r="23" s="3154" customFormat="1" ht="15" customHeight="1">
      <c r="A23" s="2815" t="inlineStr">
        <is>
          <t xml:space="preserve">Livio A</t>
        </is>
      </c>
      <c r="B23" s="2799" t="inlineStr">
        <is>
          <t xml:space="preserve">Cleaning</t>
        </is>
      </c>
      <c r="C23" s="4379" t="n">
        <f>'CB-Construction Budget'!F21</f>
        <v>13618.91780821918</v>
      </c>
      <c r="D23" s="4283" t="n">
        <f t="array" ref="D23">IFERROR(C23/$C$44,0)</f>
        <v>0.006053984725445378</v>
      </c>
      <c r="E23" s="4298" t="n">
        <f t="array" ref="E23">IFERROR(C23/'Assumptions'!$J$8,0)</f>
        <v>0.7503230178927761</v>
      </c>
      <c r="F23" s="2807" t="inlineStr">
        <is>
          <t xml:space="preserve">Labor % = Pure labor → 100%</t>
        </is>
      </c>
    </row>
    <row r="24" s="3154" customFormat="1" ht="15" customHeight="1">
      <c r="A24" s="2848" t="inlineStr">
        <is>
          <t xml:space="preserve">Livio A</t>
        </is>
      </c>
      <c r="B24" s="2849" t="inlineStr">
        <is>
          <t xml:space="preserve">General Requirements</t>
        </is>
      </c>
      <c r="C24" s="4378" t="n">
        <f>'CB-Construction Budget'!F22</f>
        <v>185217.2589041096</v>
      </c>
      <c r="D24" s="4296" t="n">
        <f t="array" ref="D24">IFERROR(C24/$C$44,0)</f>
        <v>0.08233418191404475</v>
      </c>
      <c r="E24" s="4297" t="n">
        <f t="array" ref="E24">IFERROR(C24/'Assumptions'!$J$8,0)</f>
        <v>10.204391760326759</v>
      </c>
      <c r="F24" s="2805" t="inlineStr">
        <is>
          <t xml:space="preserve">Labor % = GUESS 85% (supervision/PM-heavy)</t>
        </is>
      </c>
    </row>
    <row r="25" s="3154" customFormat="1" ht="15" customHeight="1">
      <c r="A25" s="4299" t="inlineStr">
        <is>
          <t xml:space="preserve">Hotel Add-Ons</t>
        </is>
      </c>
      <c r="B25" s="4300" t="n"/>
      <c r="C25" s="4300" t="n"/>
      <c r="D25" s="4300" t="n"/>
      <c r="E25" s="4300" t="n"/>
      <c r="F25" s="4301" t="n"/>
    </row>
    <row r="26" s="3154" customFormat="1" ht="15" customHeight="1">
      <c r="A26" s="2848" t="inlineStr">
        <is>
          <t xml:space="preserve">Hotel</t>
        </is>
      </c>
      <c r="B26" s="2849" t="inlineStr">
        <is>
          <t xml:space="preserve">Elevator (2-stop hydraulic)</t>
        </is>
      </c>
      <c r="C26" s="4378" t="n">
        <f>'CB-Hotel Add-Ons'!F5</f>
        <v>76712.32876712328</v>
      </c>
      <c r="D26" s="4296" t="n">
        <f t="array" ref="D26">IFERROR(C26/$C$44,0)</f>
        <v>0.034100746707585554</v>
      </c>
      <c r="E26" s="4297" t="n">
        <f t="array" ref="E26">IFERROR(C26/'Assumptions'!$J$8,0)</f>
        <v>4.226402335389175</v>
      </c>
      <c r="F26" s="2805" t="inlineStr">
        <is>
          <t xml:space="preserve">100-key hotel add-on allowance; Labor split 40%; scaled on CB-Hotel Add-Ons.</t>
        </is>
      </c>
    </row>
    <row r="27" s="3154" customFormat="1" ht="15" customHeight="1">
      <c r="A27" s="2848" t="inlineStr">
        <is>
          <t xml:space="preserve">Hotel</t>
        </is>
      </c>
      <c r="B27" s="2849" t="inlineStr">
        <is>
          <t xml:space="preserve">Commercial fire alarm &amp; life safety</t>
        </is>
      </c>
      <c r="C27" s="4378" t="n">
        <f>'CB-Hotel Add-Ons'!F6</f>
        <v>34246.57534246575</v>
      </c>
      <c r="D27" s="4296" t="n">
        <f t="array" ref="D27">IFERROR(C27/$C$44,0)</f>
        <v>0.01522354763731498</v>
      </c>
      <c r="E27" s="4297" t="n">
        <f t="array" ref="E27">IFERROR(C27/'Assumptions'!$J$8,0)</f>
        <v>1.8867867568701675</v>
      </c>
      <c r="F27" s="2805" t="inlineStr">
        <is>
          <t xml:space="preserve">100-key hotel add-on allowance; Labor split 50%; scaled on CB-Hotel Add-Ons.</t>
        </is>
      </c>
    </row>
    <row r="28" s="3154" customFormat="1" ht="15" customHeight="1">
      <c r="A28" s="2848" t="inlineStr">
        <is>
          <t xml:space="preserve">Hotel</t>
        </is>
      </c>
      <c r="B28" s="2849" t="inlineStr">
        <is>
          <t xml:space="preserve">Sprinkler upgrade (NFPA 13 vs 13R)</t>
        </is>
      </c>
      <c r="C28" s="4378" t="n">
        <f>'CB-Hotel Add-Ons'!F7</f>
        <v>22602.739726027397</v>
      </c>
      <c r="D28" s="4296" t="n">
        <f t="array" ref="D28">IFERROR(C28/$C$44,0)</f>
        <v>0.010047541440627887</v>
      </c>
      <c r="E28" s="4297" t="n">
        <f t="array" ref="E28">IFERROR(C28/'Assumptions'!$J$8,0)</f>
        <v>1.2452792595343105</v>
      </c>
      <c r="F28" s="2805" t="inlineStr">
        <is>
          <t xml:space="preserve">100-key hotel add-on allowance; Labor split 55%; scaled on CB-Hotel Add-Ons.</t>
        </is>
      </c>
    </row>
    <row r="29" s="3154" customFormat="1" ht="15" customHeight="1">
      <c r="A29" s="2848" t="inlineStr">
        <is>
          <t xml:space="preserve">Hotel</t>
        </is>
      </c>
      <c r="B29" s="2849" t="inlineStr">
        <is>
          <t xml:space="preserve">Key card / electronic access control</t>
        </is>
      </c>
      <c r="C29" s="4378" t="n">
        <f>'CB-Hotel Add-Ons'!F8</f>
        <v>19726.027397260274</v>
      </c>
      <c r="D29" s="4296" t="n">
        <f t="array" ref="D29">IFERROR(C29/$C$44,0)</f>
        <v>0.008768763439093429</v>
      </c>
      <c r="E29" s="4297" t="n">
        <f t="array" ref="E29">IFERROR(C29/'Assumptions'!$J$8,0)</f>
        <v>1.0867891719572165</v>
      </c>
      <c r="F29" s="2805" t="inlineStr">
        <is>
          <t xml:space="preserve">100-key hotel add-on allowance; Labor split 45%; scaled on CB-Hotel Add-Ons.</t>
        </is>
      </c>
    </row>
    <row r="30" s="3154" customFormat="1" ht="15" customHeight="1">
      <c r="A30" s="2848" t="inlineStr">
        <is>
          <t xml:space="preserve">Hotel</t>
        </is>
      </c>
      <c r="B30" s="2849" t="inlineStr">
        <is>
          <t xml:space="preserve">CCTV / security system</t>
        </is>
      </c>
      <c r="C30" s="4378" t="n">
        <f>'CB-Hotel Add-Ons'!F9</f>
        <v>12328.76712328767</v>
      </c>
      <c r="D30" s="4296" t="n">
        <f t="array" ref="D30">IFERROR(C30/$C$44,0)</f>
        <v>0.005480477149433392</v>
      </c>
      <c r="E30" s="4297" t="n">
        <f t="array" ref="E30">IFERROR(C30/'Assumptions'!$J$8,0)</f>
        <v>0.6792432324732602</v>
      </c>
      <c r="F30" s="2805" t="inlineStr">
        <is>
          <t xml:space="preserve">100-key hotel add-on allowance; Labor split 45%; scaled on CB-Hotel Add-Ons.</t>
        </is>
      </c>
    </row>
    <row r="31" s="3154" customFormat="1" ht="15" customHeight="1">
      <c r="A31" s="2848" t="inlineStr">
        <is>
          <t xml:space="preserve">Hotel</t>
        </is>
      </c>
      <c r="B31" s="2849" t="inlineStr">
        <is>
          <t xml:space="preserve">Structured cabling &amp; IT backbone</t>
        </is>
      </c>
      <c r="C31" s="4378" t="n">
        <f>'CB-Hotel Add-Ons'!F10</f>
        <v>24657.53424657534</v>
      </c>
      <c r="D31" s="4296" t="n">
        <f t="array" ref="D31">IFERROR(C31/$C$44,0)</f>
        <v>0.010960954298866784</v>
      </c>
      <c r="E31" s="4297" t="n">
        <f t="array" ref="E31">IFERROR(C31/'Assumptions'!$J$8,0)</f>
        <v>1.3584864649465205</v>
      </c>
      <c r="F31" s="2805" t="inlineStr">
        <is>
          <t xml:space="preserve">100-key hotel add-on allowance; Labor split 60%; scaled on CB-Hotel Add-Ons.</t>
        </is>
      </c>
    </row>
    <row r="32" s="3154" customFormat="1" ht="15" customHeight="1">
      <c r="A32" s="2848" t="inlineStr">
        <is>
          <t xml:space="preserve">Hotel</t>
        </is>
      </c>
      <c r="B32" s="2849" t="inlineStr">
        <is>
          <t xml:space="preserve">WiFi system (AP per room/zone)</t>
        </is>
      </c>
      <c r="C32" s="4378" t="n">
        <f>'CB-Hotel Add-Ons'!F11</f>
        <v>17123.287671232876</v>
      </c>
      <c r="D32" s="4296" t="n">
        <f t="array" ref="D32">IFERROR(C32/$C$44,0)</f>
        <v>0.00761177381865749</v>
      </c>
      <c r="E32" s="4297" t="n">
        <f t="array" ref="E32">IFERROR(C32/'Assumptions'!$J$8,0)</f>
        <v>0.9433933784350838</v>
      </c>
      <c r="F32" s="2805" t="inlineStr">
        <is>
          <t xml:space="preserve">100-key hotel add-on allowance; Labor split 50%; scaled on CB-Hotel Add-Ons.</t>
        </is>
      </c>
    </row>
    <row r="33" s="3154" customFormat="1" ht="15" customHeight="1">
      <c r="A33" s="2848" t="inlineStr">
        <is>
          <t xml:space="preserve">Hotel</t>
        </is>
      </c>
      <c r="B33" s="2849" t="inlineStr">
        <is>
          <t xml:space="preserve">Low-voltage rough-in premium</t>
        </is>
      </c>
      <c r="C33" s="4378" t="n">
        <f>'CB-Hotel Add-Ons'!F12</f>
        <v>19178.082191780817</v>
      </c>
      <c r="D33" s="4296" t="n">
        <f t="array" ref="D33">IFERROR(C33/$C$44,0)</f>
        <v>0.008525186676896387</v>
      </c>
      <c r="E33" s="4297" t="n">
        <f t="array" ref="E33">IFERROR(C33/'Assumptions'!$J$8,0)</f>
        <v>1.0566005838472936</v>
      </c>
      <c r="F33" s="2805" t="inlineStr">
        <is>
          <t xml:space="preserve">100-key hotel add-on allowance; Labor split 70%; scaled on CB-Hotel Add-Ons.</t>
        </is>
      </c>
    </row>
    <row r="34" s="3154" customFormat="1" ht="15" customHeight="1">
      <c r="A34" s="2848" t="inlineStr">
        <is>
          <t xml:space="preserve">Hotel</t>
        </is>
      </c>
      <c r="B34" s="2849" t="inlineStr">
        <is>
          <t xml:space="preserve">Lobby &amp; front desk millwork</t>
        </is>
      </c>
      <c r="C34" s="4378" t="n">
        <f>'CB-Hotel Add-Ons'!F13</f>
        <v>26369.863013698632</v>
      </c>
      <c r="D34" s="4296" t="n">
        <f t="array" ref="D34">IFERROR(C34/$C$44,0)</f>
        <v>0.011722131680732537</v>
      </c>
      <c r="E34" s="4297" t="n">
        <f t="array" ref="E34">IFERROR(C34/'Assumptions'!$J$8,0)</f>
        <v>1.4528258027900292</v>
      </c>
      <c r="F34" s="2805" t="inlineStr">
        <is>
          <t xml:space="preserve">100-key hotel add-on allowance; Labor split 55%; scaled on CB-Hotel Add-Ons.</t>
        </is>
      </c>
    </row>
    <row r="35" s="3154" customFormat="1" ht="15" customHeight="1">
      <c r="A35" s="2848" t="inlineStr">
        <is>
          <t xml:space="preserve">Hotel</t>
        </is>
      </c>
      <c r="B35" s="2849" t="inlineStr">
        <is>
          <t xml:space="preserve">BOH + guest laundry build-out</t>
        </is>
      </c>
      <c r="C35" s="4378" t="n">
        <f>'CB-Hotel Add-Ons'!F14</f>
        <v>38356.16438356165</v>
      </c>
      <c r="D35" s="4296" t="n">
        <f t="array" ref="D35">IFERROR(C35/$C$44,0)</f>
        <v>0.01705037335379278</v>
      </c>
      <c r="E35" s="4297" t="n">
        <f t="array" ref="E35">IFERROR(C35/'Assumptions'!$J$8,0)</f>
        <v>2.113201167694588</v>
      </c>
      <c r="F35" s="2805" t="inlineStr">
        <is>
          <t xml:space="preserve">100-key hotel add-on allowance; Labor split 70%; scaled on CB-Hotel Add-Ons.</t>
        </is>
      </c>
    </row>
    <row r="36" s="3154" customFormat="1" ht="15" customHeight="1">
      <c r="A36" s="2848" t="inlineStr">
        <is>
          <t xml:space="preserve">Hotel</t>
        </is>
      </c>
      <c r="B36" s="2849" t="inlineStr">
        <is>
          <t xml:space="preserve">Guest + BOH laundry MEP rough-in</t>
        </is>
      </c>
      <c r="C36" s="4378" t="n">
        <f>'CB-Hotel Add-Ons'!F15</f>
        <v>23972.602739726026</v>
      </c>
      <c r="D36" s="4296" t="n">
        <f t="array" ref="D36">IFERROR(C36/$C$44,0)</f>
        <v>0.010656483346120486</v>
      </c>
      <c r="E36" s="4297" t="n">
        <f t="array" ref="E36">IFERROR(C36/'Assumptions'!$J$8,0)</f>
        <v>1.3207507298091172</v>
      </c>
      <c r="F36" s="2805" t="inlineStr">
        <is>
          <t xml:space="preserve">100-key hotel add-on allowance; Labor split 70%; scaled on CB-Hotel Add-Ons.</t>
        </is>
      </c>
    </row>
    <row r="37" s="3154" customFormat="1" ht="15" customHeight="1">
      <c r="A37" s="2848" t="inlineStr">
        <is>
          <t xml:space="preserve">Hotel</t>
        </is>
      </c>
      <c r="B37" s="2849" t="inlineStr">
        <is>
          <t xml:space="preserve">Corridor finishes &amp; wall protection</t>
        </is>
      </c>
      <c r="C37" s="4378" t="n">
        <f>'CB-Hotel Add-Ons'!F16</f>
        <v>16438.35616438356</v>
      </c>
      <c r="D37" s="4296" t="n">
        <f t="array" ref="D37">IFERROR(C37/$C$44,0)</f>
        <v>0.00730730286591119</v>
      </c>
      <c r="E37" s="4297" t="n">
        <f t="array" ref="E37">IFERROR(C37/'Assumptions'!$J$8,0)</f>
        <v>0.9056576432976803</v>
      </c>
      <c r="F37" s="2805" t="inlineStr">
        <is>
          <t xml:space="preserve">100-key hotel add-on allowance; Labor split 60%; scaled on CB-Hotel Add-Ons.</t>
        </is>
      </c>
    </row>
    <row r="38" s="3154" customFormat="1" ht="15" customHeight="1">
      <c r="A38" s="2848" t="inlineStr">
        <is>
          <t xml:space="preserve">Hotel</t>
        </is>
      </c>
      <c r="B38" s="2849" t="inlineStr">
        <is>
          <t xml:space="preserve">Sound attenuation upgrades (STC 50+)</t>
        </is>
      </c>
      <c r="C38" s="4378" t="n">
        <f>'CB-Hotel Add-Ons'!F17</f>
        <v>47945.20547945205</v>
      </c>
      <c r="D38" s="4296" t="n">
        <f t="array" ref="D38">IFERROR(C38/$C$44,0)</f>
        <v>0.021312966692240972</v>
      </c>
      <c r="E38" s="4297" t="n">
        <f t="array" ref="E38">IFERROR(C38/'Assumptions'!$J$8,0)</f>
        <v>2.6415014596182345</v>
      </c>
      <c r="F38" s="2805" t="inlineStr">
        <is>
          <t xml:space="preserve">100-key hotel add-on allowance; Labor split 70%; scaled on CB-Hotel Add-Ons.</t>
        </is>
      </c>
    </row>
    <row r="39" s="3154" customFormat="1" ht="15" customHeight="1">
      <c r="A39" s="2848" t="inlineStr">
        <is>
          <t xml:space="preserve">Hotel</t>
        </is>
      </c>
      <c r="B39" s="2849" t="inlineStr">
        <is>
          <t xml:space="preserve">Signage — exterior &amp; wayfinding</t>
        </is>
      </c>
      <c r="C39" s="4378" t="n">
        <f>'CB-Hotel Add-Ons'!F18</f>
        <v>30136.986301369863</v>
      </c>
      <c r="D39" s="4296" t="n">
        <f t="array" ref="D39">IFERROR(C39/$C$44,0)</f>
        <v>0.013396721920837183</v>
      </c>
      <c r="E39" s="4297" t="n">
        <f t="array" ref="E39">IFERROR(C39/'Assumptions'!$J$8,0)</f>
        <v>1.6603723460457473</v>
      </c>
      <c r="F39" s="2805" t="inlineStr">
        <is>
          <t xml:space="preserve">100-key hotel add-on allowance; Labor split 40%; scaled on CB-Hotel Add-Ons.</t>
        </is>
      </c>
    </row>
    <row r="40" s="3154" customFormat="1" ht="15" customHeight="1">
      <c r="A40" s="2848" t="inlineStr">
        <is>
          <t xml:space="preserve">Hotel</t>
        </is>
      </c>
      <c r="B40" s="2849" t="inlineStr">
        <is>
          <t xml:space="preserve">ADA premium (accessible rooms + routes)</t>
        </is>
      </c>
      <c r="C40" s="4378" t="n">
        <f>'CB-Hotel Add-Ons'!F19</f>
        <v>16438.35616438356</v>
      </c>
      <c r="D40" s="4296" t="n">
        <f t="array" ref="D40">IFERROR(C40/$C$44,0)</f>
        <v>0.00730730286591119</v>
      </c>
      <c r="E40" s="4297" t="n">
        <f t="array" ref="E40">IFERROR(C40/'Assumptions'!$J$8,0)</f>
        <v>0.9056576432976803</v>
      </c>
      <c r="F40" s="2805" t="inlineStr">
        <is>
          <t xml:space="preserve">100-key hotel add-on allowance; Labor split 60%; scaled on CB-Hotel Add-Ons.</t>
        </is>
      </c>
    </row>
    <row r="41" s="3154" customFormat="1" ht="15" customHeight="1">
      <c r="A41" s="2848" t="inlineStr">
        <is>
          <t xml:space="preserve">Hotel</t>
        </is>
      </c>
      <c r="B41" s="2849" t="inlineStr">
        <is>
          <t xml:space="preserve">Parking lot, striping &amp; site lighting</t>
        </is>
      </c>
      <c r="C41" s="4378" t="n">
        <f>'CB-Hotel Add-Ons'!F20</f>
        <v>56506.849315068466</v>
      </c>
      <c r="D41" s="4296" t="n">
        <f t="array" ref="D41">IFERROR(C41/$C$44,0)</f>
        <v>0.025118853601569707</v>
      </c>
      <c r="E41" s="4297" t="n">
        <f t="array" ref="E41">IFERROR(C41/'Assumptions'!$J$8,0)</f>
        <v>3.113198148835775</v>
      </c>
      <c r="F41" s="2805" t="inlineStr">
        <is>
          <t xml:space="preserve">100-key hotel add-on allowance; Labor split 55%; scaled on CB-Hotel Add-Ons.</t>
        </is>
      </c>
    </row>
    <row r="42" s="3154" customFormat="1" ht="15" customHeight="1">
      <c r="A42" s="2848" t="inlineStr">
        <is>
          <t xml:space="preserve">Hotel</t>
        </is>
      </c>
      <c r="B42" s="2849" t="inlineStr">
        <is>
          <t xml:space="preserve">Emergency lighting &amp; exit signage</t>
        </is>
      </c>
      <c r="C42" s="4378" t="n">
        <f>'CB-Hotel Add-Ons'!F21</f>
        <v>12328.76712328767</v>
      </c>
      <c r="D42" s="4296" t="n">
        <f t="array" ref="D42">IFERROR(C42/$C$44,0)</f>
        <v>0.005480477149433392</v>
      </c>
      <c r="E42" s="4297" t="n">
        <f t="array" ref="E42">IFERROR(C42/'Assumptions'!$J$8,0)</f>
        <v>0.6792432324732602</v>
      </c>
      <c r="F42" s="2805" t="inlineStr">
        <is>
          <t xml:space="preserve">100-key hotel add-on allowance; Labor split 60%; scaled on CB-Hotel Add-Ons.</t>
        </is>
      </c>
    </row>
    <row r="43" s="3154" customFormat="1" ht="15" customHeight="1">
      <c r="A43" s="2848" t="inlineStr">
        <is>
          <t xml:space="preserve">Hotel</t>
        </is>
      </c>
      <c r="B43" s="2849" t="inlineStr">
        <is>
          <t xml:space="preserve">Exterior trash &amp; recycling enclosure</t>
        </is>
      </c>
      <c r="C43" s="4378" t="n">
        <f>'CB-Hotel Add-Ons'!F22</f>
        <v>10684.931506849314</v>
      </c>
      <c r="D43" s="4296" t="n">
        <f t="array" ref="D43">IFERROR(C43/$C$44,0)</f>
        <v>0.004749746862842273</v>
      </c>
      <c r="E43" s="4297" t="n">
        <f t="array" ref="E43">IFERROR(C43/'Assumptions'!$J$8,0)</f>
        <v>0.5886774681434922</v>
      </c>
      <c r="F43" s="2805" t="inlineStr">
        <is>
          <t xml:space="preserve">100-key hotel add-on allowance; Labor split 65%; scaled on CB-Hotel Add-Ons.</t>
        </is>
      </c>
    </row>
    <row r="44" s="3154" customFormat="1" ht="15" customHeight="1">
      <c r="A44" s="2808" t="n"/>
      <c r="B44" s="2809" t="inlineStr">
        <is>
          <t xml:space="preserve">TOTAL LABOR</t>
        </is>
      </c>
      <c r="C44" s="4380" t="n">
        <f t="array" ref="C44">SUM(C7:C43)</f>
        <v>2249579.149246576</v>
      </c>
      <c r="D44" s="2808" t="n">
        <f t="array" ref="D44">SUM(D7:D43)</f>
        <v>0.9999999999999997</v>
      </c>
      <c r="E44" s="4282" t="n">
        <f t="array" ref="E44">C44/'Assumptions'!$J$8</f>
        <v>123.93870350202717</v>
      </c>
      <c r="F44" s="2808" t="n"/>
    </row>
    <row r="45" s="3154" customFormat="1" ht="15" customHeight="1">
      <c r="A45" s="2857" t="n"/>
      <c r="B45" s="2857" t="n"/>
      <c r="C45" s="2857" t="n"/>
      <c r="D45" s="2857" t="n"/>
      <c r="E45" s="2857" t="n"/>
      <c r="F45" s="2857" t="n"/>
    </row>
    <row r="46" s="3154" customFormat="1" ht="15" customHeight="1">
      <c r="A46" s="49" t="n"/>
      <c r="B46" s="49" t="n"/>
      <c r="C46" s="49" t="n"/>
      <c r="D46" s="49" t="n"/>
      <c r="E46" s="49" t="n"/>
      <c r="F46" s="49" t="n"/>
    </row>
    <row r="47" s="3154" customFormat="1" ht="24" customHeight="1">
      <c r="A47" s="4302" t="inlineStr">
        <is>
          <t xml:space="preserve">◆ MATERIAL</t>
        </is>
      </c>
      <c r="F47" s="3162" t="n"/>
    </row>
    <row r="48" s="3154" customFormat="1" ht="15" customHeight="1">
      <c r="A48" s="4303" t="inlineStr">
        <is>
          <t xml:space="preserve">Livio Exhibit A</t>
        </is>
      </c>
      <c r="B48" s="4293" t="n"/>
      <c r="C48" s="4293" t="n"/>
      <c r="D48" s="4293" t="n"/>
      <c r="E48" s="4293" t="n"/>
      <c r="F48" s="4294" t="n"/>
    </row>
    <row r="49" s="3154" customFormat="1" ht="21.75" customHeight="1">
      <c r="A49" s="2848" t="inlineStr">
        <is>
          <t xml:space="preserve">Livio A</t>
        </is>
      </c>
      <c r="B49" s="2849" t="inlineStr">
        <is>
          <t xml:space="preserve">Livio Closed Wall System</t>
        </is>
      </c>
      <c r="C49" s="4378" t="n">
        <f>'CB-Construction Budget'!E5</f>
        <v>1041398.6917808221</v>
      </c>
      <c r="D49" s="4296" t="n">
        <f t="array" ref="D49">IFERROR(C49/$C$86,0)</f>
        <v>0.5448665466772943</v>
      </c>
      <c r="E49" s="4297" t="n">
        <f t="array" ref="E49">IFERROR(C49/'Assumptions'!$J$8,0)</f>
        <v>57.375</v>
      </c>
      <c r="F49" s="2805" t="inlineStr">
        <is>
          <t xml:space="preserve">Total: linked to CB-Construction Budget material split from CB-Assumptions.</t>
        </is>
      </c>
    </row>
    <row r="50" s="3154" customFormat="1" ht="21.75" customHeight="1">
      <c r="A50" s="2848" t="inlineStr">
        <is>
          <t xml:space="preserve">Livio A</t>
        </is>
      </c>
      <c r="B50" s="2849" t="inlineStr">
        <is>
          <t xml:space="preserve">Concrete</t>
        </is>
      </c>
      <c r="C50" s="4378" t="n">
        <f>'CB-Construction Budget'!E6</f>
        <v>106045.956</v>
      </c>
      <c r="D50" s="4296" t="n">
        <f t="array" ref="D50">IFERROR(C50/$C$86,0)</f>
        <v>0.05548393164965983</v>
      </c>
      <c r="E50" s="4297" t="n">
        <f t="array" ref="E50">IFERROR(C50/'Assumptions'!$J$8,0)</f>
        <v>5.842514277692746</v>
      </c>
      <c r="F50" s="2805" t="inlineStr">
        <is>
          <t xml:space="preserve">Total: Livio V1 quote  |  Material = Total − Labor (split is GUESS)</t>
        </is>
      </c>
    </row>
    <row r="51" s="3154" customFormat="1" ht="21.75" customHeight="1">
      <c r="A51" s="2848" t="inlineStr">
        <is>
          <t xml:space="preserve">Livio A</t>
        </is>
      </c>
      <c r="B51" s="2849" t="inlineStr">
        <is>
          <t xml:space="preserve">Dampproofing &amp; Waterproofing</t>
        </is>
      </c>
      <c r="C51" s="4378" t="n">
        <f>'CB-Construction Budget'!E7</f>
        <v>4639.509</v>
      </c>
      <c r="D51" s="4296" t="n">
        <f t="array" ref="D51">IFERROR(C51/$C$86,0)</f>
        <v>0.002427421185622407</v>
      </c>
      <c r="E51" s="4297" t="n">
        <f t="array" ref="E51">IFERROR(C51/'Assumptions'!$J$8,0)</f>
        <v>0.25560991287573465</v>
      </c>
      <c r="F51" s="2805" t="inlineStr">
        <is>
          <t xml:space="preserve">Total: Livio V1 quote  |  Material = Total − Labor (split is GUESS)</t>
        </is>
      </c>
    </row>
    <row r="52" s="3154" customFormat="1" ht="15" customHeight="1">
      <c r="A52" s="2815" t="inlineStr">
        <is>
          <t xml:space="preserve">Livio A</t>
        </is>
      </c>
      <c r="B52" s="2799" t="inlineStr">
        <is>
          <t xml:space="preserve">Interior Sheathing Finish</t>
        </is>
      </c>
      <c r="C52" s="4379" t="n">
        <f>'CB-Construction Budget'!E8</f>
        <v>0</v>
      </c>
      <c r="D52" s="4283" t="n">
        <f t="array" ref="D52">IFERROR(C52/$C$86,0)</f>
        <v>0</v>
      </c>
      <c r="E52" s="4298" t="n">
        <f t="array" ref="E52">IFERROR(C52/'Assumptions'!$J$8,0)</f>
        <v>0</v>
      </c>
      <c r="F52" s="2807" t="inlineStr">
        <is>
          <t xml:space="preserve">Total: Livio V1 quote  |  Material = Total − Labor (split is hard)</t>
        </is>
      </c>
    </row>
    <row r="53" s="3154" customFormat="1" ht="21.75" customHeight="1">
      <c r="A53" s="2848" t="inlineStr">
        <is>
          <t xml:space="preserve">Livio A</t>
        </is>
      </c>
      <c r="B53" s="2849" t="inlineStr">
        <is>
          <t xml:space="preserve">Erosion Control</t>
        </is>
      </c>
      <c r="C53" s="4378" t="n">
        <f>'CB-Construction Budget'!E9</f>
        <v>5291.20205479452</v>
      </c>
      <c r="D53" s="4296" t="n">
        <f t="array" ref="D53">IFERROR(C53/$C$86,0)</f>
        <v>0.0027683912166604338</v>
      </c>
      <c r="E53" s="4297" t="n">
        <f t="array" ref="E53">IFERROR(C53/'Assumptions'!$J$8,0)</f>
        <v>0.29151440297538717</v>
      </c>
      <c r="F53" s="2805" t="inlineStr">
        <is>
          <t xml:space="preserve">Total: Livio V1 quote  |  Material = Total − Labor (split is GUESS)</t>
        </is>
      </c>
    </row>
    <row r="54" s="3154" customFormat="1" ht="21.75" customHeight="1">
      <c r="A54" s="2848" t="inlineStr">
        <is>
          <t xml:space="preserve">Livio A</t>
        </is>
      </c>
      <c r="B54" s="2849" t="inlineStr">
        <is>
          <t xml:space="preserve">Fire Sprinklers</t>
        </is>
      </c>
      <c r="C54" s="4378" t="n">
        <f>'CB-Construction Budget'!E10</f>
        <v>36317.109589041094</v>
      </c>
      <c r="D54" s="4296" t="n">
        <f t="array" ref="D54">IFERROR(C54/$C$86,0)</f>
        <v>0.019001347172084165</v>
      </c>
      <c r="E54" s="4297" t="n">
        <f t="array" ref="E54">IFERROR(C54/'Assumptions'!$J$8,0)</f>
        <v>2.000861129475835</v>
      </c>
      <c r="F54" s="2805" t="inlineStr">
        <is>
          <t xml:space="preserve">Total: Livio V1 quote  |  Material = Total − Labor (split is GUESS)</t>
        </is>
      </c>
    </row>
    <row r="55" s="3154" customFormat="1" ht="21.75" customHeight="1">
      <c r="A55" s="2848" t="inlineStr">
        <is>
          <t xml:space="preserve">Livio A</t>
        </is>
      </c>
      <c r="B55" s="2849" t="inlineStr">
        <is>
          <t xml:space="preserve">Flashing &amp; Sheet Metal</t>
        </is>
      </c>
      <c r="C55" s="4378" t="n">
        <f>'CB-Construction Budget'!E11</f>
        <v>18158.554794520544</v>
      </c>
      <c r="D55" s="4296" t="n">
        <f t="array" ref="D55">IFERROR(C55/$C$86,0)</f>
        <v>0.00950067358604208</v>
      </c>
      <c r="E55" s="4297" t="n">
        <f t="array" ref="E55">IFERROR(C55/'Assumptions'!$J$8,0)</f>
        <v>1.0004305647379172</v>
      </c>
      <c r="F55" s="2805" t="inlineStr">
        <is>
          <t xml:space="preserve">Total: Livio V1 quote  |  Material = Total − Labor (split is GUESS)</t>
        </is>
      </c>
    </row>
    <row r="56" s="3154" customFormat="1" ht="21.75" customHeight="1">
      <c r="A56" s="2815" t="inlineStr">
        <is>
          <t xml:space="preserve">Livio A</t>
        </is>
      </c>
      <c r="B56" s="2799" t="inlineStr">
        <is>
          <t xml:space="preserve">Panel Installation</t>
        </is>
      </c>
      <c r="C56" s="4379" t="n">
        <f>'CB-Construction Budget'!E12</f>
        <v>0</v>
      </c>
      <c r="D56" s="4283" t="n">
        <f t="array" ref="D56">IFERROR(C56/$C$86,0)</f>
        <v>0</v>
      </c>
      <c r="E56" s="4298" t="n">
        <f t="array" ref="E56">IFERROR(C56/'Assumptions'!$J$8,0)</f>
        <v>0</v>
      </c>
      <c r="F56" s="2807" t="inlineStr">
        <is>
          <t xml:space="preserve">Total: linked to CB-Construction Budget material split from CB-Assumptions.</t>
        </is>
      </c>
    </row>
    <row r="57" s="3154" customFormat="1" ht="21.75" customHeight="1">
      <c r="A57" s="2848" t="inlineStr">
        <is>
          <t xml:space="preserve">Livio A</t>
        </is>
      </c>
      <c r="B57" s="2849" t="inlineStr">
        <is>
          <t xml:space="preserve">Grading (Earth Work)</t>
        </is>
      </c>
      <c r="C57" s="4378" t="n">
        <f>'CB-Construction Budget'!E13</f>
        <v>12999.999999999996</v>
      </c>
      <c r="D57" s="4296" t="n">
        <f t="array" ref="D57">IFERROR(C57/$C$86,0)</f>
        <v>0.006801684275877315</v>
      </c>
      <c r="E57" s="4297" t="n">
        <f t="array" ref="E57">IFERROR(C57/'Assumptions'!$J$8,0)</f>
        <v>0.7162242529079154</v>
      </c>
      <c r="F57" s="2805" t="inlineStr">
        <is>
          <t xml:space="preserve">Total: Livio V1 quote  |  Material = Total − Labor (split is GUESS)</t>
        </is>
      </c>
    </row>
    <row r="58" s="3154" customFormat="1" ht="21.75" customHeight="1">
      <c r="A58" s="2848" t="inlineStr">
        <is>
          <t xml:space="preserve">Livio A</t>
        </is>
      </c>
      <c r="B58" s="2849" t="inlineStr">
        <is>
          <t xml:space="preserve">HVAC (Ductwork + Install)</t>
        </is>
      </c>
      <c r="C58" s="4378" t="n">
        <f>'CB-Construction Budget'!E14</f>
        <v>72634.2191780822</v>
      </c>
      <c r="D58" s="4296" t="n">
        <f t="array" ref="D58">IFERROR(C58/$C$86,0)</f>
        <v>0.038002694344168336</v>
      </c>
      <c r="E58" s="4297" t="n">
        <f t="array" ref="E58">IFERROR(C58/'Assumptions'!$J$8,0)</f>
        <v>4.001722258951671</v>
      </c>
      <c r="F58" s="2805" t="inlineStr">
        <is>
          <t xml:space="preserve">Total: Livio V1 quote  |  Material = Total − Labor (split is GUESS)</t>
        </is>
      </c>
    </row>
    <row r="59" s="3154" customFormat="1" ht="15" customHeight="1">
      <c r="A59" s="2815" t="inlineStr">
        <is>
          <t xml:space="preserve">Livio A</t>
        </is>
      </c>
      <c r="B59" s="2799" t="inlineStr">
        <is>
          <t xml:space="preserve">Insulation</t>
        </is>
      </c>
      <c r="C59" s="4379" t="n">
        <f>'CB-Construction Budget'!E15</f>
        <v>0</v>
      </c>
      <c r="D59" s="4283" t="n">
        <f t="array" ref="D59">IFERROR(C59/$C$86,0)</f>
        <v>0</v>
      </c>
      <c r="E59" s="4298" t="n">
        <f t="array" ref="E59">IFERROR(C59/'Assumptions'!$J$8,0)</f>
        <v>0</v>
      </c>
      <c r="F59" s="2807" t="inlineStr">
        <is>
          <t xml:space="preserve">Total: Livio V1 quote  |  Material = Total − Labor (split is hard)</t>
        </is>
      </c>
    </row>
    <row r="60" s="3154" customFormat="1" ht="21.75" customHeight="1">
      <c r="A60" s="2848" t="inlineStr">
        <is>
          <t xml:space="preserve">Livio A</t>
        </is>
      </c>
      <c r="B60" s="2849" t="inlineStr">
        <is>
          <t xml:space="preserve">Painting &amp; Coating</t>
        </is>
      </c>
      <c r="C60" s="4378" t="n">
        <f>'CB-Construction Budget'!E16</f>
        <v>49028.09589041094</v>
      </c>
      <c r="D60" s="4296" t="n">
        <f t="array" ref="D60">IFERROR(C60/$C$86,0)</f>
        <v>0.0256518176072318</v>
      </c>
      <c r="E60" s="4297" t="n">
        <f t="array" ref="E60">IFERROR(C60/'Assumptions'!$J$8,0)</f>
        <v>2.7011624115851713</v>
      </c>
      <c r="F60" s="2805" t="inlineStr">
        <is>
          <t xml:space="preserve">Total: Livio V1 quote  |  Material = Total − Labor (split is GUESS)</t>
        </is>
      </c>
    </row>
    <row r="61" s="3154" customFormat="1" ht="15" customHeight="1">
      <c r="A61" s="2815" t="inlineStr">
        <is>
          <t xml:space="preserve">Livio A</t>
        </is>
      </c>
      <c r="B61" s="2799" t="inlineStr">
        <is>
          <t xml:space="preserve">Finished Plumbing Labor</t>
        </is>
      </c>
      <c r="C61" s="4379" t="n">
        <f>'CB-Construction Budget'!E17</f>
        <v>0</v>
      </c>
      <c r="D61" s="4283" t="n">
        <f t="array" ref="D61">IFERROR(C61/$C$86,0)</f>
        <v>0</v>
      </c>
      <c r="E61" s="4298" t="n">
        <f t="array" ref="E61">IFERROR(C61/'Assumptions'!$J$8,0)</f>
        <v>0</v>
      </c>
      <c r="F61" s="2807" t="inlineStr">
        <is>
          <t xml:space="preserve">Total: Livio V1 quote  |  Material = Total − Labor (split is hard)</t>
        </is>
      </c>
    </row>
    <row r="62" s="3154" customFormat="1" ht="21.75" customHeight="1">
      <c r="A62" s="2848" t="inlineStr">
        <is>
          <t xml:space="preserve">Livio A</t>
        </is>
      </c>
      <c r="B62" s="2849" t="inlineStr">
        <is>
          <t xml:space="preserve">Roofing</t>
        </is>
      </c>
      <c r="C62" s="4378" t="n">
        <f>'CB-Construction Budget'!E18</f>
        <v>73542.1438356164</v>
      </c>
      <c r="D62" s="4296" t="n">
        <f t="array" ref="D62">IFERROR(C62/$C$86,0)</f>
        <v>0.03847772641084769</v>
      </c>
      <c r="E62" s="4297" t="n">
        <f t="array" ref="E62">IFERROR(C62/'Assumptions'!$J$8,0)</f>
        <v>4.051743617377756</v>
      </c>
      <c r="F62" s="2805" t="inlineStr">
        <is>
          <t xml:space="preserve">Total: Livio V1 quote  |  Material = Total − Labor (split is GUESS)</t>
        </is>
      </c>
    </row>
    <row r="63" s="3154" customFormat="1" ht="21.75" customHeight="1">
      <c r="A63" s="2848" t="inlineStr">
        <is>
          <t xml:space="preserve">Livio A</t>
        </is>
      </c>
      <c r="B63" s="2849" t="inlineStr">
        <is>
          <t xml:space="preserve">Finished Electrical Labor</t>
        </is>
      </c>
      <c r="C63" s="4378" t="n">
        <f>'CB-Construction Budget'!E19</f>
        <v>13618.915068493154</v>
      </c>
      <c r="D63" s="4296" t="n">
        <f t="array" ref="D63">IFERROR(C63/$C$86,0)</f>
        <v>0.007125504651990656</v>
      </c>
      <c r="E63" s="4297" t="n">
        <f t="array" ref="E63">IFERROR(C63/'Assumptions'!$J$8,0)</f>
        <v>0.7503228669498356</v>
      </c>
      <c r="F63" s="2805" t="inlineStr">
        <is>
          <t xml:space="preserve">Total: Livio V1 quote  |  Material = Total − Labor (split is GUESS)</t>
        </is>
      </c>
    </row>
    <row r="64" s="3154" customFormat="1" ht="15" customHeight="1">
      <c r="A64" s="2815" t="inlineStr">
        <is>
          <t xml:space="preserve">Livio A</t>
        </is>
      </c>
      <c r="B64" s="2799" t="inlineStr">
        <is>
          <t xml:space="preserve">Exterior Facade</t>
        </is>
      </c>
      <c r="C64" s="4379" t="n">
        <f>'CB-Construction Budget'!E20</f>
        <v>0</v>
      </c>
      <c r="D64" s="4283" t="n">
        <f t="array" ref="D64">IFERROR(C64/$C$86,0)</f>
        <v>0</v>
      </c>
      <c r="E64" s="4298" t="n">
        <f t="array" ref="E64">IFERROR(C64/'Assumptions'!$J$8,0)</f>
        <v>0</v>
      </c>
      <c r="F64" s="2807" t="inlineStr">
        <is>
          <t xml:space="preserve">Total: Livio V1 quote  |  Material = Total − Labor (split is hard)</t>
        </is>
      </c>
    </row>
    <row r="65" s="3154" customFormat="1" ht="15" customHeight="1">
      <c r="A65" s="2815" t="inlineStr">
        <is>
          <t xml:space="preserve">Livio A</t>
        </is>
      </c>
      <c r="B65" s="2799" t="inlineStr">
        <is>
          <t xml:space="preserve">Cleaning</t>
        </is>
      </c>
      <c r="C65" s="4379" t="n">
        <f>'CB-Construction Budget'!E21</f>
        <v>0</v>
      </c>
      <c r="D65" s="4283" t="n">
        <f t="array" ref="D65">IFERROR(C65/$C$86,0)</f>
        <v>0</v>
      </c>
      <c r="E65" s="4298" t="n">
        <f t="array" ref="E65">IFERROR(C65/'Assumptions'!$J$8,0)</f>
        <v>0</v>
      </c>
      <c r="F65" s="2807" t="inlineStr">
        <is>
          <t xml:space="preserve">Total: Livio V1 quote  |  Material = Total − Labor (split is hard)</t>
        </is>
      </c>
    </row>
    <row r="66" s="3154" customFormat="1" ht="21.75" customHeight="1">
      <c r="A66" s="2848" t="inlineStr">
        <is>
          <t xml:space="preserve">Livio A</t>
        </is>
      </c>
      <c r="B66" s="2849" t="inlineStr">
        <is>
          <t xml:space="preserve">General Requirements</t>
        </is>
      </c>
      <c r="C66" s="4378" t="n">
        <f>'CB-Construction Budget'!E22</f>
        <v>32685.398630136995</v>
      </c>
      <c r="D66" s="4296" t="n">
        <f t="array" ref="D66">IFERROR(C66/$C$86,0)</f>
        <v>0.017101212454875753</v>
      </c>
      <c r="E66" s="4297" t="n">
        <f t="array" ref="E66">IFERROR(C66/'Assumptions'!$J$8,0)</f>
        <v>1.8007750165282521</v>
      </c>
      <c r="F66" s="2805" t="inlineStr">
        <is>
          <t xml:space="preserve">Total: Livio V1 quote  |  Material = Total − Labor (split is GUESS)</t>
        </is>
      </c>
    </row>
    <row r="67" s="3154" customFormat="1" ht="15" customHeight="1">
      <c r="A67" s="4304" t="inlineStr">
        <is>
          <t xml:space="preserve">Hotel Add-Ons</t>
        </is>
      </c>
      <c r="B67" s="4300" t="n"/>
      <c r="C67" s="4300" t="n"/>
      <c r="D67" s="4300" t="n"/>
      <c r="E67" s="4300" t="n"/>
      <c r="F67" s="4301" t="n"/>
    </row>
    <row r="68" s="3154" customFormat="1" ht="15" customHeight="1">
      <c r="A68" s="2848" t="inlineStr">
        <is>
          <t xml:space="preserve">Hotel</t>
        </is>
      </c>
      <c r="B68" s="2849" t="inlineStr">
        <is>
          <t xml:space="preserve">Elevator (2-stop hydraulic)</t>
        </is>
      </c>
      <c r="C68" s="4378" t="n">
        <f>'CB-Hotel Add-Ons'!E5</f>
        <v>115068.49315068492</v>
      </c>
      <c r="D68" s="4296" t="n">
        <f t="array" ref="D68">IFERROR(C68/$C$86,0)</f>
        <v>0.060204581577839256</v>
      </c>
      <c r="E68" s="4297" t="n">
        <f t="array" ref="E68">IFERROR(C68/'Assumptions'!$J$8,0)</f>
        <v>6.3396035030837625</v>
      </c>
      <c r="F68" s="2805" t="inlineStr">
        <is>
          <t xml:space="preserve">100-key hotel add-on allowance; Material split 60%; scaled on CB-Hotel Add-Ons.</t>
        </is>
      </c>
    </row>
    <row r="69" s="3154" customFormat="1" ht="15" customHeight="1">
      <c r="A69" s="2848" t="inlineStr">
        <is>
          <t xml:space="preserve">Hotel</t>
        </is>
      </c>
      <c r="B69" s="2849" t="inlineStr">
        <is>
          <t xml:space="preserve">Commercial fire alarm &amp; life safety</t>
        </is>
      </c>
      <c r="C69" s="4378" t="n">
        <f>'CB-Hotel Add-Ons'!E6</f>
        <v>34246.57534246575</v>
      </c>
      <c r="D69" s="4296" t="n">
        <f t="array" ref="D69">IFERROR(C69/$C$86,0)</f>
        <v>0.01791803023149978</v>
      </c>
      <c r="E69" s="4297" t="n">
        <f t="array" ref="E69">IFERROR(C69/'Assumptions'!$J$8,0)</f>
        <v>1.8867867568701675</v>
      </c>
      <c r="F69" s="2805" t="inlineStr">
        <is>
          <t xml:space="preserve">100-key hotel add-on allowance; Material split 50%; scaled on CB-Hotel Add-Ons.</t>
        </is>
      </c>
    </row>
    <row r="70" s="3154" customFormat="1" ht="15" customHeight="1">
      <c r="A70" s="2848" t="inlineStr">
        <is>
          <t xml:space="preserve">Hotel</t>
        </is>
      </c>
      <c r="B70" s="2849" t="inlineStr">
        <is>
          <t xml:space="preserve">Sprinkler upgrade (NFPA 13 vs 13R)</t>
        </is>
      </c>
      <c r="C70" s="4378" t="n">
        <f>'CB-Hotel Add-Ons'!E7</f>
        <v>18493.1506849315</v>
      </c>
      <c r="D70" s="4296" t="n">
        <f t="array" ref="D70">IFERROR(C70/$C$86,0)</f>
        <v>0.00967573632500988</v>
      </c>
      <c r="E70" s="4297" t="n">
        <f t="array" ref="E70">IFERROR(C70/'Assumptions'!$J$8,0)</f>
        <v>1.0188648487098901</v>
      </c>
      <c r="F70" s="2805" t="inlineStr">
        <is>
          <t xml:space="preserve">100-key hotel add-on allowance; Material split 45%; scaled on CB-Hotel Add-Ons.</t>
        </is>
      </c>
    </row>
    <row r="71" s="3154" customFormat="1" ht="15" customHeight="1">
      <c r="A71" s="2848" t="inlineStr">
        <is>
          <t xml:space="preserve">Hotel</t>
        </is>
      </c>
      <c r="B71" s="2849" t="inlineStr">
        <is>
          <t xml:space="preserve">Key card / electronic access control</t>
        </is>
      </c>
      <c r="C71" s="4378" t="n">
        <f>'CB-Hotel Add-Ons'!E8</f>
        <v>24109.589041095893</v>
      </c>
      <c r="D71" s="4296" t="n">
        <f t="array" ref="D71">IFERROR(C71/$C$86,0)</f>
        <v>0.012614293282975846</v>
      </c>
      <c r="E71" s="4297" t="n">
        <f t="array" ref="E71">IFERROR(C71/'Assumptions'!$J$8,0)</f>
        <v>1.328297876836598</v>
      </c>
      <c r="F71" s="2805" t="inlineStr">
        <is>
          <t xml:space="preserve">100-key hotel add-on allowance; Material split 55%; scaled on CB-Hotel Add-Ons.</t>
        </is>
      </c>
    </row>
    <row r="72" s="3154" customFormat="1" ht="15" customHeight="1">
      <c r="A72" s="2848" t="inlineStr">
        <is>
          <t xml:space="preserve">Hotel</t>
        </is>
      </c>
      <c r="B72" s="2849" t="inlineStr">
        <is>
          <t xml:space="preserve">CCTV / security system</t>
        </is>
      </c>
      <c r="C72" s="4378" t="n">
        <f>'CB-Hotel Add-Ons'!E9</f>
        <v>15068.49315068493</v>
      </c>
      <c r="D72" s="4296" t="n">
        <f t="array" ref="D72">IFERROR(C72/$C$86,0)</f>
        <v>0.007883933301859903</v>
      </c>
      <c r="E72" s="4297" t="n">
        <f t="array" ref="E72">IFERROR(C72/'Assumptions'!$J$8,0)</f>
        <v>0.8301861730228737</v>
      </c>
      <c r="F72" s="2805" t="inlineStr">
        <is>
          <t xml:space="preserve">100-key hotel add-on allowance; Material split 55%; scaled on CB-Hotel Add-Ons.</t>
        </is>
      </c>
    </row>
    <row r="73" s="3154" customFormat="1" ht="15" customHeight="1">
      <c r="A73" s="2848" t="inlineStr">
        <is>
          <t xml:space="preserve">Hotel</t>
        </is>
      </c>
      <c r="B73" s="2849" t="inlineStr">
        <is>
          <t xml:space="preserve">Structured cabling &amp; IT backbone</t>
        </is>
      </c>
      <c r="C73" s="4378" t="n">
        <f>'CB-Hotel Add-Ons'!E10</f>
        <v>16438.35616438356</v>
      </c>
      <c r="D73" s="4296" t="n">
        <f t="array" ref="D73">IFERROR(C73/$C$86,0)</f>
        <v>0.008600654511119894</v>
      </c>
      <c r="E73" s="4297" t="n">
        <f t="array" ref="E73">IFERROR(C73/'Assumptions'!$J$8,0)</f>
        <v>0.9056576432976803</v>
      </c>
      <c r="F73" s="2805" t="inlineStr">
        <is>
          <t xml:space="preserve">100-key hotel add-on allowance; Material split 40%; scaled on CB-Hotel Add-Ons.</t>
        </is>
      </c>
    </row>
    <row r="74" s="3154" customFormat="1" ht="15" customHeight="1">
      <c r="A74" s="2848" t="inlineStr">
        <is>
          <t xml:space="preserve">Hotel</t>
        </is>
      </c>
      <c r="B74" s="2849" t="inlineStr">
        <is>
          <t xml:space="preserve">WiFi system (AP per room/zone)</t>
        </is>
      </c>
      <c r="C74" s="4378" t="n">
        <f>'CB-Hotel Add-Ons'!E11</f>
        <v>17123.287671232876</v>
      </c>
      <c r="D74" s="4296" t="n">
        <f t="array" ref="D74">IFERROR(C74/$C$86,0)</f>
        <v>0.00895901511574989</v>
      </c>
      <c r="E74" s="4297" t="n">
        <f t="array" ref="E74">IFERROR(C74/'Assumptions'!$J$8,0)</f>
        <v>0.9433933784350838</v>
      </c>
      <c r="F74" s="2805" t="inlineStr">
        <is>
          <t xml:space="preserve">100-key hotel add-on allowance; Material split 50%; scaled on CB-Hotel Add-Ons.</t>
        </is>
      </c>
    </row>
    <row r="75" s="3154" customFormat="1" ht="15" customHeight="1">
      <c r="A75" s="2848" t="inlineStr">
        <is>
          <t xml:space="preserve">Hotel</t>
        </is>
      </c>
      <c r="B75" s="2849" t="inlineStr">
        <is>
          <t xml:space="preserve">Low-voltage rough-in premium</t>
        </is>
      </c>
      <c r="C75" s="4378" t="n">
        <f>'CB-Hotel Add-Ons'!E12</f>
        <v>8219.17808219178</v>
      </c>
      <c r="D75" s="4296" t="n">
        <f t="array" ref="D75">IFERROR(C75/$C$86,0)</f>
        <v>0.004300327255559947</v>
      </c>
      <c r="E75" s="4297" t="n">
        <f t="array" ref="E75">IFERROR(C75/'Assumptions'!$J$8,0)</f>
        <v>0.45282882164884014</v>
      </c>
      <c r="F75" s="2805" t="inlineStr">
        <is>
          <t xml:space="preserve">100-key hotel add-on allowance; Material split 30%; scaled on CB-Hotel Add-Ons.</t>
        </is>
      </c>
    </row>
    <row r="76" s="3154" customFormat="1" ht="15" customHeight="1">
      <c r="A76" s="2848" t="inlineStr">
        <is>
          <t xml:space="preserve">Hotel</t>
        </is>
      </c>
      <c r="B76" s="2849" t="inlineStr">
        <is>
          <t xml:space="preserve">Lobby &amp; front desk millwork</t>
        </is>
      </c>
      <c r="C76" s="4378" t="n">
        <f>'CB-Hotel Add-Ons'!E13</f>
        <v>21575.34246575342</v>
      </c>
      <c r="D76" s="4296" t="n">
        <f t="array" ref="D76">IFERROR(C76/$C$86,0)</f>
        <v>0.011288359045844859</v>
      </c>
      <c r="E76" s="4297" t="n">
        <f t="array" ref="E76">IFERROR(C76/'Assumptions'!$J$8,0)</f>
        <v>1.1886756568282053</v>
      </c>
      <c r="F76" s="2805" t="inlineStr">
        <is>
          <t xml:space="preserve">100-key hotel add-on allowance; Material split 45%; scaled on CB-Hotel Add-Ons.</t>
        </is>
      </c>
    </row>
    <row r="77" s="3154" customFormat="1" ht="15" customHeight="1">
      <c r="A77" s="2848" t="inlineStr">
        <is>
          <t xml:space="preserve">Hotel</t>
        </is>
      </c>
      <c r="B77" s="2849" t="inlineStr">
        <is>
          <t xml:space="preserve">BOH + guest laundry build-out</t>
        </is>
      </c>
      <c r="C77" s="4378" t="n">
        <f>'CB-Hotel Add-Ons'!E14</f>
        <v>16438.356164383567</v>
      </c>
      <c r="D77" s="4296" t="n">
        <f t="array" ref="D77">IFERROR(C77/$C$86,0)</f>
        <v>0.008600654511119897</v>
      </c>
      <c r="E77" s="4297" t="n">
        <f t="array" ref="E77">IFERROR(C77/'Assumptions'!$J$8,0)</f>
        <v>0.9056576432976807</v>
      </c>
      <c r="F77" s="2805" t="inlineStr">
        <is>
          <t xml:space="preserve">100-key hotel add-on allowance; Material split 30%; scaled on CB-Hotel Add-Ons.</t>
        </is>
      </c>
    </row>
    <row r="78" s="3154" customFormat="1" ht="15" customHeight="1">
      <c r="A78" s="2848" t="inlineStr">
        <is>
          <t xml:space="preserve">Hotel</t>
        </is>
      </c>
      <c r="B78" s="2849" t="inlineStr">
        <is>
          <t xml:space="preserve">Guest + BOH laundry MEP rough-in</t>
        </is>
      </c>
      <c r="C78" s="4378" t="n">
        <f>'CB-Hotel Add-Ons'!E15</f>
        <v>10273.972602739726</v>
      </c>
      <c r="D78" s="4296" t="n">
        <f t="array" ref="D78">IFERROR(C78/$C$86,0)</f>
        <v>0.005375409069449934</v>
      </c>
      <c r="E78" s="4297" t="n">
        <f t="array" ref="E78">IFERROR(C78/'Assumptions'!$J$8,0)</f>
        <v>0.5660360270610503</v>
      </c>
      <c r="F78" s="2805" t="inlineStr">
        <is>
          <t xml:space="preserve">100-key hotel add-on allowance; Material split 30%; scaled on CB-Hotel Add-Ons.</t>
        </is>
      </c>
    </row>
    <row r="79" s="3154" customFormat="1" ht="15" customHeight="1">
      <c r="A79" s="2848" t="inlineStr">
        <is>
          <t xml:space="preserve">Hotel</t>
        </is>
      </c>
      <c r="B79" s="2849" t="inlineStr">
        <is>
          <t xml:space="preserve">Corridor finishes &amp; wall protection</t>
        </is>
      </c>
      <c r="C79" s="4378" t="n">
        <f>'CB-Hotel Add-Ons'!E16</f>
        <v>10958.90410958904</v>
      </c>
      <c r="D79" s="4296" t="n">
        <f t="array" ref="D79">IFERROR(C79/$C$86,0)</f>
        <v>0.00573376967407993</v>
      </c>
      <c r="E79" s="4297" t="n">
        <f t="array" ref="E79">IFERROR(C79/'Assumptions'!$J$8,0)</f>
        <v>0.6037717621984536</v>
      </c>
      <c r="F79" s="2805" t="inlineStr">
        <is>
          <t xml:space="preserve">100-key hotel add-on allowance; Material split 40%; scaled on CB-Hotel Add-Ons.</t>
        </is>
      </c>
    </row>
    <row r="80" s="3154" customFormat="1" ht="15" customHeight="1">
      <c r="A80" s="2848" t="inlineStr">
        <is>
          <t xml:space="preserve">Hotel</t>
        </is>
      </c>
      <c r="B80" s="2849" t="inlineStr">
        <is>
          <t xml:space="preserve">Sound attenuation upgrades (STC 50+)</t>
        </is>
      </c>
      <c r="C80" s="4378" t="n">
        <f>'CB-Hotel Add-Ons'!E17</f>
        <v>20547.945205479453</v>
      </c>
      <c r="D80" s="4296" t="n">
        <f t="array" ref="D80">IFERROR(C80/$C$86,0)</f>
        <v>0.010750818138899868</v>
      </c>
      <c r="E80" s="4297" t="n">
        <f t="array" ref="E80">IFERROR(C80/'Assumptions'!$J$8,0)</f>
        <v>1.1320720541221005</v>
      </c>
      <c r="F80" s="2805" t="inlineStr">
        <is>
          <t xml:space="preserve">100-key hotel add-on allowance; Material split 30%; scaled on CB-Hotel Add-Ons.</t>
        </is>
      </c>
    </row>
    <row r="81" s="3154" customFormat="1" ht="15" customHeight="1">
      <c r="A81" s="2848" t="inlineStr">
        <is>
          <t xml:space="preserve">Hotel</t>
        </is>
      </c>
      <c r="B81" s="2849" t="inlineStr">
        <is>
          <t xml:space="preserve">Signage — exterior &amp; wayfinding</t>
        </is>
      </c>
      <c r="C81" s="4378" t="n">
        <f>'CB-Hotel Add-Ons'!E18</f>
        <v>45205.47945205479</v>
      </c>
      <c r="D81" s="4296" t="n">
        <f t="array" ref="D81">IFERROR(C81/$C$86,0)</f>
        <v>0.023651799905579706</v>
      </c>
      <c r="E81" s="4297" t="n">
        <f t="array" ref="E81">IFERROR(C81/'Assumptions'!$J$8,0)</f>
        <v>2.4905585190686206</v>
      </c>
      <c r="F81" s="2805" t="inlineStr">
        <is>
          <t xml:space="preserve">100-key hotel add-on allowance; Material split 60%; scaled on CB-Hotel Add-Ons.</t>
        </is>
      </c>
    </row>
    <row r="82" s="3154" customFormat="1" ht="15" customHeight="1">
      <c r="A82" s="2848" t="inlineStr">
        <is>
          <t xml:space="preserve">Hotel</t>
        </is>
      </c>
      <c r="B82" s="2849" t="inlineStr">
        <is>
          <t xml:space="preserve">ADA premium (accessible rooms + routes)</t>
        </is>
      </c>
      <c r="C82" s="4378" t="n">
        <f>'CB-Hotel Add-Ons'!E19</f>
        <v>10958.90410958904</v>
      </c>
      <c r="D82" s="4296" t="n">
        <f t="array" ref="D82">IFERROR(C82/$C$86,0)</f>
        <v>0.00573376967407993</v>
      </c>
      <c r="E82" s="4297" t="n">
        <f t="array" ref="E82">IFERROR(C82/'Assumptions'!$J$8,0)</f>
        <v>0.6037717621984536</v>
      </c>
      <c r="F82" s="2805" t="inlineStr">
        <is>
          <t xml:space="preserve">100-key hotel add-on allowance; Material split 40%; scaled on CB-Hotel Add-Ons.</t>
        </is>
      </c>
    </row>
    <row r="83" s="3154" customFormat="1" ht="15" customHeight="1">
      <c r="A83" s="2848" t="inlineStr">
        <is>
          <t xml:space="preserve">Hotel</t>
        </is>
      </c>
      <c r="B83" s="2849" t="inlineStr">
        <is>
          <t xml:space="preserve">Parking lot, striping &amp; site lighting</t>
        </is>
      </c>
      <c r="C83" s="4378" t="n">
        <f>'CB-Hotel Add-Ons'!E20</f>
        <v>46232.87671232874</v>
      </c>
      <c r="D83" s="4296" t="n">
        <f t="array" ref="D83">IFERROR(C83/$C$86,0)</f>
        <v>0.02418934081252469</v>
      </c>
      <c r="E83" s="4297" t="n">
        <f t="array" ref="E83">IFERROR(C83/'Assumptions'!$J$8,0)</f>
        <v>2.5471621217747247</v>
      </c>
      <c r="F83" s="2805" t="inlineStr">
        <is>
          <t xml:space="preserve">100-key hotel add-on allowance; Material split 45%; scaled on CB-Hotel Add-Ons.</t>
        </is>
      </c>
    </row>
    <row r="84" s="3154" customFormat="1" ht="15" customHeight="1">
      <c r="A84" s="2848" t="inlineStr">
        <is>
          <t xml:space="preserve">Hotel</t>
        </is>
      </c>
      <c r="B84" s="2849" t="inlineStr">
        <is>
          <t xml:space="preserve">Emergency lighting &amp; exit signage</t>
        </is>
      </c>
      <c r="C84" s="4378" t="n">
        <f>'CB-Hotel Add-Ons'!E21</f>
        <v>8219.17808219178</v>
      </c>
      <c r="D84" s="4296" t="n">
        <f t="array" ref="D84">IFERROR(C84/$C$86,0)</f>
        <v>0.004300327255559947</v>
      </c>
      <c r="E84" s="4297" t="n">
        <f t="array" ref="E84">IFERROR(C84/'Assumptions'!$J$8,0)</f>
        <v>0.45282882164884014</v>
      </c>
      <c r="F84" s="2805" t="inlineStr">
        <is>
          <t xml:space="preserve">100-key hotel add-on allowance; Material split 40%; scaled on CB-Hotel Add-Ons.</t>
        </is>
      </c>
    </row>
    <row r="85" s="3154" customFormat="1" ht="15" customHeight="1">
      <c r="A85" s="2848" t="inlineStr">
        <is>
          <t xml:space="preserve">Hotel</t>
        </is>
      </c>
      <c r="B85" s="2849" t="inlineStr">
        <is>
          <t xml:space="preserve">Exterior trash &amp; recycling enclosure</t>
        </is>
      </c>
      <c r="C85" s="4378" t="n">
        <f>'CB-Hotel Add-Ons'!E22</f>
        <v>5753.424657534246</v>
      </c>
      <c r="D85" s="4296" t="n">
        <f t="array" ref="D85">IFERROR(C85/$C$86,0)</f>
        <v>0.0030102290788919625</v>
      </c>
      <c r="E85" s="4297" t="n">
        <f t="array" ref="E85">IFERROR(C85/'Assumptions'!$J$8,0)</f>
        <v>0.3169801751541881</v>
      </c>
      <c r="F85" s="2805" t="inlineStr">
        <is>
          <t xml:space="preserve">100-key hotel add-on allowance; Material split 35%; scaled on CB-Hotel Add-Ons.</t>
        </is>
      </c>
    </row>
    <row r="86" s="3154" customFormat="1" ht="15" customHeight="1">
      <c r="A86" s="2808" t="n"/>
      <c r="B86" s="2809" t="inlineStr">
        <is>
          <t xml:space="preserve">TOTAL MATERIAL</t>
        </is>
      </c>
      <c r="C86" s="4380" t="n">
        <f t="array" ref="C86">SUM(C49:C85)</f>
        <v>1911291.3026712332</v>
      </c>
      <c r="D86" s="2808" t="n">
        <f t="array" ref="D86">SUM(D49:D85)</f>
        <v>0.9999999999999998</v>
      </c>
      <c r="E86" s="4282" t="n">
        <f t="array" ref="E86">C86/'Assumptions'!$J$8</f>
        <v>105.30101425731544</v>
      </c>
      <c r="F86" s="2808" t="n"/>
    </row>
    <row r="87" s="3154" customFormat="1" ht="15" customHeight="1">
      <c r="A87" s="2857" t="n"/>
      <c r="B87" s="2857" t="n"/>
      <c r="C87" s="2857" t="n"/>
      <c r="D87" s="2857" t="n"/>
      <c r="E87" s="2857" t="n"/>
      <c r="F87" s="2857" t="n"/>
    </row>
    <row r="88" s="3154" customFormat="1" ht="15" customHeight="1">
      <c r="A88" s="2795" t="n"/>
      <c r="B88" s="2795" t="n"/>
      <c r="C88" s="2795" t="n"/>
      <c r="D88" s="2795" t="n"/>
      <c r="E88" s="2795" t="n"/>
      <c r="F88" s="2795" t="n"/>
    </row>
    <row r="89" s="3154" customFormat="1" ht="15" customHeight="1">
      <c r="A89" s="2808" t="n"/>
      <c r="B89" s="2809" t="inlineStr">
        <is>
          <t xml:space="preserve">HARD CONSTRUCTION TOTAL (Labor + Material)</t>
        </is>
      </c>
      <c r="C89" s="4380" t="n">
        <f t="array" ref="C89">C44+C86</f>
        <v>4160870.451917809</v>
      </c>
      <c r="D89" s="2808" t="n"/>
      <c r="E89" s="4282" t="n">
        <f t="array" ref="E89">C89/'Assumptions'!$J$8</f>
        <v>229.2397177593426</v>
      </c>
      <c r="F89" s="2808" t="n"/>
    </row>
    <row r="90" s="3154" customFormat="1" ht="15" customHeight="1">
      <c r="A90" s="2857" t="n"/>
      <c r="B90" s="2867" t="inlineStr">
        <is>
          <t xml:space="preserve">Labor % of Total</t>
        </is>
      </c>
      <c r="C90" s="4381" t="n">
        <f t="array" ref="C90">C44/C89</f>
        <v>0.540651090977781</v>
      </c>
      <c r="D90" s="2857" t="n"/>
      <c r="E90" s="2857" t="n"/>
      <c r="F90" s="2857" t="n"/>
    </row>
    <row r="91" s="3154" customFormat="1" ht="15" customHeight="1">
      <c r="A91" s="50" t="n"/>
      <c r="B91" s="113" t="inlineStr">
        <is>
          <t xml:space="preserve">Material % of Total</t>
        </is>
      </c>
      <c r="C91" s="4382" t="n">
        <f t="array" ref="C91">C86/C89</f>
        <v>0.4593489090222191</v>
      </c>
      <c r="D91" s="50" t="n"/>
      <c r="E91" s="50" t="n"/>
      <c r="F91" s="50" t="n"/>
    </row>
    <row r="92" s="3154" customFormat="1" ht="15" customHeight="1">
      <c r="A92" s="49" t="n"/>
      <c r="B92" s="49" t="n"/>
      <c r="C92" s="49" t="n"/>
      <c r="D92" s="49" t="n"/>
      <c r="E92" s="49" t="n"/>
      <c r="F92" s="49" t="n"/>
    </row>
    <row r="93" s="3154" customFormat="1" ht="15" customHeight="1">
      <c r="A93" s="4306" t="inlineStr">
        <is>
          <t xml:space="preserve">WHERE THE GUESSES ARE</t>
        </is>
      </c>
      <c r="F93" s="3162" t="n"/>
    </row>
    <row r="94" s="3154" customFormat="1" ht="30" customHeight="1">
      <c r="A94" s="2871" t="inlineStr">
        <is>
          <t xml:space="preserve">• Livio material/labor SPLIT on each line is guessed — Livio gives one lump sum per category. Exceptions: any line where Livio's scope said 'Labor' or 'install' (Panel Install, Sheathing, Insulation, Finished Plumbing, Exterior Facade, Cleaning) is a hard 100% labor split.</t>
        </is>
      </c>
      <c r="B94" s="3204" t="n"/>
      <c r="C94" s="3204" t="n"/>
      <c r="D94" s="3204" t="n"/>
      <c r="E94" s="3204" t="n"/>
      <c r="F94" s="3205" t="n"/>
    </row>
    <row r="95" s="3154" customFormat="1" ht="30" customHeight="1">
      <c r="A95" s="2787" t="inlineStr">
        <is>
          <t xml:space="preserve">• Hotel Add-On totals are ALL allowances/guesses — no bids yet. Use these to plan, refine when quotes come in.</t>
        </is>
      </c>
      <c r="B95" s="3159" t="n"/>
      <c r="C95" s="3159" t="n"/>
      <c r="D95" s="3159" t="n"/>
      <c r="E95" s="3159" t="n"/>
      <c r="F95" s="3160" t="n"/>
    </row>
    <row r="96" s="3154" customFormat="1" ht="30" customHeight="1">
      <c r="A96" s="2787" t="inlineStr">
        <is>
          <t xml:space="preserve">• Hotel Add-On labor % on each line is also a guess.</t>
        </is>
      </c>
      <c r="B96" s="3159" t="n"/>
      <c r="C96" s="3159" t="n"/>
      <c r="D96" s="3159" t="n"/>
      <c r="E96" s="3159" t="n"/>
      <c r="F96" s="3160" t="n"/>
    </row>
    <row r="97" s="3154" customFormat="1" ht="30" customHeight="1">
      <c r="A97" s="2787" t="inlineStr">
        <is>
          <t xml:space="preserve">• 10% contingency on top of all hard costs is standard practice, not a bid number.</t>
        </is>
      </c>
      <c r="B97" s="3159" t="n"/>
      <c r="C97" s="3159" t="n"/>
      <c r="D97" s="3159" t="n"/>
      <c r="E97" s="3159" t="n"/>
      <c r="F97" s="3160" t="n"/>
    </row>
    <row r="98" s="3154" customFormat="1" ht="30" customHeight="1">
      <c r="A98" s="2787" t="inlineStr">
        <is>
          <t xml:space="preserve">• Livio panel rate ($67.50/sf) and install rate ($22.50/sf) are CLIENT-SET at the mid of your $60–75 and $15–30 ranges. Not guesses.</t>
        </is>
      </c>
      <c r="B98" s="3159" t="n"/>
      <c r="C98" s="3159" t="n"/>
      <c r="D98" s="3159" t="n"/>
      <c r="E98" s="3159" t="n"/>
      <c r="F98" s="3160" t="n"/>
    </row>
    <row r="99" s="3154" customFormat="1" ht="30" customHeight="1">
      <c r="A99" s="2787" t="inlineStr">
        <is>
          <t xml:space="preserve">• Every yellow-highlighted cell in this workbook is a guess or editable input. Edit any of them on Assumptions or Hotel Add-Ons tabs.</t>
        </is>
      </c>
      <c r="B99" s="3159" t="n"/>
      <c r="C99" s="3159" t="n"/>
      <c r="D99" s="3159" t="n"/>
      <c r="E99" s="3159" t="n"/>
      <c r="F99" s="3160" t="n"/>
    </row>
  </sheetData>
  <mergeCells>
    <mergeCell ref="A2:F2"/>
    <mergeCell ref="A99:F99"/>
    <mergeCell ref="A47:F47"/>
    <mergeCell ref="A98:F98"/>
    <mergeCell ref="A93:F93"/>
    <mergeCell ref="A1:F1"/>
    <mergeCell ref="A5:F5"/>
    <mergeCell ref="A94:F94"/>
    <mergeCell ref="A67:F67"/>
    <mergeCell ref="A6:F6"/>
    <mergeCell ref="A97:F97"/>
    <mergeCell ref="A48:F48"/>
    <mergeCell ref="A3:F3"/>
    <mergeCell ref="A96:F96"/>
    <mergeCell ref="A25:F25"/>
    <mergeCell ref="A95:F95"/>
  </mergeCells>
  <pageMargins left="0.7" right="0.7" top="0.75" bottom="0.75" header="0.3" footer="0.3"/>
</worksheet>
</file>

<file path=xl/worksheets/sheet33.xml><?xml version="1.0" encoding="utf-8"?>
<worksheet xmlns="http://schemas.openxmlformats.org/spreadsheetml/2006/main">
  <sheetViews>
    <sheetView showGridLines="0" workbookViewId="0"/>
  </sheetViews>
  <sheetFormatPr baseColWidth="8" defaultColWidth="8.5" defaultRowHeight="15"/>
  <cols>
    <col min="1" max="1" width="34" style="3136" customWidth="1"/>
    <col min="2" max="2" width="15" style="3136" customWidth="1"/>
    <col min="3" max="3" width="68" style="3136" customWidth="1"/>
    <col min="4" max="4" width="4" style="3136" customWidth="1"/>
    <col min="5" max="5" width="8.5" style="3136" customWidth="1"/>
    <col min="6" max="16384" width="8.5" style="3136" customWidth="1"/>
  </cols>
  <sheetData>
    <row r="1" s="3154" customFormat="1" ht="17.25" customHeight="1">
      <c r="A1" s="2790" t="inlineStr">
        <is>
          <t xml:space="preserve">SLEEP SPACE — CONSTRUCTION BUDGET ASSUMPTIONS</t>
        </is>
      </c>
      <c r="B1" s="3202" t="n"/>
      <c r="C1" s="3202" t="n"/>
      <c r="D1" s="3202" t="n"/>
      <c r="E1" s="2764" t="n"/>
    </row>
    <row r="2" s="3154" customFormat="1" ht="15" customHeight="1">
      <c r="A2" s="99" t="n"/>
      <c r="B2" s="99" t="n"/>
      <c r="C2" s="99" t="n"/>
      <c r="D2" s="99" t="n"/>
      <c r="E2" s="1168" t="n"/>
    </row>
    <row r="3" s="3154" customFormat="1" ht="15" customHeight="1">
      <c r="A3" s="2895" t="inlineStr">
        <is>
          <t xml:space="preserve">PROJECT INPUTS</t>
        </is>
      </c>
      <c r="E3" s="2764" t="n"/>
    </row>
    <row r="4" s="3154" customFormat="1" ht="15" customHeight="1">
      <c r="A4" s="2219" t="inlineStr">
        <is>
          <t xml:space="preserve">Building GSF</t>
        </is>
      </c>
      <c r="B4" s="4388" t="n">
        <f>'Assumptions'!J8</f>
        <v>18150.7397260274</v>
      </c>
      <c r="C4" s="2898" t="inlineStr">
        <is>
          <t xml:space="preserve">Linked to active 100-key target GSF; original source basis is retained on 100-Key Cost Seg.</t>
        </is>
      </c>
      <c r="D4" s="82" t="n"/>
      <c r="E4" s="1168" t="n"/>
    </row>
    <row r="5" s="3154" customFormat="1" ht="15" customHeight="1">
      <c r="A5" s="747" t="inlineStr">
        <is>
          <t xml:space="preserve">Number of keys (units)</t>
        </is>
      </c>
      <c r="B5" s="4388" t="n">
        <f>'Assumptions'!J7</f>
        <v>100</v>
      </c>
      <c r="C5" s="2899" t="inlineStr">
        <is>
          <t xml:space="preserve">Linked to active target key count.</t>
        </is>
      </c>
      <c r="D5" s="50" t="n"/>
      <c r="E5" s="1168" t="n"/>
    </row>
    <row r="6" s="3154" customFormat="1" ht="15" customHeight="1">
      <c r="A6" s="747" t="inlineStr">
        <is>
          <t xml:space="preserve">Contingency %</t>
        </is>
      </c>
      <c r="B6" s="4315" t="n">
        <v>0.1</v>
      </c>
      <c r="C6" s="2899" t="inlineStr">
        <is>
          <t xml:space="preserve">Applied once in CB-Summary only.</t>
        </is>
      </c>
      <c r="D6" s="50" t="n"/>
      <c r="E6" s="1168" t="n"/>
    </row>
    <row r="7" s="3154" customFormat="1" ht="15" customHeight="1">
      <c r="A7" s="747" t="inlineStr">
        <is>
          <t xml:space="preserve">Livio panel rate ($/sf)</t>
        </is>
      </c>
      <c r="B7" s="4389" t="n">
        <v>67.5</v>
      </c>
      <c r="C7" s="4390" t="inlineStr">
        <is>
          <t xml:space="preserve">Client range midpoint used in 100-key model.</t>
        </is>
      </c>
      <c r="D7" s="50" t="n"/>
      <c r="E7" s="1168" t="n"/>
    </row>
    <row r="8" s="3154" customFormat="1" ht="15" customHeight="1">
      <c r="A8" s="113" t="inlineStr">
        <is>
          <t xml:space="preserve">Livio panel install rate ($/sf)</t>
        </is>
      </c>
      <c r="B8" s="4391" t="n">
        <v>22.5</v>
      </c>
      <c r="C8" s="2830" t="inlineStr">
        <is>
          <t xml:space="preserve">Client range midpoint used in 100-key model.</t>
        </is>
      </c>
      <c r="D8" s="50" t="n"/>
      <c r="E8" s="1168" t="n"/>
    </row>
    <row r="9" s="3154" customFormat="1" ht="15" customHeight="1">
      <c r="A9" s="50" t="inlineStr">
        <is>
          <t xml:space="preserve">Concrete / foundation source total</t>
        </is>
      </c>
      <c r="B9" s="4392" t="n">
        <v>265114.89</v>
      </c>
      <c r="C9" s="4393" t="inlineStr">
        <is>
          <t xml:space="preserve">Source bid held flat pending updated foundation bid; no longer used as $/sf multiplier.</t>
        </is>
      </c>
      <c r="D9" s="50" t="n"/>
      <c r="E9" s="1168" t="n"/>
    </row>
    <row r="10" s="3154" customFormat="1" ht="15" customHeight="1">
      <c r="A10" s="49" t="inlineStr">
        <is>
          <t xml:space="preserve">Grading / earthwork one-acre allowance</t>
        </is>
      </c>
      <c r="B10" s="4392" t="n">
        <v>65000</v>
      </c>
      <c r="C10" s="4393" t="inlineStr">
        <is>
          <t xml:space="preserve">One-acre midpoint placeholder; review civil/sitework bid.</t>
        </is>
      </c>
      <c r="D10" s="50" t="n"/>
      <c r="E10" s="1168" t="n"/>
    </row>
    <row r="11" s="3154" customFormat="1" ht="15" customHeight="1">
      <c r="A11" s="2895" t="inlineStr">
        <is>
          <t xml:space="preserve">LABOR % BY CATEGORY (educated guess)</t>
        </is>
      </c>
      <c r="B11" s="13" t="n"/>
      <c r="C11" s="49" t="n"/>
      <c r="D11" s="50" t="n"/>
      <c r="E11" s="1168" t="n"/>
    </row>
    <row r="12" s="3154" customFormat="1" ht="15" customHeight="1">
      <c r="A12" s="2895" t="inlineStr">
        <is>
          <t xml:space="preserve">Category</t>
        </is>
      </c>
      <c r="B12" s="2773" t="inlineStr">
        <is>
          <t xml:space="preserve">Labor %</t>
        </is>
      </c>
      <c r="C12" s="2773" t="inlineStr">
        <is>
          <t xml:space="preserve">Rationale</t>
        </is>
      </c>
      <c r="D12" s="81" t="n"/>
      <c r="E12" s="1168" t="n"/>
    </row>
    <row r="13" s="3154" customFormat="1" ht="15" customHeight="1">
      <c r="A13" s="2219" t="inlineStr">
        <is>
          <t xml:space="preserve">Livio Closed Wall System</t>
        </is>
      </c>
      <c r="B13" s="4315" t="n">
        <v>0.15</v>
      </c>
      <c r="C13" s="2898" t="inlineStr">
        <is>
          <t xml:space="preserve">Factory prefab panels — mostly material; small factory labor</t>
        </is>
      </c>
      <c r="D13" s="50" t="n"/>
      <c r="E13" s="1168" t="n"/>
    </row>
    <row r="14" s="3154" customFormat="1" ht="15" customHeight="1">
      <c r="A14" s="747" t="inlineStr">
        <is>
          <t xml:space="preserve">Concrete</t>
        </is>
      </c>
      <c r="B14" s="4315" t="n">
        <v>0.6</v>
      </c>
      <c r="C14" s="2899" t="inlineStr">
        <is>
          <t xml:space="preserve">Slab on grade foundation — labor-heavy install</t>
        </is>
      </c>
      <c r="D14" s="50" t="n"/>
      <c r="E14" s="1168" t="n"/>
    </row>
    <row r="15" s="3154" customFormat="1" ht="15" customHeight="1">
      <c r="A15" s="747" t="inlineStr">
        <is>
          <t xml:space="preserve">Dampproofing &amp; Waterproofing</t>
        </is>
      </c>
      <c r="B15" s="4315" t="n">
        <v>0.65</v>
      </c>
      <c r="C15" s="2899" t="inlineStr">
        <is>
          <t xml:space="preserve">Hot-mop + roof waterproofing</t>
        </is>
      </c>
      <c r="D15" s="50" t="n"/>
      <c r="E15" s="1168" t="n"/>
    </row>
    <row r="16" s="3154" customFormat="1" ht="15" customHeight="1">
      <c r="A16" s="747" t="inlineStr">
        <is>
          <t xml:space="preserve">Interior Sheathing Finish</t>
        </is>
      </c>
      <c r="B16" s="4315" t="n">
        <v>1</v>
      </c>
      <c r="C16" s="2899" t="inlineStr">
        <is>
          <t xml:space="preserve">Material from Livio factory; field install only</t>
        </is>
      </c>
      <c r="D16" s="50" t="n"/>
      <c r="E16" s="1168" t="n"/>
    </row>
    <row r="17" s="3154" customFormat="1" ht="15" customHeight="1">
      <c r="A17" s="747" t="inlineStr">
        <is>
          <t xml:space="preserve">Erosion Control</t>
        </is>
      </c>
      <c r="B17" s="4315" t="n">
        <v>0.75</v>
      </c>
      <c r="C17" s="2899" t="inlineStr">
        <is>
          <t xml:space="preserve">Labor + light materials (silt fence, straw wattle)</t>
        </is>
      </c>
      <c r="D17" s="50" t="n"/>
      <c r="E17" s="1168" t="n"/>
    </row>
    <row r="18" s="3154" customFormat="1" ht="15" customHeight="1">
      <c r="A18" s="747" t="inlineStr">
        <is>
          <t xml:space="preserve">Fire Sprinklers</t>
        </is>
      </c>
      <c r="B18" s="4315" t="n">
        <v>0.5</v>
      </c>
      <c r="C18" s="2899" t="inlineStr">
        <is>
          <t xml:space="preserve">Balanced M/L for NFPA-13 residential</t>
        </is>
      </c>
      <c r="D18" s="50" t="n"/>
      <c r="E18" s="1168" t="n"/>
    </row>
    <row r="19" s="3154" customFormat="1" ht="15" customHeight="1">
      <c r="A19" s="747" t="inlineStr">
        <is>
          <t xml:space="preserve">Flashing &amp; Sheet Metal</t>
        </is>
      </c>
      <c r="B19" s="4315" t="n">
        <v>0.5</v>
      </c>
      <c r="C19" s="2899" t="inlineStr">
        <is>
          <t xml:space="preserve">Fabricated sheet metal install</t>
        </is>
      </c>
      <c r="D19" s="50" t="n"/>
      <c r="E19" s="1168" t="n"/>
    </row>
    <row r="20" s="3154" customFormat="1" ht="15" customHeight="1">
      <c r="A20" s="747" t="inlineStr">
        <is>
          <t xml:space="preserve">Panel Installation</t>
        </is>
      </c>
      <c r="B20" s="4315" t="n">
        <v>1</v>
      </c>
      <c r="C20" s="2899" t="inlineStr">
        <is>
          <t xml:space="preserve">Installation of pre-assembled Livio panels (pure labor)</t>
        </is>
      </c>
      <c r="D20" s="50" t="n"/>
      <c r="E20" s="1168" t="n"/>
    </row>
    <row r="21" s="3154" customFormat="1" ht="15" customHeight="1">
      <c r="A21" s="747" t="inlineStr">
        <is>
          <t xml:space="preserve">Grading (Earth Work)</t>
        </is>
      </c>
      <c r="B21" s="4315" t="n">
        <v>0.8</v>
      </c>
      <c r="C21" s="2899" t="inlineStr">
        <is>
          <t xml:space="preserve">Rough grading — equipment + operators</t>
        </is>
      </c>
      <c r="D21" s="50" t="n"/>
      <c r="E21" s="1168" t="n"/>
    </row>
    <row r="22" s="3154" customFormat="1" ht="15" customHeight="1">
      <c r="A22" s="747" t="inlineStr">
        <is>
          <t xml:space="preserve">HVAC (Ductwork + Install)</t>
        </is>
      </c>
      <c r="B22" s="4315" t="n">
        <v>0.6</v>
      </c>
      <c r="C22" s="2899" t="inlineStr">
        <is>
          <t xml:space="preserve">Ductwork, grilles; equipment is in Exhibit B</t>
        </is>
      </c>
      <c r="D22" s="50" t="n"/>
      <c r="E22" s="1168" t="n"/>
    </row>
    <row r="23" s="3154" customFormat="1" ht="15" customHeight="1">
      <c r="A23" s="747" t="inlineStr">
        <is>
          <t xml:space="preserve">Insulation</t>
        </is>
      </c>
      <c r="B23" s="4315" t="n">
        <v>1</v>
      </c>
      <c r="C23" s="2899" t="inlineStr">
        <is>
          <t xml:space="preserve">Labor only per Livio scope</t>
        </is>
      </c>
      <c r="D23" s="50" t="n"/>
      <c r="E23" s="1168" t="n"/>
    </row>
    <row r="24" s="3154" customFormat="1" ht="15" customHeight="1">
      <c r="A24" s="747" t="inlineStr">
        <is>
          <t xml:space="preserve">Painting &amp; Coating</t>
        </is>
      </c>
      <c r="B24" s="4315" t="n">
        <v>0.7</v>
      </c>
      <c r="C24" s="2899" t="inlineStr">
        <is>
          <t xml:space="preserve">Low material cost vs. manhours</t>
        </is>
      </c>
      <c r="D24" s="50" t="n"/>
      <c r="E24" s="1168" t="n"/>
    </row>
    <row r="25" s="3154" customFormat="1" ht="15" customHeight="1">
      <c r="A25" s="747" t="inlineStr">
        <is>
          <t xml:space="preserve">Finished Plumbing Labor</t>
        </is>
      </c>
      <c r="B25" s="4315" t="n">
        <v>1</v>
      </c>
      <c r="C25" s="2899" t="inlineStr">
        <is>
          <t xml:space="preserve">Labor only per Livio scope</t>
        </is>
      </c>
      <c r="D25" s="50" t="n"/>
      <c r="E25" s="1168" t="n"/>
    </row>
    <row r="26" s="3154" customFormat="1" ht="15" customHeight="1">
      <c r="A26" s="747" t="inlineStr">
        <is>
          <t xml:space="preserve">Roofing</t>
        </is>
      </c>
      <c r="B26" s="4315" t="n">
        <v>0.55</v>
      </c>
      <c r="C26" s="2899" t="inlineStr">
        <is>
          <t xml:space="preserve">Material + install</t>
        </is>
      </c>
      <c r="D26" s="50" t="n"/>
      <c r="E26" s="1168" t="n"/>
    </row>
    <row r="27" s="3154" customFormat="1" ht="15" customHeight="1">
      <c r="A27" s="747" t="inlineStr">
        <is>
          <t xml:space="preserve">Finished Electrical Labor</t>
        </is>
      </c>
      <c r="B27" s="4315" t="n">
        <v>0.7</v>
      </c>
      <c r="C27" s="2899" t="inlineStr">
        <is>
          <t xml:space="preserve">Mostly labor (rough-in trim)</t>
        </is>
      </c>
      <c r="D27" s="50" t="n"/>
      <c r="E27" s="1168" t="n"/>
    </row>
    <row r="28" s="3154" customFormat="1" ht="15" customHeight="1">
      <c r="A28" s="747" t="inlineStr">
        <is>
          <t xml:space="preserve">Exterior Facade</t>
        </is>
      </c>
      <c r="B28" s="4315" t="n">
        <v>1</v>
      </c>
      <c r="C28" s="2899" t="inlineStr">
        <is>
          <t xml:space="preserve">Labor to install Livio-provided facade</t>
        </is>
      </c>
      <c r="D28" s="50" t="n"/>
      <c r="E28" s="1168" t="n"/>
    </row>
    <row r="29" s="3154" customFormat="1" ht="15" customHeight="1">
      <c r="A29" s="747" t="inlineStr">
        <is>
          <t xml:space="preserve">Cleaning</t>
        </is>
      </c>
      <c r="B29" s="4315" t="n">
        <v>1</v>
      </c>
      <c r="C29" s="2899" t="inlineStr">
        <is>
          <t xml:space="preserve">Post-construction cleaning — pure labor</t>
        </is>
      </c>
      <c r="D29" s="50" t="n"/>
      <c r="E29" s="1168" t="n"/>
    </row>
    <row r="30" s="3154" customFormat="1" ht="15" customHeight="1">
      <c r="A30" s="747" t="inlineStr">
        <is>
          <t xml:space="preserve">General Requirements</t>
        </is>
      </c>
      <c r="B30" s="4315" t="n">
        <v>0.85</v>
      </c>
      <c r="C30" s="2899" t="inlineStr">
        <is>
          <t xml:space="preserve">Supervision, PM, temp power/toilets, logistics</t>
        </is>
      </c>
      <c r="D30" s="50" t="n"/>
      <c r="E30" s="1168" t="n"/>
    </row>
    <row r="31" s="3154" customFormat="1" ht="15" customHeight="1">
      <c r="A31" s="747" t="inlineStr">
        <is>
          <t xml:space="preserve">Overhead</t>
        </is>
      </c>
      <c r="B31" s="4317" t="n">
        <v>0</v>
      </c>
      <c r="C31" s="2899" t="inlineStr">
        <is>
          <t xml:space="preserve">Placeholder — not applied</t>
        </is>
      </c>
      <c r="D31" s="50" t="n"/>
      <c r="E31" s="1168" t="n"/>
    </row>
  </sheetData>
  <mergeCells>
    <mergeCell ref="A1:D1"/>
    <mergeCell ref="A3:D3"/>
  </mergeCells>
  <pageMargins left="0.7" right="0.7" top="0.75" bottom="0.75" header="0.3" footer="0.3"/>
</worksheet>
</file>

<file path=xl/worksheets/sheet34.xml><?xml version="1.0" encoding="utf-8"?>
<worksheet xmlns="http://schemas.openxmlformats.org/spreadsheetml/2006/main">
  <sheetViews>
    <sheetView showGridLines="0" workbookViewId="0"/>
  </sheetViews>
  <sheetFormatPr baseColWidth="8" defaultColWidth="8.5" defaultRowHeight="15"/>
  <cols>
    <col min="1" max="1" width="24" style="3136" customWidth="1"/>
    <col min="2" max="2" width="45" style="3136" customWidth="1"/>
    <col min="3" max="3" width="55" style="3136" customWidth="1"/>
    <col min="4" max="5" width="8.5" style="3136" customWidth="1"/>
    <col min="6" max="16384" width="8.5" style="3136" customWidth="1"/>
  </cols>
  <sheetData>
    <row r="1" s="3154" customFormat="1" ht="17.25" customHeight="1">
      <c r="A1" s="2790" t="inlineStr">
        <is>
          <t xml:space="preserve">HOTEL vs RESIDENTIAL — KEY CONSTRUCTION DIFFERENCES</t>
        </is>
      </c>
      <c r="B1" s="3202" t="n"/>
      <c r="C1" s="3202" t="n"/>
      <c r="D1" s="2764" t="n"/>
      <c r="E1" s="1168" t="n"/>
    </row>
    <row r="2" s="3154" customFormat="1" ht="15" customHeight="1">
      <c r="A2" s="2792" t="inlineStr">
        <is>
          <t xml:space="preserve">Context for why the Livio residential prefab scope is not sufficient for a hotel build.</t>
        </is>
      </c>
      <c r="B2" s="3204" t="n"/>
      <c r="C2" s="3205" t="n"/>
      <c r="D2" s="1168" t="n"/>
      <c r="E2" s="1168" t="n"/>
    </row>
    <row r="3" s="3154" customFormat="1" ht="15" customHeight="1">
      <c r="A3" s="2795" t="n"/>
      <c r="B3" s="2795" t="n"/>
      <c r="C3" s="2795" t="n"/>
      <c r="D3" s="1168" t="n"/>
      <c r="E3" s="1168" t="n"/>
    </row>
    <row r="4" s="3154" customFormat="1" ht="15" customHeight="1">
      <c r="A4" s="2797" t="inlineStr">
        <is>
          <t xml:space="preserve">Topic</t>
        </is>
      </c>
      <c r="B4" s="2797" t="inlineStr">
        <is>
          <t xml:space="preserve">Residential (R-3)</t>
        </is>
      </c>
      <c r="C4" s="2797" t="inlineStr">
        <is>
          <t xml:space="preserve">Hotel (R-1 / Commercial)</t>
        </is>
      </c>
      <c r="D4" s="2904" t="n"/>
      <c r="E4" s="1168" t="n"/>
    </row>
    <row r="5" s="3154" customFormat="1" ht="31.5" customHeight="1">
      <c r="A5" s="2799" t="inlineStr">
        <is>
          <t xml:space="preserve">Code basis</t>
        </is>
      </c>
      <c r="B5" s="2800" t="inlineStr">
        <is>
          <t xml:space="preserve">IRC — single/multi-family dwelling</t>
        </is>
      </c>
      <c r="C5" s="2800" t="inlineStr">
        <is>
          <t xml:space="preserve">IBC — commercial/transient lodging</t>
        </is>
      </c>
      <c r="D5" s="2904" t="n"/>
      <c r="E5" s="1168" t="n"/>
    </row>
    <row r="6" s="3154" customFormat="1" ht="31.5" customHeight="1">
      <c r="A6" s="2799" t="inlineStr">
        <is>
          <t xml:space="preserve">Occupancy classification</t>
        </is>
      </c>
      <c r="B6" s="2800" t="inlineStr">
        <is>
          <t xml:space="preserve">R-3 (permanent residential)</t>
        </is>
      </c>
      <c r="C6" s="2800" t="inlineStr">
        <is>
          <t xml:space="preserve">R-1 (transient, &lt;30 days)</t>
        </is>
      </c>
      <c r="D6" s="2904" t="n"/>
      <c r="E6" s="1168" t="n"/>
    </row>
    <row r="7" s="3154" customFormat="1" ht="31.5" customHeight="1">
      <c r="A7" s="2799" t="inlineStr">
        <is>
          <t xml:space="preserve">Fire sprinklers</t>
        </is>
      </c>
      <c r="B7" s="2800" t="inlineStr">
        <is>
          <t xml:space="preserve">NFPA 13R — lighter density, no corridor/closet reqs</t>
        </is>
      </c>
      <c r="C7" s="2800" t="inlineStr">
        <is>
          <t xml:space="preserve">NFPA 13 — full commercial density incl. corridors/BOH</t>
        </is>
      </c>
      <c r="D7" s="2904" t="n"/>
      <c r="E7" s="1168" t="n"/>
    </row>
    <row r="8" s="3154" customFormat="1" ht="31.5" customHeight="1">
      <c r="A8" s="2799" t="inlineStr">
        <is>
          <t xml:space="preserve">Fire alarm</t>
        </is>
      </c>
      <c r="B8" s="2800" t="inlineStr">
        <is>
          <t xml:space="preserve">Typically smokes + CO only</t>
        </is>
      </c>
      <c r="C8" s="2800" t="inlineStr">
        <is>
          <t xml:space="preserve">Addressable panel, smokes in every room, horn/strobe, annunciator</t>
        </is>
      </c>
      <c r="D8" s="2904" t="n"/>
      <c r="E8" s="1168" t="n"/>
    </row>
    <row r="9" s="3154" customFormat="1" ht="31.5" customHeight="1">
      <c r="A9" s="2799" t="inlineStr">
        <is>
          <t xml:space="preserve">Egress &amp; life safety</t>
        </is>
      </c>
      <c r="B9" s="2800" t="inlineStr">
        <is>
          <t xml:space="preserve">Minimal — 1–2 exits per dwelling</t>
        </is>
      </c>
      <c r="C9" s="2800" t="inlineStr">
        <is>
          <t xml:space="preserve">Two exits per floor, rated corridors, emergency lighting, exit signs, pressurized stairs</t>
        </is>
      </c>
      <c r="D9" s="2904" t="n"/>
      <c r="E9" s="1168" t="n"/>
    </row>
    <row r="10" s="3154" customFormat="1" ht="31.5" customHeight="1">
      <c r="A10" s="2799" t="inlineStr">
        <is>
          <t xml:space="preserve">Sound attenuation</t>
        </is>
      </c>
      <c r="B10" s="2800" t="inlineStr">
        <is>
          <t xml:space="preserve">STC ~45 party walls typical</t>
        </is>
      </c>
      <c r="C10" s="2800" t="inlineStr">
        <is>
          <t xml:space="preserve">STC 50+ party walls &amp; STC 50 floor/ceiling (IBC R-1 minimum)</t>
        </is>
      </c>
      <c r="D10" s="2904" t="n"/>
      <c r="E10" s="1168" t="n"/>
    </row>
    <row r="11" s="3154" customFormat="1" ht="31.5" customHeight="1">
      <c r="A11" s="2799" t="inlineStr">
        <is>
          <t xml:space="preserve">Accessibility</t>
        </is>
      </c>
      <c r="B11" s="2800" t="inlineStr">
        <is>
          <t xml:space="preserve">Fair Housing (Type B units) — basic</t>
        </is>
      </c>
      <c r="C11" s="2800" t="inlineStr">
        <is>
          <t xml:space="preserve">ADA Title III — 4–5% mobility-accessible rooms, accessible route, accessible parking, common areas</t>
        </is>
      </c>
      <c r="D11" s="2904" t="n"/>
      <c r="E11" s="1168" t="n"/>
    </row>
    <row r="12" s="3154" customFormat="1" ht="31.5" customHeight="1">
      <c r="A12" s="2799" t="inlineStr">
        <is>
          <t xml:space="preserve">Elevator</t>
        </is>
      </c>
      <c r="B12" s="2800" t="inlineStr">
        <is>
          <t xml:space="preserve">Often not required &lt;4 stories</t>
        </is>
      </c>
      <c r="C12" s="2800" t="inlineStr">
        <is>
          <t xml:space="preserve">Required for any 2+ story hotel (ADA access to upper floors)</t>
        </is>
      </c>
      <c r="D12" s="2904" t="n"/>
      <c r="E12" s="1168" t="n"/>
    </row>
    <row r="13" s="3154" customFormat="1" ht="31.5" customHeight="1">
      <c r="A13" s="2799" t="inlineStr">
        <is>
          <t xml:space="preserve">HVAC</t>
        </is>
      </c>
      <c r="B13" s="2800" t="inlineStr">
        <is>
          <t xml:space="preserve">Central split systems, one thermostat per unit</t>
        </is>
      </c>
      <c r="C13" s="2800" t="inlineStr">
        <is>
          <t xml:space="preserve">PTAC per room, BMS / central control, make-up air at corridors</t>
        </is>
      </c>
      <c r="D13" s="2904" t="n"/>
      <c r="E13" s="1168" t="n"/>
    </row>
    <row r="14" s="3154" customFormat="1" ht="31.5" customHeight="1">
      <c r="A14" s="2799" t="inlineStr">
        <is>
          <t xml:space="preserve">Electrical</t>
        </is>
      </c>
      <c r="B14" s="2800" t="inlineStr">
        <is>
          <t xml:space="preserve">200A residential service</t>
        </is>
      </c>
      <c r="C14" s="2800" t="inlineStr">
        <is>
          <t xml:space="preserve">Commercial service, emergency circuits, often generator or battery backup</t>
        </is>
      </c>
      <c r="D14" s="2904" t="n"/>
      <c r="E14" s="1168" t="n"/>
    </row>
    <row r="15" s="3154" customFormat="1" ht="31.5" customHeight="1">
      <c r="A15" s="2799" t="inlineStr">
        <is>
          <t xml:space="preserve">Plumbing</t>
        </is>
      </c>
      <c r="B15" s="2800" t="inlineStr">
        <is>
          <t xml:space="preserve">Residential fixtures, no backflow</t>
        </is>
      </c>
      <c r="C15" s="2800" t="inlineStr">
        <is>
          <t xml:space="preserve">Commercial-grade, backflow preventers, mixing valves, higher water heater capacity</t>
        </is>
      </c>
      <c r="D15" s="2904" t="n"/>
      <c r="E15" s="1168" t="n"/>
    </row>
    <row r="16" s="3154" customFormat="1" ht="31.5" customHeight="1">
      <c r="A16" s="2799" t="inlineStr">
        <is>
          <t xml:space="preserve">Locks / access</t>
        </is>
      </c>
      <c r="B16" s="2800" t="inlineStr">
        <is>
          <t xml:space="preserve">Keyed deadbolt</t>
        </is>
      </c>
      <c r="C16" s="2800" t="inlineStr">
        <is>
          <t xml:space="preserve">RFID/BLE card locks + front desk server</t>
        </is>
      </c>
      <c r="D16" s="2904" t="n"/>
      <c r="E16" s="1168" t="n"/>
    </row>
    <row r="17" s="3154" customFormat="1" ht="31.5" customHeight="1">
      <c r="A17" s="2799" t="inlineStr">
        <is>
          <t xml:space="preserve">Low-voltage / IT</t>
        </is>
      </c>
      <c r="B17" s="2800" t="inlineStr">
        <is>
          <t xml:space="preserve">Minimal — owner installs WiFi</t>
        </is>
      </c>
      <c r="C17" s="2800" t="inlineStr">
        <is>
          <t xml:space="preserve">Structured cabling to every room, guest WiFi, PMS, POS, CCTV, phone</t>
        </is>
      </c>
      <c r="D17" s="2904" t="n"/>
      <c r="E17" s="1168" t="n"/>
    </row>
    <row r="18" s="3154" customFormat="1" ht="31.5" customHeight="1">
      <c r="A18" s="2799" t="inlineStr">
        <is>
          <t xml:space="preserve">Signage</t>
        </is>
      </c>
      <c r="B18" s="2800" t="inlineStr">
        <is>
          <t xml:space="preserve">House numbers</t>
        </is>
      </c>
      <c r="C18" s="2800" t="inlineStr">
        <is>
          <t xml:space="preserve">Monument sign, illuminated brand, ADA room signs, wayfinding, exit signage</t>
        </is>
      </c>
      <c r="D18" s="2904" t="n"/>
      <c r="E18" s="1168" t="n"/>
    </row>
    <row r="19" s="3154" customFormat="1" ht="31.5" customHeight="1">
      <c r="A19" s="2799" t="inlineStr">
        <is>
          <t xml:space="preserve">Finishes (corridors)</t>
        </is>
      </c>
      <c r="B19" s="2800" t="inlineStr">
        <is>
          <t xml:space="preserve">N/A</t>
        </is>
      </c>
      <c r="C19" s="2800" t="inlineStr">
        <is>
          <t xml:space="preserve">Carpet tile, wall base, chair rail / wall protection, commercial spec</t>
        </is>
      </c>
      <c r="D19" s="2904" t="n"/>
      <c r="E19" s="1168" t="n"/>
    </row>
    <row r="20" s="3154" customFormat="1" ht="31.5" customHeight="1">
      <c r="A20" s="2799" t="inlineStr">
        <is>
          <t xml:space="preserve">BOH spaces</t>
        </is>
      </c>
      <c r="B20" s="2800" t="inlineStr">
        <is>
          <t xml:space="preserve">N/A</t>
        </is>
      </c>
      <c r="C20" s="2800" t="inlineStr">
        <is>
          <t xml:space="preserve">Laundry room, housekeeping storage, linen, office, MDF/IDF</t>
        </is>
      </c>
      <c r="D20" s="2904" t="n"/>
      <c r="E20" s="1168" t="n"/>
    </row>
    <row r="21" s="3154" customFormat="1" ht="31.5" customHeight="1">
      <c r="A21" s="2799" t="inlineStr">
        <is>
          <t xml:space="preserve">Parking</t>
        </is>
      </c>
      <c r="B21" s="2800" t="inlineStr">
        <is>
          <t xml:space="preserve">Driveway / garage</t>
        </is>
      </c>
      <c r="C21" s="2800" t="inlineStr">
        <is>
          <t xml:space="preserve">Striped AC lot, ADA stalls, site lighting, signage, wheel stops</t>
        </is>
      </c>
      <c r="D21" s="2904" t="n"/>
      <c r="E21" s="1168" t="n"/>
    </row>
    <row r="22" s="3154" customFormat="1" ht="31.5" customHeight="1">
      <c r="A22" s="2799" t="inlineStr">
        <is>
          <t xml:space="preserve">Insurance &amp; bonding</t>
        </is>
      </c>
      <c r="B22" s="2800" t="inlineStr">
        <is>
          <t xml:space="preserve">Standard builder's risk</t>
        </is>
      </c>
      <c r="C22" s="2800" t="inlineStr">
        <is>
          <t xml:space="preserve">Higher limits, commercial GL, often payment/performance bonds</t>
        </is>
      </c>
      <c r="D22" s="2904" t="n"/>
      <c r="E22" s="1168" t="n"/>
    </row>
    <row r="23" s="3154" customFormat="1" ht="31.5" customHeight="1">
      <c r="A23" s="2799" t="inlineStr">
        <is>
          <t xml:space="preserve">Permit / review</t>
        </is>
      </c>
      <c r="B23" s="2800" t="inlineStr">
        <is>
          <t xml:space="preserve">Planning + building</t>
        </is>
      </c>
      <c r="C23" s="2800" t="inlineStr">
        <is>
          <t xml:space="preserve">Same + health dept (if F&amp;B), ABC (if liquor), fire marshal, TOT registration</t>
        </is>
      </c>
      <c r="D23" s="2904" t="n"/>
      <c r="E23" s="1168" t="n"/>
    </row>
    <row r="24" s="3154" customFormat="1" ht="31.5" customHeight="1">
      <c r="A24" s="2799" t="inlineStr">
        <is>
          <t xml:space="preserve">Trash</t>
        </is>
      </c>
      <c r="B24" s="2800" t="inlineStr">
        <is>
          <t xml:space="preserve">Residential bins</t>
        </is>
      </c>
      <c r="C24" s="2800" t="inlineStr">
        <is>
          <t xml:space="preserve">Enclosed commercial dumpster with CMU/wood screen per code</t>
        </is>
      </c>
      <c r="D24" s="2904" t="n"/>
      <c r="E24" s="1168" t="n"/>
    </row>
  </sheetData>
  <mergeCells>
    <mergeCell ref="A1:C1"/>
    <mergeCell ref="A2:C2"/>
  </mergeCells>
  <pageMargins left="0.7" right="0.7" top="0.75" bottom="0.75" header="0.3" footer="0.3"/>
</worksheet>
</file>

<file path=xl/worksheets/sheet35.xml><?xml version="1.0" encoding="utf-8"?>
<worksheet xmlns="http://schemas.openxmlformats.org/spreadsheetml/2006/main">
  <sheetViews>
    <sheetView showGridLines="0" workbookViewId="0"/>
  </sheetViews>
  <sheetFormatPr baseColWidth="8" defaultRowHeight="15"/>
  <cols>
    <col min="1" max="1" width="12" style="3154" customWidth="1"/>
    <col min="2" max="2" width="34" style="3154" customWidth="1"/>
    <col min="3" max="3" width="70" style="3154" customWidth="1"/>
    <col min="4" max="4" width="34" style="3154" customWidth="1"/>
    <col min="5" max="5" width="55" style="3154" customWidth="1"/>
    <col min="6" max="6" width="8" style="3154" customWidth="1"/>
    <col min="8" max="8" width="16" style="3154" customWidth="1"/>
    <col min="9" max="9" width="12" style="3154" customWidth="1"/>
    <col min="10" max="10" width="14" style="3154" customWidth="1"/>
    <col min="11" max="11" width="16" style="3154" customWidth="1"/>
    <col min="12" max="12" width="14" style="3154" customWidth="1"/>
    <col min="13" max="13" width="42" style="3154" customWidth="1"/>
    <col min="14" max="14" width="35" style="3154" customWidth="1"/>
  </cols>
  <sheetData>
    <row r="1" s="3154" customFormat="1" ht="13.5" customHeight="1">
      <c r="A1" s="4414" t="inlineStr">
        <is>
          <t xml:space="preserve">SLEEP SPACE — FF&amp;E PROCUREMENT SCHEDULE</t>
        </is>
      </c>
    </row>
    <row r="2" s="3154" customFormat="1" ht="13.5" customHeight="1">
      <c r="A2" s="4415" t="inlineStr">
        <is>
          <t xml:space="preserve">SOURCE SNAPSHOT - active linked 100-key procurement budget is on FFE-FF&amp;E.</t>
        </is>
      </c>
    </row>
    <row r="3" s="3154" customFormat="1" ht="13.5" customHeight="1">
      <c r="A3" s="4416" t="n"/>
      <c r="B3" s="4416" t="n"/>
      <c r="C3" s="4416" t="n"/>
      <c r="D3" s="4416" t="n"/>
      <c r="E3" s="4416" t="n"/>
      <c r="F3" s="4416" t="n"/>
      <c r="G3" s="4416" t="n"/>
      <c r="H3" s="4416" t="n"/>
      <c r="I3" s="4416" t="n"/>
    </row>
    <row r="4" s="3154" customFormat="1" ht="13.5" customHeight="1">
      <c r="A4" s="4417" t="inlineStr">
        <is>
          <t xml:space="preserve">  PROPERTY ASSUMPTIONS</t>
        </is>
      </c>
    </row>
    <row r="5" s="3154" customFormat="1" ht="13.5" customHeight="1">
      <c r="A5" s="4418" t="inlineStr">
        <is>
          <t xml:space="preserve">Parameter</t>
        </is>
      </c>
      <c r="B5" s="4418" t="inlineStr">
        <is>
          <t xml:space="preserve">Count / Value</t>
        </is>
      </c>
      <c r="C5" s="4416" t="n"/>
      <c r="D5" s="4416" t="n"/>
      <c r="E5" s="4416" t="n"/>
      <c r="F5" s="4416" t="n"/>
      <c r="G5" s="4416" t="n"/>
      <c r="H5" s="4416" t="n"/>
      <c r="I5" s="4416" t="n"/>
    </row>
    <row r="6" s="3154" customFormat="1" ht="13.5" customHeight="1">
      <c r="A6" s="4419" t="inlineStr">
        <is>
          <t xml:space="preserve">Non-ADA Guest Rooms</t>
        </is>
      </c>
      <c r="B6" s="4420" t="n">
        <v>69</v>
      </c>
      <c r="C6" s="4416" t="n"/>
      <c r="D6" s="4416" t="n"/>
      <c r="E6" s="4419" t="n"/>
      <c r="F6" s="4416" t="n"/>
      <c r="G6" s="4416" t="n"/>
      <c r="H6" s="4416" t="n"/>
      <c r="I6" s="4416" t="n"/>
    </row>
    <row r="7" s="3154" customFormat="1" ht="13.5" customHeight="1">
      <c r="A7" s="4419" t="inlineStr">
        <is>
          <t xml:space="preserve">ADA Guest Rooms</t>
        </is>
      </c>
      <c r="B7" s="4420" t="n">
        <v>4</v>
      </c>
      <c r="C7" s="4416" t="n"/>
      <c r="D7" s="4416" t="n"/>
      <c r="E7" s="4419" t="n"/>
      <c r="F7" s="4416" t="n"/>
      <c r="G7" s="4416" t="n"/>
      <c r="H7" s="4416" t="n"/>
      <c r="I7" s="4416" t="n"/>
    </row>
    <row r="8" s="3154" customFormat="1" ht="13.5" customHeight="1">
      <c r="A8" s="4419" t="inlineStr">
        <is>
          <t xml:space="preserve">Total Guest Rooms</t>
        </is>
      </c>
      <c r="B8" s="4420" t="n">
        <v>73</v>
      </c>
      <c r="C8" s="4416" t="n"/>
      <c r="D8" s="4416" t="n"/>
      <c r="E8" s="4419" t="n"/>
      <c r="F8" s="4416" t="n"/>
      <c r="G8" s="4416" t="n"/>
      <c r="H8" s="4416" t="n"/>
      <c r="I8" s="4416" t="n"/>
    </row>
    <row r="9" s="3154" customFormat="1" ht="13.5" customHeight="1">
      <c r="A9" s="4419" t="inlineStr">
        <is>
          <t xml:space="preserve">Non-ADA Bathrooms (with shower)</t>
        </is>
      </c>
      <c r="B9" s="4420" t="n">
        <v>13</v>
      </c>
      <c r="C9" s="4416" t="n"/>
      <c r="D9" s="4416" t="n"/>
      <c r="E9" s="4419" t="n"/>
      <c r="F9" s="4416" t="n"/>
      <c r="G9" s="4416" t="n"/>
      <c r="H9" s="4416" t="n"/>
      <c r="I9" s="4416" t="n"/>
    </row>
    <row r="10" s="3154" customFormat="1" ht="13.5" customHeight="1">
      <c r="A10" s="4419" t="inlineStr">
        <is>
          <t xml:space="preserve">ADA Bathrooms (with shower)</t>
        </is>
      </c>
      <c r="B10" s="4420" t="n">
        <v>2</v>
      </c>
      <c r="C10" s="4416" t="n"/>
      <c r="D10" s="4416" t="n"/>
      <c r="E10" s="4419" t="n"/>
      <c r="F10" s="4416" t="n"/>
      <c r="G10" s="4416" t="n"/>
      <c r="H10" s="4416" t="n"/>
      <c r="I10" s="4416" t="n"/>
    </row>
    <row r="11" s="3154" customFormat="1" ht="13.5" customHeight="1">
      <c r="A11" s="4419" t="inlineStr">
        <is>
          <t xml:space="preserve">ADA Single-Stall Bathroom (no shower)</t>
        </is>
      </c>
      <c r="B11" s="4420" t="n">
        <v>0</v>
      </c>
      <c r="C11" s="4416" t="n"/>
      <c r="D11" s="4416" t="n"/>
      <c r="E11" s="4419" t="n"/>
      <c r="F11" s="4416" t="n"/>
      <c r="G11" s="4416" t="n"/>
      <c r="H11" s="4416" t="n"/>
      <c r="I11" s="4416" t="n"/>
    </row>
    <row r="12" s="3154" customFormat="1" ht="13.5" customHeight="1">
      <c r="A12" s="4419" t="inlineStr">
        <is>
          <t xml:space="preserve">Total Full Bathrooms</t>
        </is>
      </c>
      <c r="B12" s="4420" t="n">
        <v>15</v>
      </c>
      <c r="C12" s="4416" t="n"/>
      <c r="D12" s="4416" t="n"/>
      <c r="E12" s="4419" t="n"/>
      <c r="F12" s="4416" t="n"/>
      <c r="G12" s="4416" t="n"/>
      <c r="H12" s="4416" t="n"/>
      <c r="I12" s="4416" t="n"/>
    </row>
    <row r="13" s="3154" customFormat="1" ht="13.5" customHeight="1">
      <c r="A13" s="4419" t="inlineStr">
        <is>
          <t xml:space="preserve">Bed-to-Bath Ratio (target)</t>
        </is>
      </c>
      <c r="B13" s="4420" t="inlineStr">
        <is>
          <t xml:space="preserve">≈ 4.3 : 1</t>
        </is>
      </c>
      <c r="C13" s="4416" t="n"/>
      <c r="D13" s="4416" t="n"/>
      <c r="E13" s="4419" t="n"/>
      <c r="F13" s="4416" t="n"/>
      <c r="G13" s="4416" t="n"/>
      <c r="H13" s="4416" t="n"/>
      <c r="I13" s="4416" t="n"/>
    </row>
    <row r="14" s="3154" customFormat="1" ht="13.5" customHeight="1">
      <c r="A14" s="4416" t="n"/>
      <c r="B14" s="4416" t="n"/>
      <c r="C14" s="4416" t="n"/>
      <c r="D14" s="4416" t="n"/>
      <c r="E14" s="4416" t="n"/>
      <c r="F14" s="4416" t="n"/>
      <c r="G14" s="4416" t="n"/>
      <c r="H14" s="4416" t="n"/>
      <c r="I14" s="4416" t="n"/>
    </row>
    <row r="15" s="3154" customFormat="1" ht="13.5" customHeight="1">
      <c r="A15" s="4421" t="inlineStr">
        <is>
          <t xml:space="preserve">Item Code</t>
        </is>
      </c>
      <c r="B15" s="4421" t="inlineStr">
        <is>
          <t xml:space="preserve">Item Name</t>
        </is>
      </c>
      <c r="C15" s="4421" t="inlineStr">
        <is>
          <t xml:space="preserve">Spec / Description</t>
        </is>
      </c>
      <c r="D15" s="4421" t="inlineStr">
        <is>
          <t xml:space="preserve">Approved Vendor</t>
        </is>
      </c>
      <c r="E15" s="4421" t="inlineStr">
        <is>
          <t xml:space="preserve">Link</t>
        </is>
      </c>
      <c r="F15" s="4421" t="inlineStr">
        <is>
          <t xml:space="preserve">Unit</t>
        </is>
      </c>
      <c r="G15" s="4421" t="inlineStr">
        <is>
          <t xml:space="preserve">Qty</t>
        </is>
      </c>
      <c r="H15" s="4422" t="inlineStr">
        <is>
          <t xml:space="preserve">Price</t>
        </is>
      </c>
      <c r="I15" s="4422" t="inlineStr">
        <is>
          <t xml:space="preserve">Est. Unit $</t>
        </is>
      </c>
      <c r="J15" s="4418" t="inlineStr">
        <is>
          <t xml:space="preserve">Est. Total $</t>
        </is>
      </c>
      <c r="K15" s="4423" t="inlineStr">
        <is>
          <t xml:space="preserve">Vendor Price</t>
        </is>
      </c>
      <c r="L15" s="4423" t="inlineStr">
        <is>
          <t xml:space="preserve">QC Status</t>
        </is>
      </c>
      <c r="M15" s="4423" t="inlineStr">
        <is>
          <t xml:space="preserve">QC Notes</t>
        </is>
      </c>
      <c r="N15" s="4424" t="inlineStr">
        <is>
          <t xml:space="preserve">Tuya Contact (Alibaba)</t>
        </is>
      </c>
      <c r="O15" s="4424" t="inlineStr">
        <is>
          <t xml:space="preserve">Inquiry Sent 2026-04-29</t>
        </is>
      </c>
    </row>
    <row r="16" s="3154" customFormat="1" ht="13.5" customHeight="1">
      <c r="A16" s="4425" t="inlineStr">
        <is>
          <t xml:space="preserve">  GUEST ROOM (GR)  —  53.5 sq ft · Bed + Under-Bed Storage + Fold-Out Table</t>
        </is>
      </c>
      <c r="I16" s="4426" t="n"/>
    </row>
    <row r="17" s="3154" customFormat="1" ht="13.5" customHeight="1">
      <c r="A17" s="4427" t="inlineStr">
        <is>
          <t xml:space="preserve">GR-01</t>
        </is>
      </c>
      <c r="B17" s="4427" t="inlineStr">
        <is>
          <t xml:space="preserve">Bed Frame</t>
        </is>
      </c>
      <c r="C17" s="4427" t="inlineStr">
        <is>
          <t xml:space="preserve">Kainice BD-140 minimalist metal bed frame; melamine board + metal iron feet; KD easy assembly; 168×58×22.5cm packed; 45.4kg</t>
        </is>
      </c>
      <c r="D17" s="4427" t="inlineStr">
        <is>
          <t xml:space="preserve">Kainice Smart Furniture</t>
        </is>
      </c>
      <c r="E17" s="4428" t="inlineStr">
        <is>
          <t xml:space="preserve">https://www.alibaba.com/product-detail/Kainice-Custom-King-Size-Bedroom-Furniture_1601268409385.html</t>
        </is>
      </c>
      <c r="F17" s="4427" t="inlineStr">
        <is>
          <t xml:space="preserve">each</t>
        </is>
      </c>
      <c r="G17" s="4427" t="n">
        <f>$B$8</f>
        <v>73</v>
      </c>
      <c r="H17" s="4419" t="inlineStr">
        <is>
          <t xml:space="preserve">$143–178</t>
        </is>
      </c>
      <c r="I17" s="4429" t="n">
        <v>160.5</v>
      </c>
      <c r="J17" s="4429" t="n">
        <f>G17*I17</f>
        <v>11716.5</v>
      </c>
      <c r="K17" s="4430" t="n">
        <v>178</v>
      </c>
      <c r="L17" s="4431" t="inlineStr">
        <is>
          <t xml:space="preserve">PRICE CHANGED</t>
        </is>
      </c>
      <c r="M17" s="4432" t="inlineStr">
        <is>
          <t xml:space="preserve">Was $160.50; now $178 (50-99 tier), $165 (100-499), $143 (500+). Link LIVE.</t>
        </is>
      </c>
    </row>
    <row r="18" s="3154" customFormat="1" ht="13.5" customHeight="1">
      <c r="A18" s="4427" t="inlineStr">
        <is>
          <t xml:space="preserve">GR-02</t>
        </is>
      </c>
      <c r="B18" s="4427" t="inlineStr">
        <is>
          <t xml:space="preserve">Mattress (Full XL, owner-selected)</t>
        </is>
      </c>
      <c r="C18" s="4427" t="inlineStr">
        <is>
          <t xml:space="preserve">14" hybrid mattress; Full XL size (54×80"); memory foam + pocket spring; fiberglass-free; Oeko-Tex 100; CertiPUR-US; 10 yr warranty; custom branding available</t>
        </is>
      </c>
      <c r="D18" s="4427" t="inlineStr">
        <is>
          <t xml:space="preserve">Guangdong Diglant Furniture Industrial Co.</t>
        </is>
      </c>
      <c r="E18" s="4428" t="inlineStr">
        <is>
          <t xml:space="preserve">https://www.alibaba.com/product-detail/Hybrid-Mattress-14-Inch-Memory-Foam_1601196234502.html</t>
        </is>
      </c>
      <c r="F18" s="4427" t="inlineStr">
        <is>
          <t xml:space="preserve">each</t>
        </is>
      </c>
      <c r="G18" s="4427" t="n">
        <f>$B$8</f>
        <v>73</v>
      </c>
      <c r="H18" s="4419" t="inlineStr">
        <is>
          <t xml:space="preserve">RFQ — not displayed</t>
        </is>
      </c>
      <c r="I18" s="4429" t="n"/>
      <c r="J18" s="4429" t="n"/>
      <c r="K18" s="4430" t="inlineStr">
        <is>
          <t xml:space="preserve">$303–$496</t>
        </is>
      </c>
      <c r="L18" s="4433" t="inlineStr">
        <is>
          <t xml:space="preserve">RFQ NEEDED</t>
        </is>
      </c>
      <c r="M18" s="4432" t="inlineStr">
        <is>
          <t xml:space="preserve">Updated to Full XL size (54×80"). Need RFQ for Full XL pricing from Diglant. Link LIVE. Updated 4/25.</t>
        </is>
      </c>
    </row>
    <row r="19" s="3154" customFormat="1" ht="13.5" customHeight="1">
      <c r="A19" s="4427" t="inlineStr">
        <is>
          <t xml:space="preserve">GR-03</t>
        </is>
      </c>
      <c r="B19" s="4427" t="inlineStr">
        <is>
          <t xml:space="preserve">Mattress Protector</t>
        </is>
      </c>
      <c r="C19" s="4427" t="inlineStr">
        <is>
          <t xml:space="preserve">100% cotton terry fabric waterproof mattress protector; hypoallergenic; anti-bacteria; anti dust mite; 200TC; 200gsm microfiber fill; fitted 9-14 inches</t>
        </is>
      </c>
      <c r="D19" s="4427" t="inlineStr">
        <is>
          <t xml:space="preserve">Shanghai General Textile</t>
        </is>
      </c>
      <c r="E19" s="4428" t="inlineStr">
        <is>
          <t xml:space="preserve">https://www.alibaba.com/product-detail/100-Cotton-Terry-Fabric-Synthetic-Layer_60725832424.html</t>
        </is>
      </c>
      <c r="F19" s="4427" t="inlineStr">
        <is>
          <t xml:space="preserve">each</t>
        </is>
      </c>
      <c r="G19" s="4427" t="n">
        <f>$B$8</f>
        <v>73</v>
      </c>
      <c r="H19" s="4419" t="inlineStr">
        <is>
          <t xml:space="preserve">$7.50–8.20</t>
        </is>
      </c>
      <c r="I19" s="4429" t="n">
        <v>7.85</v>
      </c>
      <c r="J19" s="4429" t="n">
        <f>G19*I19</f>
        <v>573.05</v>
      </c>
      <c r="K19" s="4430" t="n">
        <v>7.85</v>
      </c>
      <c r="L19" s="4431" t="inlineStr">
        <is>
          <t xml:space="preserve">MATCH</t>
        </is>
      </c>
      <c r="M19" s="4432" t="inlineStr">
        <is>
          <t xml:space="preserve">Alibaba $7.50-$8.20; sheet $7.85 within range. Link LIVE. Verified 4/25.</t>
        </is>
      </c>
    </row>
    <row r="20" s="3154" customFormat="1" ht="13.5" customHeight="1">
      <c r="A20" s="4427" t="inlineStr">
        <is>
          <t xml:space="preserve">GR-04</t>
        </is>
      </c>
      <c r="B20" s="4427" t="inlineStr">
        <is>
          <t xml:space="preserve">Cap Sheet (Oversized Flat)</t>
        </is>
      </c>
      <c r="C20" s="4427" t="inlineStr">
        <is>
          <t xml:space="preserve">oversized percale flat sheet; 100% cotton 200TC; Full XL oversized (70×108"); tucks under mattress on all sides; white; 3 sets per bed</t>
        </is>
      </c>
      <c r="D20" s="4427" t="inlineStr">
        <is>
          <t xml:space="preserve">Shanghai General Textile</t>
        </is>
      </c>
      <c r="E20" s="4428" t="inlineStr">
        <is>
          <t xml:space="preserve">https://www.alibaba.com/showroom/cotton-percale-flat-sheet.html</t>
        </is>
      </c>
      <c r="F20" s="4427" t="inlineStr">
        <is>
          <t xml:space="preserve">each</t>
        </is>
      </c>
      <c r="G20" s="4427" t="n">
        <f>$B$8*3</f>
        <v>219</v>
      </c>
      <c r="H20" s="4419" t="inlineStr">
        <is>
          <t xml:space="preserve">$2.90–6.00</t>
        </is>
      </c>
      <c r="I20" s="4429" t="n">
        <v>4.5</v>
      </c>
      <c r="J20" s="4429" t="n">
        <f>G20*I20</f>
        <v>985.5</v>
      </c>
      <c r="K20" s="4430" t="inlineStr">
        <is>
          <t xml:space="preserve">$2.90–6.00</t>
        </is>
      </c>
      <c r="L20" s="4431" t="inlineStr">
        <is>
          <t xml:space="preserve">PRICE CHANGED</t>
        </is>
      </c>
      <c r="M20" s="4432" t="inlineStr">
        <is>
          <t xml:space="preserve">Was $16; now $16.50 (20-199 tier), $16 (200-999). Link LIVE.</t>
        </is>
      </c>
    </row>
    <row r="21" s="3154" customFormat="1" ht="13.5" customHeight="1">
      <c r="A21" s="4434" t="inlineStr">
        <is>
          <t xml:space="preserve">GR-04A</t>
        </is>
      </c>
      <c r="B21" s="4434" t="inlineStr">
        <is>
          <t xml:space="preserve">Duvet Insert</t>
        </is>
      </c>
      <c r="C21" s="4434" t="inlineStr">
        <is>
          <t xml:space="preserve">Hotel white quilted 300GSM microfiber comforter; all-season medium warmth; Full XL size (80×90"); machine washable; 2 per bed (1 in use + 1 in laundry)</t>
        </is>
      </c>
      <c r="D21" s="4434" t="inlineStr">
        <is>
          <t xml:space="preserve">Shanghai General Textile</t>
        </is>
      </c>
      <c r="E21" s="4434" t="inlineStr">
        <is>
          <t xml:space="preserve">https://www.alibaba.com/product-detail/Hotel-White-quilted-300GSM-Microfiber-Comforter_1601141442071.html</t>
        </is>
      </c>
      <c r="F21" s="4434" t="inlineStr">
        <is>
          <t xml:space="preserve">each</t>
        </is>
      </c>
      <c r="G21" s="4434" t="n">
        <f>$B$8*2</f>
        <v>146</v>
      </c>
      <c r="H21" s="4434" t="inlineStr">
        <is>
          <t xml:space="preserve">$4.39–4.99</t>
        </is>
      </c>
      <c r="I21" s="4434" t="n">
        <v>4.69</v>
      </c>
      <c r="J21" s="4434" t="n">
        <f>G21*I21</f>
        <v>684.74</v>
      </c>
      <c r="K21" s="4434" t="inlineStr">
        <is>
          <t xml:space="preserve">$4.39–4.99</t>
        </is>
      </c>
    </row>
    <row r="22" s="3154" customFormat="1" ht="13.5" customHeight="1">
      <c r="A22" s="4434" t="inlineStr">
        <is>
          <t xml:space="preserve">GR-04B</t>
        </is>
      </c>
      <c r="B22" s="4434" t="inlineStr">
        <is>
          <t xml:space="preserve">Duvet Cover</t>
        </is>
      </c>
      <c r="C22" s="4434" t="inlineStr">
        <is>
          <t xml:space="preserve">Hotel white cotton sateen duvet cover; 300TC; Full XL size (80×90"); button closure; 3 per bed (laundry rotation); white</t>
        </is>
      </c>
      <c r="D22" s="4434" t="inlineStr">
        <is>
          <t xml:space="preserve">Shanghai General Textile</t>
        </is>
      </c>
      <c r="E22" s="4434" t="inlineStr">
        <is>
          <t xml:space="preserve">https://www.alibaba.com/product-detail/Wholesale-Hotel-Collection-White-Cotton-Bedding_1600919620687.html</t>
        </is>
      </c>
      <c r="F22" s="4434" t="inlineStr">
        <is>
          <t xml:space="preserve">each</t>
        </is>
      </c>
      <c r="G22" s="4434" t="n">
        <f>$B$8*3</f>
        <v>219</v>
      </c>
      <c r="H22" s="4434" t="inlineStr">
        <is>
          <t xml:space="preserve">$8.50–12.00</t>
        </is>
      </c>
      <c r="I22" s="4434" t="n">
        <v>10.25</v>
      </c>
      <c r="J22" s="4434" t="n">
        <f>G22*I22</f>
        <v>2244.75</v>
      </c>
      <c r="K22" s="4434" t="inlineStr">
        <is>
          <t xml:space="preserve">$8.50–12.00</t>
        </is>
      </c>
    </row>
    <row r="23" s="3154" customFormat="1" ht="13.5" customHeight="1">
      <c r="A23" s="4419" t="inlineStr">
        <is>
          <t xml:space="preserve">GR-04C</t>
        </is>
      </c>
      <c r="B23" s="4419" t="inlineStr">
        <is>
          <t xml:space="preserve">Bed Pillow</t>
        </is>
      </c>
      <c r="C23" s="4419" t="inlineStr">
        <is>
          <t xml:space="preserve">5-star wholesale down pillow; 100% cotton 200TC cover; goose down + feather fill; rectangle; custom logo; 2 per room</t>
        </is>
      </c>
      <c r="D23" s="4419" t="inlineStr">
        <is>
          <t xml:space="preserve">Shanghai General Textile</t>
        </is>
      </c>
      <c r="E23" s="4435" t="inlineStr">
        <is>
          <t xml:space="preserve">https://www.alibaba.com/product-detail/Quality-5-Star-Wholesale-Down-Pillow_60765561439.html</t>
        </is>
      </c>
      <c r="F23" s="4419" t="inlineStr">
        <is>
          <t xml:space="preserve">each</t>
        </is>
      </c>
      <c r="G23" s="4419" t="n">
        <f>$B$8*2</f>
        <v>146</v>
      </c>
      <c r="H23" s="4419" t="inlineStr">
        <is>
          <t xml:space="preserve">$27.80–30.80</t>
        </is>
      </c>
      <c r="I23" s="4429" t="n">
        <v>29.3</v>
      </c>
      <c r="J23" s="4429" t="n">
        <f>G23*I23</f>
        <v>4277.8</v>
      </c>
      <c r="K23" s="4430" t="n">
        <v>30.8</v>
      </c>
      <c r="L23" s="4431" t="inlineStr">
        <is>
          <t xml:space="preserve">PRICE CHANGED</t>
        </is>
      </c>
      <c r="M23" s="4432" t="inlineStr">
        <is>
          <t xml:space="preserve">Was $29.30; now $30.80 (50-499 tier), $27.80 (500+). Link LIVE.</t>
        </is>
      </c>
    </row>
    <row r="24" s="3154" customFormat="1" ht="13.5" customHeight="1">
      <c r="A24" s="4436" t="inlineStr">
        <is>
          <t xml:space="preserve">GR-05</t>
        </is>
      </c>
      <c r="B24" s="4436" t="inlineStr">
        <is>
          <t xml:space="preserve">Smart Door Lock</t>
        </is>
      </c>
      <c r="C24" s="4436" t="inlineStr">
        <is>
          <t xml:space="preserve">Tediton D4 waterproof digital smart hotel door lock; stainless steel + aluminium alloy; Tuya WiFi; RFID card + password + fingerprint + key + app; Grade B cylinder; IP65; CE/FCC certified</t>
        </is>
      </c>
      <c r="D24" s="4436" t="inlineStr">
        <is>
          <t xml:space="preserve">Dongguan Tediton Intelligent Technology</t>
        </is>
      </c>
      <c r="E24" s="4437" t="inlineStr">
        <is>
          <t xml:space="preserve">https://www.alibaba.com/product-detail/Tediton-Waterproof-Digital-Stainless-Steel-Tuya_1601044821385.html</t>
        </is>
      </c>
      <c r="F24" s="4436" t="inlineStr">
        <is>
          <t xml:space="preserve">each</t>
        </is>
      </c>
      <c r="G24" s="4436" t="n">
        <f>$B$8</f>
        <v>73</v>
      </c>
      <c r="H24" s="4438" t="inlineStr">
        <is>
          <t xml:space="preserve">$61.02–72.32</t>
        </is>
      </c>
      <c r="I24" s="4439" t="n">
        <v>66.67</v>
      </c>
      <c r="J24" s="4439" t="n">
        <f>G24*I24</f>
        <v>4866.91</v>
      </c>
      <c r="K24" s="4440" t="n">
        <v>72.31999999999999</v>
      </c>
      <c r="L24" s="4441" t="inlineStr">
        <is>
          <t xml:space="preserve">PRICE CHANGED</t>
        </is>
      </c>
      <c r="M24" s="4442" t="inlineStr">
        <is>
          <t xml:space="preserve">Was $66.67; now $72.32 (2-99 tier), $70.06 (100-199). Link LIVE.</t>
        </is>
      </c>
      <c r="N24" s="4434" t="inlineStr">
        <is>
          <t xml:space="preserve">Daniel Huang</t>
        </is>
      </c>
      <c r="O24" s="4434" t="inlineStr">
        <is>
          <t xml:space="preserve">Sent 20:12; replied</t>
        </is>
      </c>
    </row>
    <row r="25" s="3154" customFormat="1" ht="13.5" customHeight="1">
      <c r="A25" s="4436" t="inlineStr">
        <is>
          <t xml:space="preserve">GR-06</t>
        </is>
      </c>
      <c r="B25" s="4436" t="inlineStr">
        <is>
          <t xml:space="preserve">Electric Roller Blinds (Tuya)</t>
        </is>
      </c>
      <c r="C25" s="4436" t="inlineStr">
        <is>
          <t xml:space="preserve">Double-shade Tuya OEM motorized blackout honeycomb/cellular blinds; cordless no-drill; rechargeable lithium battery; WiFi/Alexa/Google; FCC/CE/IC certified; custom size &amp; color</t>
        </is>
      </c>
      <c r="D25" s="4436" t="inlineStr">
        <is>
          <t xml:space="preserve">Weifang Teddy Bear Home Co. (Veyoro)</t>
        </is>
      </c>
      <c r="E25" s="4437" t="inlineStr">
        <is>
          <t xml:space="preserve">https://www.alibaba.com/product-detail/Tuya-Zigbee-25mm-Tubular-Motor-for_1601102494165.html</t>
        </is>
      </c>
      <c r="F25" s="4436" t="inlineStr">
        <is>
          <t xml:space="preserve">each</t>
        </is>
      </c>
      <c r="G25" s="4436" t="n">
        <f>$B$8</f>
        <v>73</v>
      </c>
      <c r="H25" s="4438" t="inlineStr">
        <is>
          <t xml:space="preserve">$65 (1-49), $45 (50-99), $35 (100+)</t>
        </is>
      </c>
      <c r="I25" s="4439" t="n">
        <v>45</v>
      </c>
      <c r="J25" s="4439" t="n">
        <f>G25*I25</f>
        <v>3285</v>
      </c>
      <c r="K25" s="4440" t="n">
        <v>45</v>
      </c>
      <c r="L25" s="4441" t="inlineStr">
        <is>
          <t xml:space="preserve">PRICE CORRECTED</t>
        </is>
      </c>
      <c r="M25" s="4442" t="inlineStr">
        <is>
          <t xml:space="preserve">Was $12.99 (incorrect). Alibaba shows $65 (1-49), $45 (50-99), $35 (100+). At 91 units = $45. Corrected 4/25.</t>
        </is>
      </c>
      <c r="N25" s="4434" t="inlineStr">
        <is>
          <t xml:space="preserve">Aurora Mao (Guangzhou Autorail)</t>
        </is>
      </c>
      <c r="O25" s="4434" t="inlineStr">
        <is>
          <t xml:space="preserve">Sent 20:17; replied "hi dear"</t>
        </is>
      </c>
    </row>
    <row r="26" s="3154" customFormat="1" ht="13.5" customHeight="1">
      <c r="A26" s="4436" t="inlineStr">
        <is>
          <t xml:space="preserve">GR-07</t>
        </is>
      </c>
      <c r="B26" s="4436" t="inlineStr">
        <is>
          <t xml:space="preserve">LED Ceiling Light</t>
        </is>
      </c>
      <c r="C26" s="4436" t="inlineStr">
        <is>
          <t xml:space="preserve">40W ultra-bright LED recessed spotlight; aluminum body; 3000K/3500K/4000K selectable; CRI 97; 15°/24°/38° beam angle; IP20; 50,000hr lifespan; CCC/CE/EMC/IEC 60598 certified</t>
        </is>
      </c>
      <c r="D26" s="4436" t="inlineStr">
        <is>
          <t xml:space="preserve">Zhongshan Zanqi Lighting Co. (PULUOTI)</t>
        </is>
      </c>
      <c r="E26" s="4437" t="inlineStr">
        <is>
          <t xml:space="preserve">https://www.alibaba.com/product-detail/40W-High-quality-Ultra-bright-LED_1601624009865.html</t>
        </is>
      </c>
      <c r="F26" s="4436" t="inlineStr">
        <is>
          <t xml:space="preserve">each</t>
        </is>
      </c>
      <c r="G26" s="4436" t="n">
        <f>$B$8</f>
        <v>73</v>
      </c>
      <c r="H26" s="4438" t="inlineStr">
        <is>
          <t xml:space="preserve">$14.09–15.17</t>
        </is>
      </c>
      <c r="I26" s="4439" t="n">
        <v>14.63</v>
      </c>
      <c r="J26" s="4439" t="n">
        <f>G26*I26</f>
        <v>1067.99</v>
      </c>
      <c r="K26" s="4440" t="n">
        <v>15.17</v>
      </c>
      <c r="L26" s="4441" t="inlineStr">
        <is>
          <t xml:space="preserve">PRICE CHANGED</t>
        </is>
      </c>
      <c r="M26" s="4442" t="inlineStr">
        <is>
          <t xml:space="preserve">Was $14.63; now $15.17 (1-200 tier), $14.63 (201-500). Link LIVE.</t>
        </is>
      </c>
      <c r="N26" s="4434" t="inlineStr">
        <is>
          <t xml:space="preserve">Shayna Zheng (Zhongshan Zanqi)</t>
        </is>
      </c>
      <c r="O26" s="4434" t="inlineStr">
        <is>
          <t xml:space="preserve">Sent 20:18</t>
        </is>
      </c>
    </row>
    <row r="27" s="3154" customFormat="1" ht="13.5" customHeight="1">
      <c r="A27" s="4427" t="inlineStr">
        <is>
          <t xml:space="preserve">GR-08</t>
        </is>
      </c>
      <c r="B27" s="4427" t="inlineStr">
        <is>
          <t xml:space="preserve">In-Room Charger &amp; Bed Light</t>
        </is>
      </c>
      <c r="C27" s="4427" t="inlineStr">
        <is>
          <t xml:space="preserve">Angle-adjustable 3W reading spotlight + 7W ambient light + Qi wireless charger + USB-A fast charge; wall-mount bedside; 90° fold / 360° rotation; AC 85-265V; 50,000hr; iron + glass body</t>
        </is>
      </c>
      <c r="D27" s="4427" t="inlineStr">
        <is>
          <t xml:space="preserve">Guangzhou Yaoliang Lighting Co.</t>
        </is>
      </c>
      <c r="E27" s="4428" t="inlineStr">
        <is>
          <t xml:space="preserve">https://www.alibaba.com/product-detail/Angle-Adjustable-Spotlight-and-Wireless-Charger_1601591987253.html</t>
        </is>
      </c>
      <c r="F27" s="4427" t="inlineStr">
        <is>
          <t xml:space="preserve">each</t>
        </is>
      </c>
      <c r="G27" s="4427" t="n">
        <f>$B$8</f>
        <v>73</v>
      </c>
      <c r="H27" s="4419" t="inlineStr">
        <is>
          <t xml:space="preserve">$21.50–26</t>
        </is>
      </c>
      <c r="I27" s="4429" t="n">
        <v>23.75</v>
      </c>
      <c r="J27" s="4429" t="n">
        <f>G27*I27</f>
        <v>1733.75</v>
      </c>
      <c r="K27" s="4430" t="n">
        <v>23.75</v>
      </c>
      <c r="L27" s="4431" t="inlineStr">
        <is>
          <t xml:space="preserve">MATCH</t>
        </is>
      </c>
      <c r="M27" s="4432" t="inlineStr">
        <is>
          <t xml:space="preserve">Alibaba $21.50-$26; sheet $23.75 within range. Link LIVE. Verified 4/25.</t>
        </is>
      </c>
    </row>
    <row r="28" s="3154" customFormat="1" ht="13.5" customHeight="1">
      <c r="A28" s="4436" t="inlineStr">
        <is>
          <t xml:space="preserve">GR-11</t>
        </is>
      </c>
      <c r="B28" s="4436" t="inlineStr">
        <is>
          <t xml:space="preserve">In-Room Safe (Tuya Smart)</t>
        </is>
      </c>
      <c r="C28" s="4436" t="inlineStr">
        <is>
          <t xml:space="preserve">Electronic digital steel fireproof; built-in wall safe; hotel/home/office; REQUEST TUYA SMART CONNECTION VERSION</t>
        </is>
      </c>
      <c r="D28" s="4436" t="inlineStr">
        <is>
          <t xml:space="preserve">Alibaba (Lifong Brand)</t>
        </is>
      </c>
      <c r="E28" s="4437" t="inlineStr">
        <is>
          <t xml:space="preserve">https://www.alibaba.com/product-detail/Electronic-Digital-Steel-Fireproof-Secret-Hidden_1601123087520.html</t>
        </is>
      </c>
      <c r="F28" s="4436" t="inlineStr">
        <is>
          <t xml:space="preserve">each</t>
        </is>
      </c>
      <c r="G28" s="4436" t="n">
        <f>$B$8</f>
        <v>73</v>
      </c>
      <c r="H28" s="4438" t="inlineStr">
        <is>
          <t xml:space="preserve">$62 (50-199), $60 (200-1999), $58 (2K+)</t>
        </is>
      </c>
      <c r="I28" s="4439" t="n">
        <v>55</v>
      </c>
      <c r="J28" s="4439" t="n">
        <f>G28*I28</f>
        <v>4015</v>
      </c>
      <c r="K28" s="4440" t="n">
        <v>55</v>
      </c>
      <c r="L28" s="4441" t="inlineStr">
        <is>
          <t xml:space="preserve">MATCH</t>
        </is>
      </c>
      <c r="M28" s="4442" t="inlineStr">
        <is>
          <t xml:space="preserve">Alibaba $55 (100+ pcs), $60 (50-99). Link LIVE. Verified 4/28. RFQ: enquire for Tuya smart connection version.</t>
        </is>
      </c>
      <c r="N28" s="4434" t="inlineStr">
        <is>
          <t xml:space="preserve">Grace Chen (Ningbo Lifang)</t>
        </is>
      </c>
      <c r="O28" s="4434" t="inlineStr">
        <is>
          <t xml:space="preserve">Sent 20:20</t>
        </is>
      </c>
    </row>
    <row r="29" s="3154" customFormat="1" ht="13.5" customHeight="1">
      <c r="A29" s="4427" t="inlineStr">
        <is>
          <t xml:space="preserve">GR-13</t>
        </is>
      </c>
      <c r="B29" s="4427" t="inlineStr">
        <is>
          <t xml:space="preserve">Door Handle</t>
        </is>
      </c>
      <c r="C29" s="4427" t="inlineStr">
        <is>
          <t xml:space="preserve">Koppalive 901-A solid brass square lever door handle; mortise interior lock set; US standard; contemporary/modern; privacy/passage/invisible lock options; 72x55mm lock body; fits 30-50mm doors; 1-year warranty</t>
        </is>
      </c>
      <c r="D29" s="4427" t="inlineStr">
        <is>
          <t xml:space="preserve">Koppalive (Zhejiang Zhangshi Hardware)</t>
        </is>
      </c>
      <c r="E29" s="4428" t="inlineStr">
        <is>
          <t xml:space="preserve">https://www.alibaba.com/product-detail/Koppalive-Door-Hardware-Square-Solid-Brass_62313844810.html</t>
        </is>
      </c>
      <c r="F29" s="4427" t="inlineStr">
        <is>
          <t xml:space="preserve">each</t>
        </is>
      </c>
      <c r="G29" s="4427" t="n">
        <f>$B$8</f>
        <v>73</v>
      </c>
      <c r="H29" s="4419" t="inlineStr">
        <is>
          <t xml:space="preserve">$40–45</t>
        </is>
      </c>
      <c r="I29" s="4429" t="n">
        <v>42.5</v>
      </c>
      <c r="J29" s="4429" t="n">
        <f>G29*I29</f>
        <v>3102.5</v>
      </c>
      <c r="K29" s="4430" t="n">
        <v>42.5</v>
      </c>
      <c r="L29" s="4431" t="inlineStr">
        <is>
          <t xml:space="preserve">MATCH</t>
        </is>
      </c>
      <c r="M29" s="4432" t="inlineStr">
        <is>
          <t xml:space="preserve">Alibaba $40-$45; sheet $42.50 within range. Link LIVE. Verified 4/25.</t>
        </is>
      </c>
    </row>
    <row r="30" s="3154" customFormat="1" ht="13.5" customHeight="1">
      <c r="A30" s="4419" t="inlineStr">
        <is>
          <t xml:space="preserve">GR-13A</t>
        </is>
      </c>
      <c r="B30" s="4419" t="inlineStr">
        <is>
          <t xml:space="preserve">Bedroom Door</t>
        </is>
      </c>
      <c r="C30" s="4419" t="inlineStr">
        <is>
          <t xml:space="preserve">JBD commercial grade fire rated solid wood door; 60/90/120 min; intumescent strip + smoke barrier; UL listed; CE certified; prehung; modern finish; 5-year warranty; GC installed; 2'6" wide (non-ADA) / 3' wide (ADA)</t>
        </is>
      </c>
      <c r="D30" s="4419" t="inlineStr">
        <is>
          <t xml:space="preserve">Foshan JBD Home Building Material</t>
        </is>
      </c>
      <c r="E30" s="4435" t="inlineStr">
        <is>
          <t xml:space="preserve">https://www.alibaba.com/product-detail/Commercial-Grade-60-90-120-Minute_1601698199523.html</t>
        </is>
      </c>
      <c r="F30" s="4419" t="inlineStr">
        <is>
          <t xml:space="preserve">ea</t>
        </is>
      </c>
      <c r="G30" s="4419" t="n">
        <f>$B$8</f>
        <v>73</v>
      </c>
      <c r="H30" s="4419" t="inlineStr">
        <is>
          <t xml:space="preserve">$108–128</t>
        </is>
      </c>
      <c r="I30" s="4429" t="n">
        <v>118</v>
      </c>
      <c r="J30" s="4429" t="n">
        <f>G30*I30</f>
        <v>8614</v>
      </c>
      <c r="K30" s="4430" t="n">
        <v>118</v>
      </c>
      <c r="L30" s="4431" t="inlineStr">
        <is>
          <t xml:space="preserve">MATCH</t>
        </is>
      </c>
      <c r="M30" s="4432" t="inlineStr">
        <is>
          <t xml:space="preserve">Alibaba $128 (2-49), $118 (50-99); sheet $118 matches. Link LIVE. Verified 4/25.</t>
        </is>
      </c>
    </row>
    <row r="31" s="3154" customFormat="1" ht="13.5" customHeight="1">
      <c r="A31" s="4427" t="inlineStr">
        <is>
          <t xml:space="preserve">GR-14</t>
        </is>
      </c>
      <c r="B31" s="4427" t="inlineStr">
        <is>
          <t xml:space="preserve">Carpet Tiles</t>
        </is>
      </c>
      <c r="C31" s="4427" t="inlineStr">
        <is>
          <t xml:space="preserve">50×50cm PVC carpet tiles; loop pile; non-slip; decorative; tufted woven; office/hotel floor tile; padding included</t>
        </is>
      </c>
      <c r="D31" s="4427" t="inlineStr">
        <is>
          <t xml:space="preserve">Shanghai Fairmont Industries</t>
        </is>
      </c>
      <c r="E31" s="4428" t="inlineStr">
        <is>
          <t xml:space="preserve">https://www.alibaba.com/product-detail/Colorful-50x50-Square-PVC-Carpet-Tiles_1601756668064.html</t>
        </is>
      </c>
      <c r="F31" s="4427" t="inlineStr">
        <is>
          <t xml:space="preserve">tile</t>
        </is>
      </c>
      <c r="G31" s="4427" t="n">
        <f>ROUND($B$8*34,0)</f>
        <v>2482</v>
      </c>
      <c r="H31" s="4419" t="inlineStr">
        <is>
          <t xml:space="preserve">$10 (1-199), $4 (200-4999), $3 (5K-9999), $2.50 (10K+)</t>
        </is>
      </c>
      <c r="I31" s="4429" t="n">
        <v>4</v>
      </c>
      <c r="J31" s="4429" t="n">
        <f>G31*I31</f>
        <v>9928</v>
      </c>
      <c r="K31" s="4430" t="n">
        <v>4</v>
      </c>
      <c r="L31" s="4443" t="inlineStr">
        <is>
          <t xml:space="preserve">MATCH</t>
        </is>
      </c>
      <c r="M31" s="4432" t="inlineStr">
        <is>
          <t xml:space="preserve">New link. $10 (1-199), $4 (200-4999), $3 (5K+), $2.50 (10K+). At 3,094 tiles = $4. Padding included with tiles. Verified 4/25.</t>
        </is>
      </c>
    </row>
    <row r="32" s="3154" customFormat="1" ht="13.5" customHeight="1">
      <c r="A32" s="4427" t="inlineStr">
        <is>
          <t xml:space="preserve">GR-14A</t>
        </is>
      </c>
      <c r="B32" s="4427" t="inlineStr">
        <is>
          <t xml:space="preserve">Carpet Padding</t>
        </is>
      </c>
      <c r="C32" s="4427" t="inlineStr">
        <is>
          <t xml:space="preserve">32 oz Synthetic Hair/Jute; 3/8" thick; must meet DOC-FF-1-70 + ASTM-E-84 flammability; NOTE: included with carpet purchase</t>
        </is>
      </c>
      <c r="D32" s="4427" t="inlineStr">
        <is>
          <t xml:space="preserve">Shanghai Fairmont Industries</t>
        </is>
      </c>
      <c r="E32" s="4428" t="inlineStr">
        <is>
          <t xml:space="preserve">https://www.alibaba.com/showroom/carpet-padding.html</t>
        </is>
      </c>
      <c r="F32" s="4427" t="inlineStr">
        <is>
          <t xml:space="preserve">tile</t>
        </is>
      </c>
      <c r="G32" s="4427" t="n">
        <v>0</v>
      </c>
      <c r="H32" s="4419" t="n"/>
      <c r="I32" s="4429" t="n">
        <v>0</v>
      </c>
      <c r="J32" s="4419" t="n"/>
      <c r="K32" s="4430" t="inlineStr">
        <is>
          <t xml:space="preserve">—</t>
        </is>
      </c>
      <c r="L32" s="4444" t="inlineStr">
        <is>
          <t xml:space="preserve">REMOVED</t>
        </is>
      </c>
      <c r="M32" s="4432" t="inlineStr">
        <is>
          <t xml:space="preserve">No separate padding needed — included with new carpet tiles (PVC-backed). Removed 4/25.</t>
        </is>
      </c>
    </row>
    <row r="33" s="3154" customFormat="1" ht="13.5" customHeight="1">
      <c r="A33" s="4445" t="inlineStr">
        <is>
          <t xml:space="preserve">GR-12 / ME-12</t>
        </is>
      </c>
      <c r="B33" s="4445" t="inlineStr">
        <is>
          <t xml:space="preserve">Baseboard (Guest Rooms + Common Areas)</t>
        </is>
      </c>
      <c r="C33" s="4445" t="inlineStr">
        <is>
          <t xml:space="preserve">PVC self-adhesive flexible vinyl wall base skirting; 4″ or 6″; waterproof; hotel-grade; self-stick; custom color; guest rooms + corridors + lobby; installed by GC trim carpenter</t>
        </is>
      </c>
      <c r="D33" s="4445" t="inlineStr">
        <is>
          <t xml:space="preserve">Tongxiang Guangsheng Plastic Industry Co.</t>
        </is>
      </c>
      <c r="E33" s="4446" t="inlineStr">
        <is>
          <t xml:space="preserve">https://www.alibaba.com/product-detail/PVC-Self-adhesive-Flexible-Skirting-4_1601266474410.html</t>
        </is>
      </c>
      <c r="F33" s="4445" t="inlineStr">
        <is>
          <t xml:space="preserve">pc</t>
        </is>
      </c>
      <c r="G33" s="4447" t="n">
        <f>ROUND($B$8*33,0)</f>
        <v>2409</v>
      </c>
      <c r="H33" s="4419" t="inlineStr">
        <is>
          <t xml:space="preserve">$0.10–0.80</t>
        </is>
      </c>
      <c r="I33" s="4429" t="n">
        <v>0.45</v>
      </c>
      <c r="J33" s="4448" t="n">
        <f>G33*I33</f>
        <v>1084.05</v>
      </c>
      <c r="K33" s="4430" t="n">
        <v>0.45</v>
      </c>
      <c r="L33" s="4431" t="inlineStr">
        <is>
          <t xml:space="preserve">MATCH</t>
        </is>
      </c>
      <c r="M33" s="4432" t="inlineStr">
        <is>
          <t xml:space="preserve">Alibaba $0.10-$0.80; sheet $0.45 within range. Link LIVE. Verified 4/25.</t>
        </is>
      </c>
    </row>
    <row r="34" s="3154" customFormat="1" ht="13.5" customHeight="1">
      <c r="A34" s="4427" t="inlineStr">
        <is>
          <t xml:space="preserve">GR-16</t>
        </is>
      </c>
      <c r="B34" s="4427" t="inlineStr">
        <is>
          <t xml:space="preserve">Clothes Hangers (in-room set)</t>
        </is>
      </c>
      <c r="C34" s="4427" t="inlineStr">
        <is>
          <t xml:space="preserve">Black Toga anti-theft hotel hangers; wall-mount Toga bar + 6× hangers per room</t>
        </is>
      </c>
      <c r="D34" s="4427" t="inlineStr">
        <is>
          <t xml:space="preserve">Toga Hanger</t>
        </is>
      </c>
      <c r="E34" s="4428" t="inlineStr">
        <is>
          <t xml:space="preserve">https://www.togahanger.com/</t>
        </is>
      </c>
      <c r="F34" s="4427" t="inlineStr">
        <is>
          <t xml:space="preserve">set</t>
        </is>
      </c>
      <c r="G34" s="4427" t="n">
        <f>$B$8</f>
        <v>73</v>
      </c>
      <c r="H34" s="4419" t="inlineStr">
        <is>
          <t xml:space="preserve">$10</t>
        </is>
      </c>
      <c r="I34" s="4429" t="n">
        <v>10</v>
      </c>
      <c r="J34" s="4429" t="n">
        <f>G34*I34</f>
        <v>730</v>
      </c>
      <c r="K34" s="4430" t="n">
        <v>10</v>
      </c>
      <c r="L34" s="4431" t="inlineStr">
        <is>
          <t xml:space="preserve">MATCH</t>
        </is>
      </c>
      <c r="M34" s="4432" t="inlineStr">
        <is>
          <t xml:space="preserve">togahanger.com; $10 confirmed by user. Verified prior session.</t>
        </is>
      </c>
    </row>
    <row r="35" s="3154" customFormat="1" ht="13.5" customHeight="1">
      <c r="A35" s="4427" t="inlineStr">
        <is>
          <t xml:space="preserve">GR-17</t>
        </is>
      </c>
      <c r="B35" s="4427" t="inlineStr">
        <is>
          <t xml:space="preserve">Room Number Plaque</t>
        </is>
      </c>
      <c r="C35" s="4427" t="inlineStr">
        <is>
          <t xml:space="preserve">Custom hotel door house number; matte black acrylic + stainless steel; business apartment plate; toilet room number sign doorplate</t>
        </is>
      </c>
      <c r="D35" s="4427" t="inlineStr">
        <is>
          <t xml:space="preserve">Alibaba Supplier</t>
        </is>
      </c>
      <c r="E35" s="4428" t="inlineStr">
        <is>
          <t xml:space="preserve">https://www.alibaba.com/product-detail/Custom-Hotel-Door-House-Number-Matte_1601442685282.html</t>
        </is>
      </c>
      <c r="F35" s="4427" t="inlineStr">
        <is>
          <t xml:space="preserve">each</t>
        </is>
      </c>
      <c r="G35" s="4427" t="n">
        <f>$B$8</f>
        <v>73</v>
      </c>
      <c r="H35" s="4419" t="inlineStr">
        <is>
          <t xml:space="preserve">$1.30/cm (1-99), $0.79/cm (500-999), $0.56/cm (1000+)</t>
        </is>
      </c>
      <c r="I35" s="4429" t="n">
        <v>8.4</v>
      </c>
      <c r="J35" s="4429" t="n">
        <f>G35*I35</f>
        <v>613.2</v>
      </c>
      <c r="K35" s="4430" t="n">
        <v>0.5600000000000001</v>
      </c>
      <c r="L35" s="4431" t="inlineStr">
        <is>
          <t xml:space="preserve">MATCH</t>
        </is>
      </c>
      <c r="M35" s="4432" t="inlineStr">
        <is>
          <t xml:space="preserve">New link. Priced per cm. 91 signs × ~15cm = 1365cm → $0.56/cm tier. Est $8.40/sign. Verified 4/25.</t>
        </is>
      </c>
    </row>
    <row r="36" s="3154" customFormat="1" ht="13.5" customHeight="1">
      <c r="A36" s="4427" t="inlineStr">
        <is>
          <t xml:space="preserve">GR-18</t>
        </is>
      </c>
      <c r="B36" s="4427" t="inlineStr">
        <is>
          <t xml:space="preserve">Coat &amp; Towel Hook (wall-mounted)</t>
        </is>
      </c>
      <c r="C36" s="4427" t="inlineStr">
        <is>
          <t xml:space="preserve">Koppalive 8001 solid brass robe hook; wall-mounted; drilling installation; modern/minimalist; 88g; 1-3 hooks; easy clean; brass finish; hotel/bathroom/bedroom; 1-year warranty</t>
        </is>
      </c>
      <c r="D36" s="4427" t="inlineStr">
        <is>
          <t xml:space="preserve">Koppalive (Zhejiang Zhangshi Hardware)</t>
        </is>
      </c>
      <c r="E36" s="4428" t="inlineStr">
        <is>
          <t xml:space="preserve">https://www.alibaba.com/product-detail/Koppalive-Robe-Hook-Scarf-Handbag-Coat_1600060963678.html</t>
        </is>
      </c>
      <c r="F36" s="4427" t="inlineStr">
        <is>
          <t xml:space="preserve">each</t>
        </is>
      </c>
      <c r="G36" s="4427" t="n">
        <f>$B$8</f>
        <v>73</v>
      </c>
      <c r="H36" s="4419" t="inlineStr">
        <is>
          <t xml:space="preserve">$3.05</t>
        </is>
      </c>
      <c r="I36" s="4429" t="n">
        <v>3.05</v>
      </c>
      <c r="J36" s="4429" t="n">
        <f>G36*I36</f>
        <v>222.64999999999998</v>
      </c>
      <c r="K36" s="4430" t="n">
        <v>3.05</v>
      </c>
      <c r="L36" s="4431" t="inlineStr">
        <is>
          <t xml:space="preserve">MATCH</t>
        </is>
      </c>
      <c r="M36" s="4432" t="inlineStr">
        <is>
          <t xml:space="preserve">Alibaba $3.05 exact match. Link LIVE. Verified 4/25.</t>
        </is>
      </c>
    </row>
    <row r="37" s="3154" customFormat="1" ht="13.5" customHeight="1">
      <c r="A37" s="4427" t="inlineStr">
        <is>
          <t xml:space="preserve">GR-19</t>
        </is>
      </c>
      <c r="B37" s="4419" t="inlineStr">
        <is>
          <t xml:space="preserve">Coffee Table / Fold-Out Side Table</t>
        </is>
      </c>
      <c r="C37" s="4419" t="inlineStr">
        <is>
          <t xml:space="preserve">Mobile metal overbed/bedside table with hidden casters; MDF surface; adjustable height; compact fold-away design for 53.5 sq ft room; doubles as laptop desk</t>
        </is>
      </c>
      <c r="D37" s="4419" t="inlineStr">
        <is>
          <t xml:space="preserve">Kingpower International Trading Co.</t>
        </is>
      </c>
      <c r="E37" s="4435" t="inlineStr">
        <is>
          <t xml:space="preserve">https://www.alibaba.com/product-detail/Mobile-Metal-Overbed-Bedside-Coffee-Table_1601394289795.html</t>
        </is>
      </c>
      <c r="F37" s="4419" t="inlineStr">
        <is>
          <t xml:space="preserve">each</t>
        </is>
      </c>
      <c r="G37" s="4419" t="n">
        <f>$B$8</f>
        <v>73</v>
      </c>
      <c r="H37" s="4419" t="inlineStr">
        <is>
          <t xml:space="preserve">$22–25</t>
        </is>
      </c>
      <c r="I37" s="4429" t="n">
        <v>23.5</v>
      </c>
      <c r="J37" s="4429" t="n">
        <f>G37*I37</f>
        <v>1715.5</v>
      </c>
      <c r="K37" s="4430" t="n">
        <v>25.37</v>
      </c>
      <c r="L37" s="4433" t="inlineStr">
        <is>
          <t xml:space="preserve">MINOR</t>
        </is>
      </c>
      <c r="M37" s="4432" t="inlineStr">
        <is>
          <t xml:space="preserve">Alibaba $25.37 (100-499 MOQ); sheet $23.50. Below MOQ of 100. Link LIVE.</t>
        </is>
      </c>
    </row>
    <row r="38" s="3154" customFormat="1" ht="13.5" customHeight="1">
      <c r="A38" s="4419" t="inlineStr">
        <is>
          <t xml:space="preserve">GR-20</t>
        </is>
      </c>
      <c r="B38" s="4419" t="inlineStr">
        <is>
          <t xml:space="preserve">In-Room Desk Chair</t>
        </is>
      </c>
      <c r="C38" s="4419" t="inlineStr">
        <is>
          <t xml:space="preserve">Ergonomic PU leather; waterproof; metal frame; stackable; 150kg load capacity; heavy-duty padded folding chair</t>
        </is>
      </c>
      <c r="D38" s="4419" t="inlineStr">
        <is>
          <t xml:space="preserve">Alibaba (generic)</t>
        </is>
      </c>
      <c r="E38" s="4449" t="inlineStr">
        <is>
          <t xml:space="preserve">https://www.alibaba.com/product-detail/Ergonomic-PU-Leather-Conference-Chair-Waterproof_1601737772933.html</t>
        </is>
      </c>
      <c r="F38" s="4419" t="inlineStr">
        <is>
          <t xml:space="preserve">each</t>
        </is>
      </c>
      <c r="G38" s="4419" t="n">
        <v>73</v>
      </c>
      <c r="H38" s="4419" t="inlineStr">
        <is>
          <t xml:space="preserve">$5-$20</t>
        </is>
      </c>
      <c r="I38" s="4429" t="n">
        <v>20</v>
      </c>
      <c r="J38" s="4429" t="n">
        <f>G38*I38</f>
        <v>1460</v>
      </c>
      <c r="K38" s="4450" t="n">
        <v>20</v>
      </c>
      <c r="L38" s="4451" t="inlineStr">
        <is>
          <t xml:space="preserve">MATCH</t>
        </is>
      </c>
      <c r="M38" s="4452" t="inlineStr">
        <is>
          <t xml:space="preserve">Alibaba $5-$20 (MOQ 200). Link LIVE. Verified 4/28.</t>
        </is>
      </c>
    </row>
    <row r="39" s="3154" customFormat="1" ht="13.5" customHeight="1">
      <c r="A39" s="4419" t="inlineStr">
        <is>
          <t xml:space="preserve">GR-21</t>
        </is>
      </c>
      <c r="B39" s="4419" t="inlineStr">
        <is>
          <t xml:space="preserve">In-Room Trash Bin (wall-mounted)</t>
        </is>
      </c>
      <c r="C39" s="4419" t="inlineStr">
        <is>
          <t xml:space="preserve">304 stainless steel; wall-mounted; pressing type; concealed; brushed finish; commercial hotel</t>
        </is>
      </c>
      <c r="D39" s="4419" t="inlineStr">
        <is>
          <t xml:space="preserve">Alibaba (generic)</t>
        </is>
      </c>
      <c r="E39" s="4449" t="inlineStr">
        <is>
          <t xml:space="preserve">https://www.alibaba.com/product-detail/Commercial-Square-Wall-Mounted-Pressing-Type_1601572523517.html</t>
        </is>
      </c>
      <c r="F39" s="4419" t="inlineStr">
        <is>
          <t xml:space="preserve">each</t>
        </is>
      </c>
      <c r="G39" s="4419" t="n">
        <v>73</v>
      </c>
      <c r="H39" s="4419" t="inlineStr">
        <is>
          <t xml:space="preserve">$41.54</t>
        </is>
      </c>
      <c r="I39" s="4429" t="n">
        <v>41.54</v>
      </c>
      <c r="J39" s="4429" t="n">
        <f>G39*I39</f>
        <v>3032.42</v>
      </c>
      <c r="K39" s="4450" t="n">
        <v>41.54</v>
      </c>
      <c r="L39" s="4451" t="inlineStr">
        <is>
          <t xml:space="preserve">MATCH</t>
        </is>
      </c>
      <c r="M39" s="4452" t="inlineStr">
        <is>
          <t xml:space="preserve">Alibaba $41.54 (MOQ 200). Link LIVE. Verified 4/27.</t>
        </is>
      </c>
    </row>
    <row r="40" s="3154" customFormat="1" ht="13.5" customHeight="1">
      <c r="A40" s="4425" t="inlineStr">
        <is>
          <t xml:space="preserve">  SHARED BATHROOM — THE SPINE (BA)  —  5:1 Bed-to-Bath Ratio</t>
        </is>
      </c>
      <c r="B40" s="4425" t="n"/>
      <c r="C40" s="4425" t="n"/>
      <c r="D40" s="4425" t="n"/>
      <c r="E40" s="4453" t="n"/>
      <c r="F40" s="4425" t="n"/>
      <c r="G40" s="4425" t="n"/>
      <c r="H40" s="4425" t="n"/>
      <c r="I40" s="4425" t="n"/>
      <c r="J40" s="4419" t="n"/>
    </row>
    <row r="41" s="3154" customFormat="1" ht="13.5" customHeight="1">
      <c r="A41" s="4427" t="inlineStr">
        <is>
          <t xml:space="preserve">BA-01</t>
        </is>
      </c>
      <c r="B41" s="4454" t="inlineStr">
        <is>
          <t xml:space="preserve">Bathroom Sink</t>
        </is>
      </c>
      <c r="C41" s="4454" t="inlineStr">
        <is>
          <t xml:space="preserve">WKS-6002 solid surface integrated basin; acrylic artificial stone; countertop mounted; rectangular; raised perimeter rim to prevent water spillage; polished; easy clean; eco-friendly; single hole faucet; 5-year warranty; ASTM E84</t>
        </is>
      </c>
      <c r="D41" s="4454" t="inlineStr">
        <is>
          <t xml:space="preserve">Guangdong Wiselink</t>
        </is>
      </c>
      <c r="E41" s="4455" t="inlineStr">
        <is>
          <t xml:space="preserve">https://www.alibaba.com/product-detail/WKS-6002-Solid-Surface-Integrated-Bathroom_1601576524347.html</t>
        </is>
      </c>
      <c r="F41" s="4454" t="inlineStr">
        <is>
          <t xml:space="preserve">each</t>
        </is>
      </c>
      <c r="G41" s="4454" t="n">
        <f>$B$12</f>
        <v>15</v>
      </c>
      <c r="H41" s="4456" t="inlineStr">
        <is>
          <t xml:space="preserve">$90–100</t>
        </is>
      </c>
      <c r="I41" s="4429" t="n">
        <v>95</v>
      </c>
      <c r="J41" s="4429" t="n">
        <f>G41*I41</f>
        <v>1425</v>
      </c>
      <c r="K41" s="4430" t="n">
        <v>100</v>
      </c>
      <c r="L41" s="4431" t="inlineStr">
        <is>
          <t xml:space="preserve">PRICE CHANGED</t>
        </is>
      </c>
      <c r="M41" s="4432" t="inlineStr">
        <is>
          <t xml:space="preserve">Was $95; now $100 (30-99), $95 (100-299). At 21 sinks, below 30 MOQ. Link LIVE.</t>
        </is>
      </c>
    </row>
    <row r="42" s="3154" customFormat="1" ht="13.5" customHeight="1">
      <c r="A42" s="4427" t="inlineStr">
        <is>
          <t xml:space="preserve">BA-02</t>
        </is>
      </c>
      <c r="B42" s="4427" t="inlineStr">
        <is>
          <t xml:space="preserve">Sink Faucet</t>
        </is>
      </c>
      <c r="C42" s="4427" t="inlineStr">
        <is>
          <t xml:space="preserve">304 stainless steel; single handle; black finish; high pressure water saving; eco-friendly; deck mounted; ceramic valve; MOQ 2 pcs</t>
        </is>
      </c>
      <c r="D42" s="4427" t="inlineStr">
        <is>
          <t xml:space="preserve">Zhejiang Tieba Precision Hardware Mfg.</t>
        </is>
      </c>
      <c r="E42" s="4428" t="inlineStr">
        <is>
          <t xml:space="preserve">https://www.alibaba.com/product-detail/2025-304-Stainless-Steel-Bathroom-Faucet_1601596205338.html</t>
        </is>
      </c>
      <c r="F42" s="4427" t="inlineStr">
        <is>
          <t xml:space="preserve">each</t>
        </is>
      </c>
      <c r="G42" s="4427" t="n">
        <f>$B$12</f>
        <v>15</v>
      </c>
      <c r="H42" s="4419" t="inlineStr">
        <is>
          <t xml:space="preserve">$2.20–6.10</t>
        </is>
      </c>
      <c r="I42" s="4429" t="n">
        <v>4.15</v>
      </c>
      <c r="J42" s="4429" t="n">
        <f>G42*I42</f>
        <v>62.25000000000001</v>
      </c>
      <c r="K42" s="4430" t="n">
        <v>4.15</v>
      </c>
      <c r="L42" s="4433" t="inlineStr">
        <is>
          <t xml:space="preserve">MATCH</t>
        </is>
      </c>
      <c r="M42" s="4432" t="inlineStr">
        <is>
          <t xml:space="preserve">Alibaba $2.48-$12.45 range; sheet $4.15 within range. Link LIVE. Verified 4/25.</t>
        </is>
      </c>
    </row>
    <row r="43" s="3154" customFormat="1" ht="13.5" customHeight="1">
      <c r="A43" s="4427" t="inlineStr">
        <is>
          <t xml:space="preserve">BA-03</t>
        </is>
      </c>
      <c r="B43" s="4427" t="inlineStr">
        <is>
          <t xml:space="preserve">Toilet</t>
        </is>
      </c>
      <c r="C43" s="4427" t="inlineStr">
        <is>
          <t xml:space="preserve">Aqua Gallery CT-017 one-piece ceramic toilet; siphon dual-flush 3/6L; elongated bowl; floor mounted; P-trap/S-trap; cUPC certified; soft-close PP seat; 5-year warranty</t>
        </is>
      </c>
      <c r="D43" s="4427" t="inlineStr">
        <is>
          <t xml:space="preserve">Foshan Aqua Gallery</t>
        </is>
      </c>
      <c r="E43" s="4428" t="inlineStr">
        <is>
          <t xml:space="preserve">https://www.alibaba.com/product-detail/Modern-Design-White-Glazed-Ceramic-Freestanding_1600415833460.html</t>
        </is>
      </c>
      <c r="F43" s="4427" t="inlineStr">
        <is>
          <t xml:space="preserve">each</t>
        </is>
      </c>
      <c r="G43" s="4427" t="n">
        <f>$B$12</f>
        <v>15</v>
      </c>
      <c r="H43" s="4419" t="inlineStr">
        <is>
          <t xml:space="preserve">$63–84</t>
        </is>
      </c>
      <c r="I43" s="4429" t="n">
        <v>73.5</v>
      </c>
      <c r="J43" s="4429" t="n">
        <f>G43*I43</f>
        <v>1102.5</v>
      </c>
      <c r="K43" s="4430" t="n">
        <v>73.5</v>
      </c>
      <c r="L43" s="4431" t="inlineStr">
        <is>
          <t xml:space="preserve">MATCH</t>
        </is>
      </c>
      <c r="M43" s="4432" t="inlineStr">
        <is>
          <t xml:space="preserve">Alibaba $63-$84; sheet $73.50 within range. Link LIVE. Verified 4/25.</t>
        </is>
      </c>
    </row>
    <row r="44" s="3154" customFormat="1" ht="13.5" customHeight="1">
      <c r="A44" s="4419" t="inlineStr">
        <is>
          <t xml:space="preserve">BA-03A</t>
        </is>
      </c>
      <c r="B44" s="4419" t="inlineStr">
        <is>
          <t xml:space="preserve">Toilet Seat</t>
        </is>
      </c>
      <c r="C44" s="4419" t="inlineStr">
        <is>
          <t xml:space="preserve">Caishi CSB03 19" elongated open-front PP plastic toilet seat; anti-bacteria; slow-close; SS or plastic hinges; 1-year warranty</t>
        </is>
      </c>
      <c r="D44" s="4419" t="inlineStr">
        <is>
          <t xml:space="preserve">Kaiping Caishi Plastic</t>
        </is>
      </c>
      <c r="E44" s="4435" t="inlineStr">
        <is>
          <t xml:space="preserve">https://www.alibaba.com/product-detail/19-Inch-Plastic-Open-Front-Toilet_1601524365791.html</t>
        </is>
      </c>
      <c r="F44" s="4419" t="inlineStr">
        <is>
          <t xml:space="preserve">ea</t>
        </is>
      </c>
      <c r="G44" s="4419" t="n">
        <f>$B$12</f>
        <v>15</v>
      </c>
      <c r="H44" s="4419" t="inlineStr">
        <is>
          <t xml:space="preserve">$4.50–6.00</t>
        </is>
      </c>
      <c r="I44" s="4429" t="n">
        <v>5.25</v>
      </c>
      <c r="J44" s="4429" t="n">
        <f>G44*I44</f>
        <v>78.75</v>
      </c>
      <c r="K44" s="4430" t="n">
        <v>5.5</v>
      </c>
      <c r="L44" s="4433" t="inlineStr">
        <is>
          <t xml:space="preserve">MINOR</t>
        </is>
      </c>
      <c r="M44" s="4432" t="inlineStr">
        <is>
          <t xml:space="preserve">Alibaba $5.50 (1-299); sheet $5.25. Close. Link LIVE. Verified 4/25.</t>
        </is>
      </c>
    </row>
    <row r="45" s="3154" customFormat="1" ht="13.5" customHeight="1">
      <c r="A45" s="4427" t="inlineStr">
        <is>
          <t xml:space="preserve">BA-04</t>
        </is>
      </c>
      <c r="B45" s="4427" t="inlineStr">
        <is>
          <t xml:space="preserve">Shower Head &amp; Hand Shower</t>
        </is>
      </c>
      <c r="C45" s="4427" t="inlineStr">
        <is>
          <t xml:space="preserve">10" concealed wall-mount rain shower system; stainless steel; single handle; soft/rainfall/waterfall spray; brass valve core; black polished</t>
        </is>
      </c>
      <c r="D45" s="4427" t="inlineStr">
        <is>
          <t xml:space="preserve">Zhejiang Tieba Precision Hardware Mfg.</t>
        </is>
      </c>
      <c r="E45" s="4428" t="inlineStr">
        <is>
          <t xml:space="preserve">https://www.alibaba.com/product-detail/10-Inch-Luxury-Modern-Black-Stainless_1601292789810.html</t>
        </is>
      </c>
      <c r="F45" s="4427" t="inlineStr">
        <is>
          <t xml:space="preserve">set</t>
        </is>
      </c>
      <c r="G45" s="4427" t="n">
        <f>$B$12</f>
        <v>15</v>
      </c>
      <c r="H45" s="4419" t="inlineStr">
        <is>
          <t xml:space="preserve">$88.90</t>
        </is>
      </c>
      <c r="I45" s="4429" t="n">
        <v>88.90000000000001</v>
      </c>
      <c r="J45" s="4429" t="n">
        <f>G45*I45</f>
        <v>1333.5</v>
      </c>
      <c r="K45" s="4430" t="n">
        <v>88.90000000000001</v>
      </c>
      <c r="L45" s="4431" t="inlineStr">
        <is>
          <t xml:space="preserve">MATCH</t>
        </is>
      </c>
      <c r="M45" s="4432" t="inlineStr">
        <is>
          <t xml:space="preserve">Alibaba $88.90 exact match (1-98 tier). Link LIVE. Verified 4/25.</t>
        </is>
      </c>
    </row>
    <row r="46" s="3154" customFormat="1" ht="13.5" customHeight="1">
      <c r="A46" s="4427" t="inlineStr">
        <is>
          <t xml:space="preserve">BA-06</t>
        </is>
      </c>
      <c r="B46" s="4427" t="inlineStr">
        <is>
          <t xml:space="preserve">Shower Pan / Base</t>
        </is>
      </c>
      <c r="C46" s="4427" t="inlineStr">
        <is>
          <t xml:space="preserve">Cultured marble / solid surface; ADA compliant; anti-slip finish; recessed install; center/left/corner drain; custom colors; ANSI A326 + ASTM D570 certified</t>
        </is>
      </c>
      <c r="D46" s="4427" t="inlineStr">
        <is>
          <t xml:space="preserve">Guangdong Wiselink Ltd.</t>
        </is>
      </c>
      <c r="E46" s="4428" t="inlineStr">
        <is>
          <t xml:space="preserve">https://www.alibaba.com/product-detail/Wiselink-Customized-Solid-Surface-Artificial-Stone_1601450312346.html</t>
        </is>
      </c>
      <c r="F46" s="4427" t="inlineStr">
        <is>
          <t xml:space="preserve">each</t>
        </is>
      </c>
      <c r="G46" s="4427" t="n">
        <f>$B$12</f>
        <v>15</v>
      </c>
      <c r="H46" s="4419" t="inlineStr">
        <is>
          <t xml:space="preserve">$120–150</t>
        </is>
      </c>
      <c r="I46" s="4429" t="n">
        <v>135</v>
      </c>
      <c r="J46" s="4429" t="n">
        <f>G46*I46</f>
        <v>2025</v>
      </c>
      <c r="K46" s="4430" t="n">
        <v>150</v>
      </c>
      <c r="L46" s="4431" t="inlineStr">
        <is>
          <t xml:space="preserve">PRICE CHANGED</t>
        </is>
      </c>
      <c r="M46" s="4432" t="inlineStr">
        <is>
          <t xml:space="preserve">Was $135; now $150 (50-199), $138 (200-999). At 21 pcs, below 50 MOQ. Link LIVE.</t>
        </is>
      </c>
    </row>
    <row r="47" s="3154" customFormat="1" ht="13.5" customHeight="1">
      <c r="A47" s="4419" t="inlineStr">
        <is>
          <t xml:space="preserve">BA-06A</t>
        </is>
      </c>
      <c r="B47" s="4419" t="inlineStr">
        <is>
          <t xml:space="preserve">Shower Wall Panel</t>
        </is>
      </c>
      <c r="C47" s="4419" t="inlineStr">
        <is>
          <t xml:space="preserve">12x24 cultured marble shower wall system; 7mm thick; waterproof; fireproof; stain resistant; polished high gloss; no grout; cut-to-size; 3-year warranty; ASTM E84 Class A fire rated</t>
        </is>
      </c>
      <c r="D47" s="4419" t="inlineStr">
        <is>
          <t xml:space="preserve">Guangdong Wiselink</t>
        </is>
      </c>
      <c r="E47" s="4435" t="inlineStr">
        <is>
          <t xml:space="preserve">https://www.alibaba.com/product-detail/Wiselink-12X24-Vision-Stain-Resistant-Cultured_1601721326157.html</t>
        </is>
      </c>
      <c r="F47" s="4419" t="inlineStr">
        <is>
          <t xml:space="preserve">set</t>
        </is>
      </c>
      <c r="G47" s="4419" t="n">
        <f>$B$8</f>
        <v>73</v>
      </c>
      <c r="H47" s="4419" t="inlineStr">
        <is>
          <t xml:space="preserve">$121–125</t>
        </is>
      </c>
      <c r="I47" s="4429" t="n">
        <v>123</v>
      </c>
      <c r="J47" s="4429" t="n">
        <f>G47*I47</f>
        <v>8979</v>
      </c>
      <c r="K47" s="4430" t="n">
        <v>125</v>
      </c>
      <c r="L47" s="4443" t="inlineStr">
        <is>
          <t xml:space="preserve">LIVE - WAS DEAD</t>
        </is>
      </c>
      <c r="M47" s="4432" t="inlineStr">
        <is>
          <t xml:space="preserve">Link now LIVE! $125 (50-199), $122 (200-999). Sheet $123 close. Updated from DEAD LINK.</t>
        </is>
      </c>
    </row>
    <row r="48" s="3154" customFormat="1" ht="13.5" customHeight="1">
      <c r="A48" s="4427" t="inlineStr">
        <is>
          <t xml:space="preserve">BA-07</t>
        </is>
      </c>
      <c r="B48" s="4427" t="inlineStr">
        <is>
          <t xml:space="preserve">ADA Fold-Down Shower Bench</t>
        </is>
      </c>
      <c r="C48" s="4427" t="inlineStr">
        <is>
          <t xml:space="preserve">304 stainless steel + phenolic resin; foldable; ADA compliant; brushed finish; W:26.5" D:15" H:16.11"; eco-friendly; 3 yr warranty</t>
        </is>
      </c>
      <c r="D48" s="4427" t="inlineStr">
        <is>
          <t xml:space="preserve">Xiamen Peshon Trading Co.</t>
        </is>
      </c>
      <c r="E48" s="4428" t="inlineStr">
        <is>
          <t xml:space="preserve">https://www.alibaba.com/product-detail/Factory-Supplying-304-Stainless-Steel-Phenolic_1601695241194.html</t>
        </is>
      </c>
      <c r="F48" s="4427" t="inlineStr">
        <is>
          <t xml:space="preserve">each</t>
        </is>
      </c>
      <c r="G48" s="4427" t="n">
        <f>$B$10</f>
        <v>2</v>
      </c>
      <c r="H48" s="4419" t="inlineStr">
        <is>
          <t xml:space="preserve">$72.33</t>
        </is>
      </c>
      <c r="I48" s="4429" t="n">
        <v>72.33</v>
      </c>
      <c r="J48" s="4429" t="n">
        <f>G48*I48</f>
        <v>144.66</v>
      </c>
      <c r="K48" s="4430" t="n">
        <v>72.33</v>
      </c>
      <c r="L48" s="4431" t="inlineStr">
        <is>
          <t xml:space="preserve">MATCH</t>
        </is>
      </c>
      <c r="M48" s="4432" t="inlineStr">
        <is>
          <t xml:space="preserve">Alibaba $72.33 exact match (20-99 tier). Link LIVE. Verified 4/25.</t>
        </is>
      </c>
    </row>
    <row r="49" s="3154" customFormat="1" ht="13.5" customHeight="1">
      <c r="A49" s="4427" t="inlineStr">
        <is>
          <t xml:space="preserve">BA-08</t>
        </is>
      </c>
      <c r="B49" s="4427" t="inlineStr">
        <is>
          <t xml:space="preserve">Hand Rails / Grab Bars</t>
        </is>
      </c>
      <c r="C49" s="4427" t="inlineStr">
        <is>
          <t xml:space="preserve">304 stainless steel L-shape grab bar; 25mm dia; brushed nickel; wall-mounted; anti-slip; ADA safety; custom 30–90cm; 3 yr warranty</t>
        </is>
      </c>
      <c r="D49" s="4427" t="inlineStr">
        <is>
          <t xml:space="preserve">Wenzhou Wanze Sanitary Ware Co.</t>
        </is>
      </c>
      <c r="E49" s="4428" t="inlineStr">
        <is>
          <t xml:space="preserve">https://www.alibaba.com/product-detail/Grab-bar-Handle-Bathroom-Stainless-Steel_1600249155503.html</t>
        </is>
      </c>
      <c r="F49" s="4427" t="inlineStr">
        <is>
          <t xml:space="preserve">each</t>
        </is>
      </c>
      <c r="G49" s="4427" t="n">
        <f>$B$10</f>
        <v>2</v>
      </c>
      <c r="H49" s="4419" t="inlineStr">
        <is>
          <t xml:space="preserve">$6.40–6.99</t>
        </is>
      </c>
      <c r="I49" s="4429" t="n">
        <v>6.7</v>
      </c>
      <c r="J49" s="4429" t="n">
        <f>G49*I49</f>
        <v>13.4</v>
      </c>
      <c r="K49" s="4430" t="n">
        <v>6.7</v>
      </c>
      <c r="L49" s="4431" t="inlineStr">
        <is>
          <t xml:space="preserve">MATCH</t>
        </is>
      </c>
      <c r="M49" s="4432" t="inlineStr">
        <is>
          <t xml:space="preserve">Alibaba $6.99 (100-299), $6.70 (300-499); sheet $6.70. Link LIVE. Verified 4/25.</t>
        </is>
      </c>
    </row>
    <row r="50" s="3154" customFormat="1" ht="13.5" customHeight="1">
      <c r="A50" s="4427" t="inlineStr">
        <is>
          <t xml:space="preserve">BA-09</t>
        </is>
      </c>
      <c r="B50" s="4427" t="inlineStr">
        <is>
          <t xml:space="preserve">Anti-Fog Mirror</t>
        </is>
      </c>
      <c r="C50" s="4427" t="inlineStr">
        <is>
          <t xml:space="preserve">24×36" frameless LED bathroom mirror; anti-fog; touch sensor; frontlit + backlit; 3000K-6000K adjustable; IP44; dimmable; 4mm eco-friendly silver glass; wall-mounted; ETL/FCC/RoHS certified</t>
        </is>
      </c>
      <c r="D50" s="4427" t="inlineStr">
        <is>
          <t xml:space="preserve">Shenzhen Jianyuanda Mirror Technology Co. (JYD Mirror)</t>
        </is>
      </c>
      <c r="E50" s="4428" t="inlineStr">
        <is>
          <t xml:space="preserve">https://www.alibaba.com/product-detail/Wholesale-Custom-Anti-Fog-Hotel-Touch_1601382473093.html</t>
        </is>
      </c>
      <c r="F50" s="4427" t="inlineStr">
        <is>
          <t xml:space="preserve">each</t>
        </is>
      </c>
      <c r="G50" s="4427" t="n">
        <f>$B$12</f>
        <v>15</v>
      </c>
      <c r="H50" s="4419" t="inlineStr">
        <is>
          <t xml:space="preserve">$19-38</t>
        </is>
      </c>
      <c r="I50" s="4429" t="n">
        <v>28.5</v>
      </c>
      <c r="J50" s="4429" t="n">
        <f>G50*I50</f>
        <v>427.5</v>
      </c>
      <c r="K50" s="4430" t="n">
        <v>28.5</v>
      </c>
      <c r="L50" s="4431" t="inlineStr">
        <is>
          <t xml:space="preserve">MATCH</t>
        </is>
      </c>
      <c r="M50" s="4432" t="inlineStr">
        <is>
          <t xml:space="preserve">Alibaba $19-$38; sheet $28.50 within range. Link LIVE. Verified 4/25.</t>
        </is>
      </c>
    </row>
    <row r="51" s="3154" customFormat="1" ht="13.5" customHeight="1">
      <c r="A51" s="4427" t="inlineStr">
        <is>
          <t xml:space="preserve">BA-10</t>
        </is>
      </c>
      <c r="B51" s="4427" t="inlineStr">
        <is>
          <t xml:space="preserve">Hair Dryer</t>
        </is>
      </c>
      <c r="C51" s="4427" t="inlineStr">
        <is>
          <t xml:space="preserve">Falin FL-1501 salon hair dryer; 2000W; BLDC motor; 110,000+ RPM; ionic; 2 speed/3 heat; concentrator nozzle; lightweight; magnetic wall mount; CE certified; black</t>
        </is>
      </c>
      <c r="D51" s="4427" t="inlineStr">
        <is>
          <t xml:space="preserve">Zhejiang Falin Appliances Co.</t>
        </is>
      </c>
      <c r="E51" s="4428" t="inlineStr">
        <is>
          <t xml:space="preserve">https://www.alibaba.com/product-detail/FALIN-FL-1501-Salon-Hair-Dryer_1601419773431.html</t>
        </is>
      </c>
      <c r="F51" s="4427" t="inlineStr">
        <is>
          <t xml:space="preserve">each</t>
        </is>
      </c>
      <c r="G51" s="4427" t="n">
        <f>$B$12</f>
        <v>15</v>
      </c>
      <c r="H51" s="4419" t="inlineStr">
        <is>
          <t xml:space="preserve">$18-25</t>
        </is>
      </c>
      <c r="I51" s="4429" t="n">
        <v>21.5</v>
      </c>
      <c r="J51" s="4429" t="n">
        <f>G51*I51</f>
        <v>322.5</v>
      </c>
      <c r="K51" s="4430" t="n">
        <v>21.5</v>
      </c>
      <c r="L51" s="4431" t="inlineStr">
        <is>
          <t xml:space="preserve">MATCH</t>
        </is>
      </c>
      <c r="M51" s="4432" t="inlineStr">
        <is>
          <t xml:space="preserve">Alibaba $18-$25; sheet $21.50 within range. Link LIVE. Verified 4/25.</t>
        </is>
      </c>
    </row>
    <row r="52" s="3154" customFormat="1" ht="13.5" customHeight="1">
      <c r="A52" s="4427" t="inlineStr">
        <is>
          <t xml:space="preserve">BA-12</t>
        </is>
      </c>
      <c r="B52" s="4427" t="inlineStr">
        <is>
          <t xml:space="preserve">Shampoo / Conditioner / Body Wash Dispenser</t>
        </is>
      </c>
      <c r="C52" s="4427" t="inlineStr">
        <is>
          <t xml:space="preserve">Triple wall-mounted manual soap dispenser; ABS plastic; 400ml×3 bottles; shampoo/conditioner/shower gel; modern design; 1-year warranty</t>
        </is>
      </c>
      <c r="D52" s="4427" t="inlineStr">
        <is>
          <t xml:space="preserve">Jia Eleven (Hangzhou) Electrical Appliance Co.</t>
        </is>
      </c>
      <c r="E52" s="4428" t="inlineStr">
        <is>
          <t xml:space="preserve">https://www.alibaba.com/product-detail/Hotel-Bathroom-Triple-Manual-Soap-Dispenser_1601520972025.html</t>
        </is>
      </c>
      <c r="F52" s="4427" t="inlineStr">
        <is>
          <t xml:space="preserve">each</t>
        </is>
      </c>
      <c r="G52" s="4427" t="n">
        <f>$B$12</f>
        <v>15</v>
      </c>
      <c r="H52" s="4419" t="inlineStr">
        <is>
          <t xml:space="preserve">$1.99-2.86</t>
        </is>
      </c>
      <c r="I52" s="4429" t="n">
        <v>2.43</v>
      </c>
      <c r="J52" s="4429" t="n">
        <f>G52*I52</f>
        <v>36.45</v>
      </c>
      <c r="K52" s="4430" t="n">
        <v>2.86</v>
      </c>
      <c r="L52" s="4433" t="inlineStr">
        <is>
          <t xml:space="preserve">PRICE CHANGED</t>
        </is>
      </c>
      <c r="M52" s="4432" t="inlineStr">
        <is>
          <t xml:space="preserve">Was $2.43; now $2.86 (5-999 tier). Link LIVE.</t>
        </is>
      </c>
    </row>
    <row r="53" s="3154" customFormat="1" ht="13.5" customHeight="1">
      <c r="A53" s="4427" t="inlineStr">
        <is>
          <t xml:space="preserve">BA-13</t>
        </is>
      </c>
      <c r="B53" s="4427" t="inlineStr">
        <is>
          <t xml:space="preserve">Hand Soap Dispenser</t>
        </is>
      </c>
      <c r="C53" s="4427" t="inlineStr">
        <is>
          <t xml:space="preserve">1000ml ABS manual liquid soap dispenser; wall-mounted; traditional design; foam soap; 1-year warranty</t>
        </is>
      </c>
      <c r="D53" s="4427" t="inlineStr">
        <is>
          <t xml:space="preserve">Jia Eleven (Hangzhou) Electrical Appliance Co.</t>
        </is>
      </c>
      <c r="E53" s="4428" t="inlineStr">
        <is>
          <t xml:space="preserve">https://www.alibaba.com/product-detail/1000ml-High-Quality-ABS-Manual-Liquid_1601312483176.html</t>
        </is>
      </c>
      <c r="F53" s="4427" t="inlineStr">
        <is>
          <t xml:space="preserve">each</t>
        </is>
      </c>
      <c r="G53" s="4427" t="n">
        <f>$B$12</f>
        <v>15</v>
      </c>
      <c r="H53" s="4419" t="inlineStr">
        <is>
          <t xml:space="preserve">$4.48-5.12</t>
        </is>
      </c>
      <c r="I53" s="4429" t="n">
        <v>4.8</v>
      </c>
      <c r="J53" s="4429" t="n">
        <f>G53*I53</f>
        <v>72</v>
      </c>
      <c r="K53" s="4430" t="n">
        <v>5.12</v>
      </c>
      <c r="L53" s="4433" t="inlineStr">
        <is>
          <t xml:space="preserve">PRICE CHANGED</t>
        </is>
      </c>
      <c r="M53" s="4432" t="inlineStr">
        <is>
          <t xml:space="preserve">Was $4.80; now $5.12 (2-999 tier). Link LIVE.</t>
        </is>
      </c>
    </row>
    <row r="54" s="3154" customFormat="1" ht="13.5" customHeight="1">
      <c r="A54" s="4427" t="inlineStr">
        <is>
          <t xml:space="preserve">BA-14</t>
        </is>
      </c>
      <c r="B54" s="4427" t="inlineStr">
        <is>
          <t xml:space="preserve">Toilet Paper Holder</t>
        </is>
      </c>
      <c r="C54" s="4427" t="inlineStr">
        <is>
          <t xml:space="preserve">304 stainless steel double toilet tissue paper roll holder; recessed built-in; brushed nickel; wall-mounted; anti-rust; modern; 3-year warranty</t>
        </is>
      </c>
      <c r="D54" s="4427" t="inlineStr">
        <is>
          <t xml:space="preserve">Wenzhou Wanze Sanitary Ware Co. (CHUNGO)</t>
        </is>
      </c>
      <c r="E54" s="4428" t="inlineStr">
        <is>
          <t xml:space="preserve">https://www.alibaba.com/product-detail/Bathroom-Accessories-304-Stainless-Steel-Double_1600267802325.html</t>
        </is>
      </c>
      <c r="F54" s="4427" t="inlineStr">
        <is>
          <t xml:space="preserve">each</t>
        </is>
      </c>
      <c r="G54" s="4427" t="n">
        <f>$B$12</f>
        <v>15</v>
      </c>
      <c r="H54" s="4419" t="inlineStr">
        <is>
          <t xml:space="preserve">$9.20-9.50</t>
        </is>
      </c>
      <c r="I54" s="4429" t="n">
        <v>9.35</v>
      </c>
      <c r="J54" s="4429" t="n">
        <f>G54*I54</f>
        <v>140.25</v>
      </c>
      <c r="K54" s="4430" t="n">
        <v>9.35</v>
      </c>
      <c r="L54" s="4431" t="inlineStr">
        <is>
          <t xml:space="preserve">MATCH</t>
        </is>
      </c>
      <c r="M54" s="4432" t="inlineStr">
        <is>
          <t xml:space="preserve">Alibaba $9.50 (50-99), $9.20 (100+); sheet $9.35 within range. Link LIVE. Verified 4/25.</t>
        </is>
      </c>
    </row>
    <row r="55" s="3154" customFormat="1" ht="13.5" customHeight="1">
      <c r="A55" s="4427" t="inlineStr">
        <is>
          <t xml:space="preserve">BA-18</t>
        </is>
      </c>
      <c r="B55" s="4427" t="inlineStr">
        <is>
          <t xml:space="preserve">Bathroom Hardware Set (4-pc)</t>
        </is>
      </c>
      <c r="C55" s="4427" t="inlineStr">
        <is>
          <t xml:space="preserve">4-piece bathroom hardware set; zinc; wall-mounted; towel bar + towel ring + toilet paper holder + robe hook; black; anti-rust; eco-friendly</t>
        </is>
      </c>
      <c r="D55" s="4427" t="inlineStr">
        <is>
          <t xml:space="preserve">Wenzhou Wanze Sanitary Ware Co. (CHUNGO)</t>
        </is>
      </c>
      <c r="E55" s="4428" t="inlineStr">
        <is>
          <t xml:space="preserve">https://www.alibaba.com/product-detail/Golden-Bathroom-Decor-Accessories-Set-4_1600466109111.html</t>
        </is>
      </c>
      <c r="F55" s="4427" t="inlineStr">
        <is>
          <t xml:space="preserve">set</t>
        </is>
      </c>
      <c r="G55" s="4427" t="n">
        <f>$B$12</f>
        <v>15</v>
      </c>
      <c r="H55" s="4419" t="inlineStr">
        <is>
          <t xml:space="preserve">$11.99-13.99</t>
        </is>
      </c>
      <c r="I55" s="4429" t="n">
        <v>12.99</v>
      </c>
      <c r="J55" s="4429" t="n">
        <f>G55*I55</f>
        <v>194.85</v>
      </c>
      <c r="K55" s="4430" t="n">
        <v>12.99</v>
      </c>
      <c r="L55" s="4431" t="inlineStr">
        <is>
          <t xml:space="preserve">MINOR</t>
        </is>
      </c>
      <c r="M55" s="4432" t="inlineStr">
        <is>
          <t xml:space="preserve">Alibaba $13.99 (200-499 MOQ); sheet $12.99. Below 200 MOQ. Link LIVE.</t>
        </is>
      </c>
    </row>
    <row r="56" s="3154" customFormat="1" ht="13.5" customHeight="1">
      <c r="A56" s="4427" t="inlineStr">
        <is>
          <t xml:space="preserve">BA-19</t>
        </is>
      </c>
      <c r="B56" s="4427" t="inlineStr">
        <is>
          <t xml:space="preserve">Air Freshener Dispenser</t>
        </is>
      </c>
      <c r="C56" s="4427" t="inlineStr">
        <is>
          <t xml:space="preserve">Automatic aerosol air freshener dispenser; PP plastic; wall-mounted/desktop; AA battery operated; 5/15/30 min timer; 250-300ml refill cans; FCC/RoHS certified; white</t>
        </is>
      </c>
      <c r="D56" s="4427" t="inlineStr">
        <is>
          <t xml:space="preserve">Shenzhen Siweiyi Technology Co.</t>
        </is>
      </c>
      <c r="E56" s="4428" t="inlineStr">
        <is>
          <t xml:space="preserve">https://www.alibaba.com/product-detail/Wholesale-Price-Toilet-Fragrance-Wall-Mounted_1601595543351.html</t>
        </is>
      </c>
      <c r="F56" s="4427" t="inlineStr">
        <is>
          <t xml:space="preserve">each</t>
        </is>
      </c>
      <c r="G56" s="4427" t="n">
        <f>$B$12</f>
        <v>15</v>
      </c>
      <c r="H56" s="4419" t="inlineStr">
        <is>
          <t xml:space="preserve">$1.99-2.30</t>
        </is>
      </c>
      <c r="I56" s="4429" t="n">
        <v>2.15</v>
      </c>
      <c r="J56" s="4429" t="n">
        <f>G56*I56</f>
        <v>32.25</v>
      </c>
      <c r="K56" s="4430" t="n">
        <v>2.15</v>
      </c>
      <c r="L56" s="4433" t="inlineStr">
        <is>
          <t xml:space="preserve">MATCH</t>
        </is>
      </c>
      <c r="M56" s="4432" t="inlineStr">
        <is>
          <t xml:space="preserve">Alibaba $2.10 (24-999); sheet $2.15 close. Link LIVE. Verified 4/25.</t>
        </is>
      </c>
    </row>
    <row r="57" s="3154" customFormat="1" ht="13.5" customHeight="1">
      <c r="A57" s="4427" t="inlineStr">
        <is>
          <t xml:space="preserve">BA-20</t>
        </is>
      </c>
      <c r="B57" s="4427" t="inlineStr">
        <is>
          <t xml:space="preserve">Bath Towel</t>
        </is>
      </c>
      <c r="C57" s="4427" t="inlineStr">
        <is>
          <t xml:space="preserve">5-star hotel luxury 100% cotton white bath towel; 70×140cm; 650g; 32S yarn; 500-699gsm; woven; quick-dry; solid white; rectangle; custom logo available; Oeko-Tex 100</t>
        </is>
      </c>
      <c r="D57" s="4427" t="inlineStr">
        <is>
          <t xml:space="preserve">Shanghai General Textile</t>
        </is>
      </c>
      <c r="E57" s="4428" t="inlineStr">
        <is>
          <t xml:space="preserve">https://www.alibaba.com/product-detail/5-Star-Hotel-Luxury-Bath-Towel_1601607643915.html</t>
        </is>
      </c>
      <c r="F57" s="4427" t="inlineStr">
        <is>
          <t xml:space="preserve">ea</t>
        </is>
      </c>
      <c r="G57" s="4427" t="n">
        <f>$B$12</f>
        <v>15</v>
      </c>
      <c r="H57" s="4419" t="inlineStr">
        <is>
          <t xml:space="preserve">$2.62–13.59</t>
        </is>
      </c>
      <c r="I57" s="4429" t="n">
        <v>4.25</v>
      </c>
      <c r="J57" s="4429" t="n">
        <f>G57*I57</f>
        <v>63.75</v>
      </c>
      <c r="K57" s="4430" t="n">
        <v>4.25</v>
      </c>
      <c r="L57" s="4431" t="inlineStr">
        <is>
          <t xml:space="preserve">MATCH</t>
        </is>
      </c>
      <c r="M57" s="4432" t="inlineStr">
        <is>
          <t xml:space="preserve">Alibaba $1.02-$5.30; sheet $4.25 within range. Link LIVE. Verified 4/25.</t>
        </is>
      </c>
    </row>
    <row r="58" s="3154" customFormat="1" ht="13.5" customHeight="1">
      <c r="A58" s="4419" t="inlineStr">
        <is>
          <t xml:space="preserve">BA-20A</t>
        </is>
      </c>
      <c r="B58" s="4419" t="inlineStr">
        <is>
          <t xml:space="preserve">Face Towel</t>
        </is>
      </c>
      <c r="C58" s="4419" t="inlineStr">
        <is>
          <t xml:space="preserve">100% cotton washcloth face towel; 32x32cm; 16S/21S/32S yarn; woven; white; hotel grade; Oeko-Tex 100</t>
        </is>
      </c>
      <c r="D58" s="4419" t="inlineStr">
        <is>
          <t xml:space="preserve">Shanghai General Textile</t>
        </is>
      </c>
      <c r="E58" s="4435" t="inlineStr">
        <is>
          <t xml:space="preserve">https://www.alibaba.com/product-detail/Washcloths-Cotton-Face-Towels-24-Pack_60751111431.html</t>
        </is>
      </c>
      <c r="F58" s="4419" t="inlineStr">
        <is>
          <t xml:space="preserve">ea</t>
        </is>
      </c>
      <c r="G58" s="4457" t="n">
        <f>$B$12*10</f>
        <v>150</v>
      </c>
      <c r="H58" s="4419" t="inlineStr">
        <is>
          <t xml:space="preserve">$0.50–0.80</t>
        </is>
      </c>
      <c r="I58" s="4429" t="n">
        <v>0.65</v>
      </c>
      <c r="J58" s="4448" t="n">
        <f>G58*I58</f>
        <v>97.5</v>
      </c>
      <c r="K58" s="4430" t="n">
        <v>0.8</v>
      </c>
      <c r="L58" s="4431" t="inlineStr">
        <is>
          <t xml:space="preserve">PRICE CHANGED</t>
        </is>
      </c>
      <c r="M58" s="4432" t="inlineStr">
        <is>
          <t xml:space="preserve">Was $0.65; now $0.80 (50-499 tier). Link LIVE.</t>
        </is>
      </c>
    </row>
    <row r="59" s="3154" customFormat="1" ht="13.5" customHeight="1">
      <c r="A59" s="4458" t="inlineStr">
        <is>
          <t xml:space="preserve">BA-20B</t>
        </is>
      </c>
      <c r="B59" s="4458" t="inlineStr">
        <is>
          <t xml:space="preserve">RFID Laundry Tag</t>
        </is>
      </c>
      <c r="C59" s="4458" t="inlineStr">
        <is>
          <t xml:space="preserve">ZDCARD UHF washable textile RFID tag; 860-960MHz; NXP U-Code 8 chip; COB + polyester fiber; sewn-in; 200 wash cycles; 58×15mm; CE/RoHS; ISO 18000-6C / EPC Gen2</t>
        </is>
      </c>
      <c r="D59" s="4458" t="inlineStr">
        <is>
          <t xml:space="preserve">Shenzhen Zd Technology Co. (ZDCARD)</t>
        </is>
      </c>
      <c r="E59" s="4459" t="inlineStr">
        <is>
          <t xml:space="preserve">https://www.alibaba.com/product-detail/High-Temperature-UHF-Rfid-Washable-Textile_62341164689.html</t>
        </is>
      </c>
      <c r="F59" s="4458" t="inlineStr">
        <is>
          <t xml:space="preserve">ea</t>
        </is>
      </c>
      <c r="G59" s="4458" t="n">
        <f>G57+G58+G60+G61</f>
        <v>348</v>
      </c>
      <c r="H59" s="4460" t="inlineStr">
        <is>
          <t xml:space="preserve">$0.15–0.25</t>
        </is>
      </c>
      <c r="I59" s="4461" t="n">
        <v>0.2</v>
      </c>
      <c r="J59" s="4461" t="n">
        <f>G59*I59</f>
        <v>69.60000000000001</v>
      </c>
      <c r="K59" s="4430" t="n">
        <v>0.2</v>
      </c>
      <c r="L59" s="4431" t="inlineStr">
        <is>
          <t xml:space="preserve">MATCH</t>
        </is>
      </c>
      <c r="M59" s="4432" t="inlineStr">
        <is>
          <t xml:space="preserve">Alibaba $0.20 exact match. Link LIVE. Verified 4/25.</t>
        </is>
      </c>
    </row>
    <row r="60" s="3154" customFormat="1" ht="13.5" customHeight="1">
      <c r="A60" s="4427" t="inlineStr">
        <is>
          <t xml:space="preserve">BA-21</t>
        </is>
      </c>
      <c r="B60" s="4427" t="inlineStr">
        <is>
          <t xml:space="preserve">Bath Robes</t>
        </is>
      </c>
      <c r="C60" s="4427" t="inlineStr">
        <is>
          <t xml:space="preserve">White shawl collar 100% cotton terry bathrobe; 1100g; full length; quick dry; breathable; embroidered logo; all-season; M-L</t>
        </is>
      </c>
      <c r="D60" s="4427" t="inlineStr">
        <is>
          <t xml:space="preserve">Shanghai General Textile</t>
        </is>
      </c>
      <c r="E60" s="4428" t="inlineStr">
        <is>
          <t xml:space="preserve">https://www.alibaba.com/product-detail/Custom-Size-White-Shawl-Collar-100_60838891571.html</t>
        </is>
      </c>
      <c r="F60" s="4427" t="inlineStr">
        <is>
          <t xml:space="preserve">each</t>
        </is>
      </c>
      <c r="G60" s="4427" t="n">
        <f>$B$8</f>
        <v>73</v>
      </c>
      <c r="H60" s="4419" t="inlineStr">
        <is>
          <t xml:space="preserve">$10.70–11.90</t>
        </is>
      </c>
      <c r="I60" s="4429" t="n">
        <v>11.3</v>
      </c>
      <c r="J60" s="4429" t="n">
        <f>G60*I60</f>
        <v>824.9000000000001</v>
      </c>
      <c r="K60" s="4430" t="n">
        <v>11.9</v>
      </c>
      <c r="L60" s="4431" t="inlineStr">
        <is>
          <t xml:space="preserve">MINOR</t>
        </is>
      </c>
      <c r="M60" s="4432" t="inlineStr">
        <is>
          <t xml:space="preserve">Alibaba $11.90 (30-399); sheet $11.30. Close. Link LIVE. Verified 4/25.</t>
        </is>
      </c>
    </row>
    <row r="61" s="3154" customFormat="1" ht="13.5" customHeight="1">
      <c r="A61" s="4419" t="inlineStr">
        <is>
          <t xml:space="preserve">BA-21A</t>
        </is>
      </c>
      <c r="B61" s="4419" t="inlineStr">
        <is>
          <t xml:space="preserve">Bath Mat</t>
        </is>
      </c>
      <c r="C61" s="4419" t="inlineStr">
        <is>
          <t xml:space="preserve">JR341 hotel bathroom cotton non-slip foot towel bath mat; 100% cotton; 50×80cm; 400g; machine made; jacquard; 1.5 per room</t>
        </is>
      </c>
      <c r="D61" s="4419" t="inlineStr">
        <is>
          <t xml:space="preserve">Shanghai General Textile</t>
        </is>
      </c>
      <c r="E61" s="4435" t="inlineStr">
        <is>
          <t xml:space="preserve">https://www.alibaba.com/product-detail/JR341-Hotel-Bathroom-Cotton-Non-slip_60824399416.html</t>
        </is>
      </c>
      <c r="F61" s="4419" t="inlineStr">
        <is>
          <t xml:space="preserve">each</t>
        </is>
      </c>
      <c r="G61" s="4419" t="n">
        <f>ROUND($B$8*1.5,0)</f>
        <v>110</v>
      </c>
      <c r="H61" s="4419" t="inlineStr">
        <is>
          <t xml:space="preserve">$3–4.40</t>
        </is>
      </c>
      <c r="I61" s="4429" t="n">
        <v>3.7</v>
      </c>
      <c r="J61" s="4429" t="n">
        <f>G61*I61</f>
        <v>407</v>
      </c>
      <c r="K61" s="4430" t="n">
        <v>4.4</v>
      </c>
      <c r="L61" s="4431" t="inlineStr">
        <is>
          <t xml:space="preserve">PRICE CHANGED</t>
        </is>
      </c>
      <c r="M61" s="4432" t="inlineStr">
        <is>
          <t xml:space="preserve">Was $3.70; now $4.40 (1-999 tier). Link LIVE.</t>
        </is>
      </c>
    </row>
    <row r="62" s="3154" customFormat="1" ht="13.5" customHeight="1">
      <c r="A62" s="4427" t="inlineStr">
        <is>
          <t xml:space="preserve">BA-22</t>
        </is>
      </c>
      <c r="B62" s="4427" t="inlineStr">
        <is>
          <t xml:space="preserve">Hand Dryer</t>
        </is>
      </c>
      <c r="C62" s="4427" t="inlineStr">
        <is>
          <t xml:space="preserve">ABS black V-shaped wall-mounted electric automatic hand dryer; 1500W; sensor-activated; hotel/commercial grade; 1-year warranty; free spare parts</t>
        </is>
      </c>
      <c r="D62" s="4427" t="inlineStr">
        <is>
          <t xml:space="preserve">Modun (Zhejiang) Industrial Co.</t>
        </is>
      </c>
      <c r="E62" s="4428" t="inlineStr">
        <is>
          <t xml:space="preserve">https://www.alibaba.com/product-detail/Modun-Wall-Mounted-Electric-Automatic-Hand_1601258142021.html</t>
        </is>
      </c>
      <c r="F62" s="4427" t="inlineStr">
        <is>
          <t xml:space="preserve">each</t>
        </is>
      </c>
      <c r="G62" s="4427" t="n">
        <f>$B$12</f>
        <v>15</v>
      </c>
      <c r="H62" s="4419" t="inlineStr">
        <is>
          <t xml:space="preserve">$42–52</t>
        </is>
      </c>
      <c r="I62" s="4429" t="n">
        <v>47</v>
      </c>
      <c r="J62" s="4429" t="n">
        <f>G62*I62</f>
        <v>705</v>
      </c>
      <c r="K62" s="4430" t="n">
        <v>52</v>
      </c>
      <c r="L62" s="4431" t="inlineStr">
        <is>
          <t xml:space="preserve">PRICE CHANGED</t>
        </is>
      </c>
      <c r="M62" s="4432" t="inlineStr">
        <is>
          <t xml:space="preserve">Was $47; now $52 (1-99 tier), $45 (100-299). Link LIVE.</t>
        </is>
      </c>
    </row>
    <row r="63" s="3154" customFormat="1" ht="13.5" customHeight="1">
      <c r="A63" s="4427" t="inlineStr">
        <is>
          <t xml:space="preserve">BA-24</t>
        </is>
      </c>
      <c r="B63" s="4427" t="inlineStr">
        <is>
          <t xml:space="preserve">Housekeeping Bathroom Cart</t>
        </is>
      </c>
      <c r="C63" s="4427" t="inlineStr">
        <is>
          <t xml:space="preserve">Multifunctional janitorial cleaning trolley; waterproof bag; 3-shelf utility cart; 450 lb capacity; commercial hotel housekeeping</t>
        </is>
      </c>
      <c r="D63" s="4427" t="inlineStr">
        <is>
          <t xml:space="preserve">Yongkang Runding Industry &amp; Trade</t>
        </is>
      </c>
      <c r="E63" s="4428" t="inlineStr">
        <is>
          <t xml:space="preserve">https://www.alibaba.com/product-detail/Multifunctional-Janitorial-Cleaning-Trolley-Waterproof-Bag_1601641950825.html</t>
        </is>
      </c>
      <c r="F63" s="4427" t="inlineStr">
        <is>
          <t xml:space="preserve">each</t>
        </is>
      </c>
      <c r="G63" s="4462" t="n">
        <v>2</v>
      </c>
      <c r="H63" s="4419" t="inlineStr">
        <is>
          <t xml:space="preserve">$22–99</t>
        </is>
      </c>
      <c r="I63" s="4429" t="n">
        <v>112.6</v>
      </c>
      <c r="J63" s="4448" t="n">
        <f>G63*I63</f>
        <v>225.2</v>
      </c>
      <c r="K63" s="4430" t="n">
        <v>112.6</v>
      </c>
      <c r="L63" s="4431" t="inlineStr">
        <is>
          <t xml:space="preserve">MATCH</t>
        </is>
      </c>
      <c r="M63" s="4432" t="inlineStr">
        <is>
          <t xml:space="preserve">Alibaba $112.60 (10-99 pcs). Link LIVE. Verified 4/27.</t>
        </is>
      </c>
    </row>
    <row r="64" s="3154" customFormat="1" ht="13.5" customHeight="1">
      <c r="A64" s="4427" t="inlineStr">
        <is>
          <t xml:space="preserve">BA-25</t>
        </is>
      </c>
      <c r="B64" s="4419" t="inlineStr">
        <is>
          <t xml:space="preserve">Towel Hamper Cart</t>
        </is>
      </c>
      <c r="C64" s="4419" t="inlineStr">
        <is>
          <t xml:space="preserve">X-folding hospital/hotel laundry linen trolley cart; room service cart; cleaning service</t>
        </is>
      </c>
      <c r="D64" s="4419" t="inlineStr">
        <is>
          <t xml:space="preserve">Alibaba (generic)</t>
        </is>
      </c>
      <c r="E64" s="4435" t="inlineStr">
        <is>
          <t xml:space="preserve">https://www.alibaba.com/product-detail/X-Folding-Hospital-and-Hotel-Room_62555705024.html</t>
        </is>
      </c>
      <c r="F64" s="4419" t="inlineStr">
        <is>
          <t xml:space="preserve">each</t>
        </is>
      </c>
      <c r="G64" s="4457" t="n">
        <v>15</v>
      </c>
      <c r="H64" s="4419" t="inlineStr">
        <is>
          <t xml:space="preserve">$50–168</t>
        </is>
      </c>
      <c r="I64" s="4429" t="n">
        <v>37</v>
      </c>
      <c r="J64" s="4448" t="n">
        <f>G64*I64</f>
        <v>555</v>
      </c>
      <c r="K64" s="4430" t="n">
        <v>37</v>
      </c>
      <c r="L64" s="4431" t="inlineStr">
        <is>
          <t xml:space="preserve">MATCH</t>
        </is>
      </c>
      <c r="M64" s="4432" t="inlineStr">
        <is>
          <t xml:space="preserve">Alibaba $37 (1-49 pcs), $34 (50+). Link LIVE. Verified 4/27.</t>
        </is>
      </c>
    </row>
    <row r="65" s="3154" customFormat="1" ht="13.5" customHeight="1">
      <c r="A65" s="4419" t="inlineStr">
        <is>
          <t xml:space="preserve">BA-27</t>
        </is>
      </c>
      <c r="B65" s="4419" t="inlineStr">
        <is>
          <t xml:space="preserve">Bathroom Door Lock</t>
        </is>
      </c>
      <c r="C65" s="4419" t="inlineStr">
        <is>
          <t xml:space="preserve">Koppalive 901-A solid brass square lever door handle; mortise interior lock set; US standard; contemporary/modern; privacy/passage/invisible lock options; 72x55mm lock body; fits 30-50mm doors; 1-year warranty</t>
        </is>
      </c>
      <c r="D65" s="4419" t="inlineStr">
        <is>
          <t xml:space="preserve">Koppalive (Zhejiang Zhangshi Hardware)</t>
        </is>
      </c>
      <c r="E65" s="4435" t="inlineStr">
        <is>
          <t xml:space="preserve">https://www.alibaba.com/product-detail/Koppalive-Door-Hardware-Square-Solid-Brass_62313844810.html</t>
        </is>
      </c>
      <c r="F65" s="4419" t="inlineStr">
        <is>
          <t xml:space="preserve">each</t>
        </is>
      </c>
      <c r="G65" s="4457" t="n">
        <f>$B$12</f>
        <v>15</v>
      </c>
      <c r="H65" s="4419" t="inlineStr">
        <is>
          <t xml:space="preserve">$40–45</t>
        </is>
      </c>
      <c r="I65" s="4429" t="n">
        <v>42.5</v>
      </c>
      <c r="J65" s="4448" t="n">
        <f>G65*I65</f>
        <v>637.5</v>
      </c>
      <c r="K65" s="4430" t="n">
        <v>42.5</v>
      </c>
      <c r="L65" s="4431" t="inlineStr">
        <is>
          <t xml:space="preserve">MATCH</t>
        </is>
      </c>
      <c r="M65" s="4432" t="inlineStr">
        <is>
          <t xml:space="preserve">Same as GR-13. $40-$45; sheet $42.50. Link LIVE. Verified 4/25.</t>
        </is>
      </c>
    </row>
    <row r="66" s="3154" customFormat="1" ht="13.5" customHeight="1">
      <c r="A66" s="4419" t="inlineStr">
        <is>
          <t xml:space="preserve">BA-27A</t>
        </is>
      </c>
      <c r="B66" s="4419" t="inlineStr">
        <is>
          <t xml:space="preserve">Bathroom Door</t>
        </is>
      </c>
      <c r="C66" s="4419" t="inlineStr">
        <is>
          <t xml:space="preserve">JBD commercial grade fire rated solid wood door; 60/90/120 min; intumescent strip + smoke barrier; UL listed; CE certified; prehung; modern finish; 5-year warranty; GC installed; 2'6" wide (non-ADA) / 3' wide (ADA)</t>
        </is>
      </c>
      <c r="D66" s="4419" t="inlineStr">
        <is>
          <t xml:space="preserve">Foshan JBD Home Building Material</t>
        </is>
      </c>
      <c r="E66" s="4435" t="inlineStr">
        <is>
          <t xml:space="preserve">https://www.alibaba.com/product-detail/Commercial-Grade-60-90-120-Minute_1601698199523.html</t>
        </is>
      </c>
      <c r="F66" s="4419" t="inlineStr">
        <is>
          <t xml:space="preserve">ea</t>
        </is>
      </c>
      <c r="G66" s="4419" t="n">
        <f>$B$12</f>
        <v>15</v>
      </c>
      <c r="H66" s="4419" t="inlineStr">
        <is>
          <t xml:space="preserve">$108–128</t>
        </is>
      </c>
      <c r="I66" s="4429" t="n">
        <v>118</v>
      </c>
      <c r="J66" s="4429" t="n">
        <f>G66*I66</f>
        <v>1770</v>
      </c>
      <c r="K66" s="4430" t="n">
        <v>118</v>
      </c>
      <c r="L66" s="4431" t="inlineStr">
        <is>
          <t xml:space="preserve">MATCH</t>
        </is>
      </c>
      <c r="M66" s="4432" t="inlineStr">
        <is>
          <t xml:space="preserve">Same as GR-13A. $118 match. Link LIVE. Verified 4/25.</t>
        </is>
      </c>
    </row>
    <row r="67" s="3154" customFormat="1" ht="13.5" customHeight="1">
      <c r="A67" s="4425" t="inlineStr">
        <is>
          <t xml:space="preserve">  LOBBY &amp; COMMON AREA (LB)</t>
        </is>
      </c>
      <c r="B67" s="4425" t="n"/>
      <c r="C67" s="4425" t="n"/>
      <c r="D67" s="4425" t="n"/>
      <c r="E67" s="4453" t="n"/>
      <c r="F67" s="4425" t="n"/>
      <c r="G67" s="4425" t="n"/>
      <c r="H67" s="4425" t="n"/>
      <c r="I67" s="4425" t="n"/>
      <c r="J67" s="4419" t="n"/>
    </row>
    <row r="68" s="3154" customFormat="1" ht="13.5" customHeight="1">
      <c r="A68" s="4427" t="inlineStr">
        <is>
          <t xml:space="preserve">LB-03</t>
        </is>
      </c>
      <c r="B68" s="4427" t="inlineStr">
        <is>
          <t xml:space="preserve">Bench</t>
        </is>
      </c>
      <c r="C68" s="4427" t="inlineStr">
        <is>
          <t xml:space="preserve">Custom modern iron park bench; powder-coated; outdoor patio; metal; factory direct; custom color</t>
        </is>
      </c>
      <c r="D68" s="4427" t="inlineStr">
        <is>
          <t xml:space="preserve">Guangzhou Max Metal Product Factory</t>
        </is>
      </c>
      <c r="E68" s="4428" t="inlineStr">
        <is>
          <t xml:space="preserve">https://www.alibaba.com/product-detail/Custom-Modern-Iron-Park-Benches-Leisure_1600619337486.html</t>
        </is>
      </c>
      <c r="F68" s="4427" t="inlineStr">
        <is>
          <t xml:space="preserve">each</t>
        </is>
      </c>
      <c r="G68" s="4462" t="n">
        <v>1</v>
      </c>
      <c r="H68" s="4419" t="inlineStr">
        <is>
          <t xml:space="preserve">$115</t>
        </is>
      </c>
      <c r="I68" s="4429" t="n">
        <v>115</v>
      </c>
      <c r="J68" s="4448" t="n">
        <f>G68*I68</f>
        <v>115</v>
      </c>
      <c r="K68" s="4430" t="n">
        <v>115</v>
      </c>
      <c r="L68" s="4433" t="inlineStr">
        <is>
          <t xml:space="preserve">MATCH</t>
        </is>
      </c>
      <c r="M68" s="4432" t="inlineStr">
        <is>
          <t xml:space="preserve">Reinstated per user. Qty=1. Alibaba $115 match. Link LIVE. Verified 4/25.</t>
        </is>
      </c>
    </row>
    <row r="69" s="3154" customFormat="1" ht="13.5" customHeight="1">
      <c r="A69" s="4427" t="inlineStr">
        <is>
          <t xml:space="preserve">LB-05</t>
        </is>
      </c>
      <c r="B69" s="4427" t="inlineStr">
        <is>
          <t xml:space="preserve">Drinking Water Fountain</t>
        </is>
      </c>
      <c r="C69" s="4427" t="inlineStr">
        <is>
          <t xml:space="preserve">Wall-mounted sensor-activated drinking water cooler + bottle filling station; 304 stainless steel; cold water; electric; POU; CE certified; 485×455×1083mm; energy-saving</t>
        </is>
      </c>
      <c r="D69" s="4427" t="inlineStr">
        <is>
          <t xml:space="preserve">Guangdong Guangchun Energy Saving Equipment Co.</t>
        </is>
      </c>
      <c r="E69" s="4428" t="inlineStr">
        <is>
          <t xml:space="preserve">https://www.alibaba.com/product-detail/Factory-Supply-Sensor-Activation-Drinking-Water_1601559169857.html</t>
        </is>
      </c>
      <c r="F69" s="4427" t="inlineStr">
        <is>
          <t xml:space="preserve">each</t>
        </is>
      </c>
      <c r="G69" s="4462" t="n">
        <v>1</v>
      </c>
      <c r="H69" s="4419" t="inlineStr">
        <is>
          <t xml:space="preserve">$450-498</t>
        </is>
      </c>
      <c r="I69" s="4429" t="n">
        <v>474</v>
      </c>
      <c r="J69" s="4448" t="n">
        <f>G69*I69</f>
        <v>474</v>
      </c>
      <c r="K69" s="4430" t="n">
        <v>474</v>
      </c>
      <c r="L69" s="4431" t="inlineStr">
        <is>
          <t xml:space="preserve">MATCH</t>
        </is>
      </c>
      <c r="M69" s="4432" t="inlineStr">
        <is>
          <t xml:space="preserve">Alibaba $450-$498; sheet $474 within range. Link LIVE. Verified 4/25.</t>
        </is>
      </c>
    </row>
    <row r="70" s="3154" customFormat="1" ht="13.5" customHeight="1">
      <c r="A70" s="4463" t="inlineStr">
        <is>
          <t xml:space="preserve">LB-06</t>
        </is>
      </c>
      <c r="B70" s="4463" t="inlineStr">
        <is>
          <t xml:space="preserve">Smart Parcel / Luggage Locker</t>
        </is>
      </c>
      <c r="C70" s="4463" t="inlineStr">
        <is>
          <t xml:space="preserve">Yinlong smart parcel locker; self pick-up express; payment function; non-touch intelligent delivery digital locker</t>
        </is>
      </c>
      <c r="D70" s="4463" t="inlineStr">
        <is>
          <t xml:space="preserve">Luoyang Yinlong Office Furniture</t>
        </is>
      </c>
      <c r="E70" s="4464" t="inlineStr">
        <is>
          <t xml:space="preserve">https://www.alibaba.com/product-detail/Yinlong-Smart-Parcel-Locker-Self-Pick_1601766366133.html</t>
        </is>
      </c>
      <c r="F70" s="4463" t="inlineStr">
        <is>
          <t xml:space="preserve">each</t>
        </is>
      </c>
      <c r="G70" s="4463" t="n">
        <v>2</v>
      </c>
      <c r="H70" s="4465" t="inlineStr">
        <is>
          <t xml:space="preserve">$799 (1-4), $699 (5+)</t>
        </is>
      </c>
      <c r="I70" s="4466" t="n">
        <v>799</v>
      </c>
      <c r="J70" s="4466" t="n">
        <f>G70*I70</f>
        <v>1598</v>
      </c>
      <c r="K70" s="4430" t="n">
        <v>799</v>
      </c>
      <c r="L70" s="4431" t="inlineStr">
        <is>
          <t xml:space="preserve">MATCH</t>
        </is>
      </c>
      <c r="M70" s="4432" t="inlineStr">
        <is>
          <t xml:space="preserve">New link (smart parcel locker). $799 (1-4 tier at 2 units). Verified 4/25.</t>
        </is>
      </c>
    </row>
    <row r="71" s="3154" customFormat="1" ht="13.5" customHeight="1">
      <c r="A71" s="4427" t="inlineStr">
        <is>
          <t xml:space="preserve">LB-07</t>
        </is>
      </c>
      <c r="B71" s="4427" t="inlineStr">
        <is>
          <t xml:space="preserve">Common Area Table</t>
        </is>
      </c>
      <c r="C71" s="4427" t="inlineStr">
        <is>
          <t xml:space="preserve">Solid wood 6ft/8ft thick top dining table; modern rectangular; oak/pine; custom size; hotel/restaurant use; MOQ 2</t>
        </is>
      </c>
      <c r="D71" s="4427" t="inlineStr">
        <is>
          <t xml:space="preserve">Chongqing Bilido Furniture Co.</t>
        </is>
      </c>
      <c r="E71" s="4428" t="inlineStr">
        <is>
          <t xml:space="preserve">https://www.alibaba.com/product-detail/Solid-Wood-Large-6ft-8ft-Thick_1600734690943.html</t>
        </is>
      </c>
      <c r="F71" s="4427" t="inlineStr">
        <is>
          <t xml:space="preserve">each</t>
        </is>
      </c>
      <c r="G71" s="4462" t="n">
        <v>4</v>
      </c>
      <c r="H71" s="4419" t="inlineStr">
        <is>
          <t xml:space="preserve">$154–606</t>
        </is>
      </c>
      <c r="I71" s="4429" t="n">
        <v>380</v>
      </c>
      <c r="J71" s="4448" t="n">
        <f>G71*I71</f>
        <v>1520</v>
      </c>
      <c r="K71" s="4430" t="n">
        <v>380</v>
      </c>
      <c r="L71" s="4431" t="inlineStr">
        <is>
          <t xml:space="preserve">MATCH</t>
        </is>
      </c>
      <c r="M71" s="4432" t="inlineStr">
        <is>
          <t xml:space="preserve">Alibaba $154.70-$606.17; sheet $380 within range. Link LIVE. Verified 4/25.</t>
        </is>
      </c>
    </row>
    <row r="72" s="3154" customFormat="1" ht="13.5" customHeight="1">
      <c r="A72" s="4427" t="inlineStr">
        <is>
          <t xml:space="preserve">LB-09</t>
        </is>
      </c>
      <c r="B72" s="4427" t="inlineStr">
        <is>
          <t xml:space="preserve">Entry Door Carpet</t>
        </is>
      </c>
      <c r="C72" s="4427" t="inlineStr">
        <is>
          <t xml:space="preserve">Commercial custom printed nylon logo mat; rubber backing; non-slip; 3-7mm thick; custom Sleep Space branding; CRI + CE certified</t>
        </is>
      </c>
      <c r="D72" s="4427" t="inlineStr">
        <is>
          <t xml:space="preserve">Shanghai Fairmont Industries</t>
        </is>
      </c>
      <c r="E72" s="4428" t="inlineStr">
        <is>
          <t xml:space="preserve">https://www.alibaba.com/product-detail/Commercial-Carpet-Black-Logo-Mat-Custom_1601389033607.html</t>
        </is>
      </c>
      <c r="F72" s="4427" t="inlineStr">
        <is>
          <t xml:space="preserve">each</t>
        </is>
      </c>
      <c r="G72" s="4427" t="n">
        <v>2</v>
      </c>
      <c r="H72" s="4419" t="inlineStr">
        <is>
          <t xml:space="preserve">$490-690</t>
        </is>
      </c>
      <c r="I72" s="4429" t="n">
        <v>590</v>
      </c>
      <c r="J72" s="4429" t="n">
        <f>G72*I72</f>
        <v>1180</v>
      </c>
      <c r="K72" s="4430" t="n">
        <v>6.9</v>
      </c>
      <c r="L72" s="4431" t="inlineStr">
        <is>
          <t xml:space="preserve">PRICE MISMATCH</t>
        </is>
      </c>
      <c r="M72" s="4432" t="inlineStr">
        <is>
          <t xml:space="preserve">Qty updated to 2. Alibaba shows $6.90 (1-4), $5.90 (5-49). Sheet Est$=590. Either wrong link or wrong price. Verified 4/25.</t>
        </is>
      </c>
    </row>
    <row r="73" s="3154" customFormat="1" ht="13.5" customHeight="1">
      <c r="A73" s="4427" t="inlineStr">
        <is>
          <t xml:space="preserve">LB-10</t>
        </is>
      </c>
      <c r="B73" s="4427" t="inlineStr">
        <is>
          <t xml:space="preserve">Recycling / Trash Bins</t>
        </is>
      </c>
      <c r="C73" s="4427" t="inlineStr">
        <is>
          <t xml:space="preserve">52L stainless steel sorting/recycling bin; open top; galvanized steel inner liner; powder coated; 350×350×750mm; indoor; eco-friendly</t>
        </is>
      </c>
      <c r="D73" s="4427" t="inlineStr">
        <is>
          <t xml:space="preserve">Guangzhou Max Metal Product Factory</t>
        </is>
      </c>
      <c r="E73" s="4428" t="inlineStr">
        <is>
          <t xml:space="preserve">https://www.alibaba.com/product-detail/Shopping-Centres-Sorting-Recycling-Rubbish-Bins_1600941476437.html</t>
        </is>
      </c>
      <c r="F73" s="4427" t="inlineStr">
        <is>
          <t xml:space="preserve">each</t>
        </is>
      </c>
      <c r="G73" s="4462" t="n">
        <v>10</v>
      </c>
      <c r="H73" s="4419" t="inlineStr">
        <is>
          <t xml:space="preserve">$33-45</t>
        </is>
      </c>
      <c r="I73" s="4429" t="n">
        <v>45.1</v>
      </c>
      <c r="J73" s="4448" t="n">
        <f>G73*I73</f>
        <v>451</v>
      </c>
      <c r="K73" s="4430" t="n">
        <v>45.1</v>
      </c>
      <c r="L73" s="4431" t="inlineStr">
        <is>
          <t xml:space="preserve">MATCH</t>
        </is>
      </c>
      <c r="M73" s="4432" t="inlineStr">
        <is>
          <t xml:space="preserve">Alibaba $33-$45.10; sheet $45.10 at top of range. Link LIVE. Verified 4/25.</t>
        </is>
      </c>
    </row>
    <row r="74" s="3154" customFormat="1" ht="13.5" customHeight="1">
      <c r="A74" s="4427" t="inlineStr">
        <is>
          <t xml:space="preserve">LB-12</t>
        </is>
      </c>
      <c r="B74" s="4427" t="inlineStr">
        <is>
          <t xml:space="preserve">Lobby Coffee Station</t>
        </is>
      </c>
      <c r="C74" s="4427" t="inlineStr">
        <is>
          <t xml:space="preserve">JURA GIGA X8 professional automatic coffee machine; 4.3" touchscreen; dual thermoblock; dual ceramic grinders; P.E.P.; up to 200 cups/day; Smart Connect; I.W.S. RFID water filter; variable dual spout; Swiss Made</t>
        </is>
      </c>
      <c r="D74" s="4427" t="inlineStr">
        <is>
          <t xml:space="preserve">JURA</t>
        </is>
      </c>
      <c r="E74" s="4428" t="inlineStr">
        <is>
          <t xml:space="preserve">https://shopjura.com/giga-x8-professional.html</t>
        </is>
      </c>
      <c r="F74" s="4427" t="inlineStr">
        <is>
          <t xml:space="preserve">each</t>
        </is>
      </c>
      <c r="G74" s="4427" t="n">
        <v>1</v>
      </c>
      <c r="H74" s="4419" t="inlineStr">
        <is>
          <t xml:space="preserve">$9,999</t>
        </is>
      </c>
      <c r="I74" s="4429" t="n">
        <v>9999</v>
      </c>
      <c r="J74" s="4429" t="n">
        <f>G74*I74</f>
        <v>9999</v>
      </c>
      <c r="K74" s="4430" t="n">
        <v>9999</v>
      </c>
      <c r="L74" s="4431" t="inlineStr">
        <is>
          <t xml:space="preserve">MATCH</t>
        </is>
      </c>
      <c r="M74" s="4432" t="inlineStr">
        <is>
          <t xml:space="preserve">shopjura.com; $9,999 confirmed. Verified prior session.</t>
        </is>
      </c>
    </row>
    <row r="75" s="3154" customFormat="1" ht="13.5" customHeight="1">
      <c r="A75" s="4458" t="inlineStr">
        <is>
          <t xml:space="preserve">LB-13</t>
        </is>
      </c>
      <c r="B75" s="4458" t="inlineStr">
        <is>
          <t xml:space="preserve">Commercial Orange Juicer</t>
        </is>
      </c>
      <c r="C75" s="4458" t="inlineStr">
        <is>
          <t xml:space="preserve">Baokang automatic commercial orange citrus juice extractor; 1200W; 220V; stainless steel; 3+ speed; 400×330×780mm; 55kg; pressure vessel core; CE; 1-year warranty</t>
        </is>
      </c>
      <c r="D75" s="4458" t="inlineStr">
        <is>
          <t xml:space="preserve">Guangzhou Baokang Western Kitchen Equipment Factory</t>
        </is>
      </c>
      <c r="E75" s="4459" t="inlineStr">
        <is>
          <t xml:space="preserve">https://www.alibaba.com/product-detail/Commercial-Automatic-Orange-Citrus-Juice-Extractor_1601602162020.html</t>
        </is>
      </c>
      <c r="F75" s="4458" t="inlineStr">
        <is>
          <t xml:space="preserve">each</t>
        </is>
      </c>
      <c r="G75" s="4458" t="n">
        <v>1</v>
      </c>
      <c r="H75" s="4460" t="inlineStr">
        <is>
          <t xml:space="preserve">$385–410</t>
        </is>
      </c>
      <c r="I75" s="4461" t="n">
        <v>410</v>
      </c>
      <c r="J75" s="4461" t="n">
        <f>G75*I75</f>
        <v>410</v>
      </c>
      <c r="K75" s="4430" t="n">
        <v>410</v>
      </c>
      <c r="L75" s="4431" t="inlineStr">
        <is>
          <t xml:space="preserve">MATCH</t>
        </is>
      </c>
      <c r="M75" s="4432" t="inlineStr">
        <is>
          <t xml:space="preserve">Alibaba $410 exact match (1-9 tier). Link LIVE. Verified 4/25.</t>
        </is>
      </c>
    </row>
    <row r="76" s="3154" customFormat="1" ht="13.5" customHeight="1">
      <c r="A76" s="4458" t="inlineStr">
        <is>
          <t xml:space="preserve">LB-14</t>
        </is>
      </c>
      <c r="B76" s="4458" t="inlineStr">
        <is>
          <t xml:space="preserve">Nugget Ice Maker</t>
        </is>
      </c>
      <c r="C76" s="4458" t="inlineStr">
        <is>
          <t xml:space="preserve">SKOFO SKF-SCT80JW countertop nugget ice maker; 60kg/day; 5kg bin; stainless steel; 450W; R290 refrigerant; touchpad control; tap water or bottled water input; filter provided; Class A energy; ETL/RoHS/REACH certified; 1-year warranty</t>
        </is>
      </c>
      <c r="D76" s="4458" t="inlineStr">
        <is>
          <t xml:space="preserve">Cixi Jirui Electric Appliance Co. (SKOFO)</t>
        </is>
      </c>
      <c r="E76" s="4459" t="inlineStr">
        <is>
          <t xml:space="preserve">https://www.alibaba.com/product-detail/Hotel-Counter-Top-80kg-Day-Output_1601642126489.html</t>
        </is>
      </c>
      <c r="F76" s="4458" t="inlineStr">
        <is>
          <t xml:space="preserve">each</t>
        </is>
      </c>
      <c r="G76" s="4458" t="n">
        <v>1</v>
      </c>
      <c r="H76" s="4460" t="inlineStr">
        <is>
          <t xml:space="preserve">$725–760</t>
        </is>
      </c>
      <c r="I76" s="4461" t="n">
        <v>760</v>
      </c>
      <c r="J76" s="4461" t="n">
        <f>G76*I76</f>
        <v>760</v>
      </c>
      <c r="K76" s="4430" t="n">
        <v>760</v>
      </c>
      <c r="L76" s="4431" t="inlineStr">
        <is>
          <t xml:space="preserve">MATCH</t>
        </is>
      </c>
      <c r="M76" s="4432" t="inlineStr">
        <is>
          <t xml:space="preserve">Alibaba $760 exact match (1-99 tier). Link LIVE. Verified 4/25.</t>
        </is>
      </c>
    </row>
    <row r="77" s="3154" customFormat="1" ht="13.5" customHeight="1">
      <c r="A77" s="4458" t="inlineStr">
        <is>
          <t xml:space="preserve">LB-15</t>
        </is>
      </c>
      <c r="B77" s="4458" t="inlineStr">
        <is>
          <t xml:space="preserve">Commercial Waffle Maker</t>
        </is>
      </c>
      <c r="C77" s="4458" t="inlineStr">
        <is>
          <t xml:space="preserve">Rebenet WB-03A Belgian waffle maker; 1000W; 220-240V; timer control; non-stick cast aluminum plate; 18cm diameter; 3cm thick; triangle shape; 20 pcs/hr; 124-230°C; 255×440×320mm; 11kg; CE certified; 1-year warranty</t>
        </is>
      </c>
      <c r="D77" s="4458" t="inlineStr">
        <is>
          <t xml:space="preserve">Guangzhou Rebenet Catering Equipment Mfg.</t>
        </is>
      </c>
      <c r="E77" s="4459" t="inlineStr">
        <is>
          <t xml:space="preserve">https://www.alibaba.com/product-detail/20-Blegian-Waffle-Per-Hour-1000W_1601221781290.html</t>
        </is>
      </c>
      <c r="F77" s="4458" t="inlineStr">
        <is>
          <t xml:space="preserve">each</t>
        </is>
      </c>
      <c r="G77" s="4458" t="n">
        <v>1</v>
      </c>
      <c r="H77" s="4460" t="inlineStr">
        <is>
          <t xml:space="preserve">$149–168</t>
        </is>
      </c>
      <c r="I77" s="4461" t="n">
        <v>168</v>
      </c>
      <c r="J77" s="4461" t="n">
        <f>G77*I77</f>
        <v>168</v>
      </c>
      <c r="K77" s="4430" t="n">
        <v>168</v>
      </c>
      <c r="L77" s="4431" t="inlineStr">
        <is>
          <t xml:space="preserve">MATCH</t>
        </is>
      </c>
      <c r="M77" s="4432" t="inlineStr">
        <is>
          <t xml:space="preserve">Alibaba $168 exact match (5-49 tier). Link LIVE. Verified 4/25.</t>
        </is>
      </c>
    </row>
    <row r="78" s="3154" customFormat="1" ht="13.5" customHeight="1">
      <c r="A78" s="4434" t="inlineStr">
        <is>
          <t xml:space="preserve">LB-16</t>
        </is>
      </c>
      <c r="B78" s="4434" t="inlineStr">
        <is>
          <t xml:space="preserve">High-Back Accent Lounge Chair</t>
        </is>
      </c>
      <c r="C78" s="4434" t="inlineStr">
        <is>
          <t xml:space="preserve">High-back accent leisure lounge chair; swivel steel base; injection foam; soft comfort design; W782×D804×H1050mm; Foshan Guoshen Furniture</t>
        </is>
      </c>
      <c r="D78" s="4434" t="inlineStr">
        <is>
          <t xml:space="preserve">Foshan Guoshen Furniture Co.</t>
        </is>
      </c>
      <c r="E78" s="4434" t="inlineStr">
        <is>
          <t xml:space="preserve">https://www.alibaba.com/product-detail/High-Back-Accent-Leisure-Lounge-Chair_1601719628602.html</t>
        </is>
      </c>
      <c r="F78" s="4434" t="inlineStr">
        <is>
          <t xml:space="preserve">each</t>
        </is>
      </c>
      <c r="G78" s="4434" t="n">
        <v>4</v>
      </c>
      <c r="H78" s="4434" t="inlineStr">
        <is>
          <t xml:space="preserve">$138–152</t>
        </is>
      </c>
      <c r="I78" s="4434" t="n">
        <v>145</v>
      </c>
      <c r="J78" s="4434" t="n">
        <f>G78*I78</f>
        <v>580</v>
      </c>
      <c r="K78" s="4434" t="inlineStr">
        <is>
          <t xml:space="preserve">$138–152</t>
        </is>
      </c>
    </row>
    <row r="79" s="3154" customFormat="1" ht="13.5" customHeight="1">
      <c r="A79" s="4425" t="inlineStr">
        <is>
          <t xml:space="preserve">  CORRIDOR &amp; EXTERIOR (CO)</t>
        </is>
      </c>
      <c r="B79" s="4425" t="n"/>
      <c r="C79" s="4425" t="n"/>
      <c r="D79" s="4425" t="n"/>
      <c r="E79" s="4467" t="inlineStr">
        <is>
          <t xml:space="preserve">https://www.alibaba.com/product-detail/Daheng-LED-Lawn-Lamp-Aluminum-Body_1601589933011.html</t>
        </is>
      </c>
      <c r="F79" s="4425" t="n"/>
      <c r="G79" s="4425" t="n"/>
      <c r="H79" s="4425" t="n"/>
      <c r="I79" s="4425" t="n"/>
      <c r="J79" s="4419" t="n"/>
    </row>
    <row r="80" s="3154" customFormat="1" ht="13.5" customHeight="1">
      <c r="A80" s="4427" t="inlineStr">
        <is>
          <t xml:space="preserve">CO-01</t>
        </is>
      </c>
      <c r="B80" s="4454" t="inlineStr">
        <is>
          <t xml:space="preserve">Bollards &amp; Exterior Pathway Lights</t>
        </is>
      </c>
      <c r="C80" s="4454" t="inlineStr">
        <is>
          <t xml:space="preserve">LED bollard lawn lamp; aluminum body; IP65; 7W/10W; 100-277V AC; 2700K warm white; CRI 80; 50,000hr; matt black; 3yr warranty</t>
        </is>
      </c>
      <c r="D80" s="4454" t="inlineStr">
        <is>
          <t xml:space="preserve">Zhongshan Daheng Lighting Co.</t>
        </is>
      </c>
      <c r="E80" s="4455" t="inlineStr">
        <is>
          <t xml:space="preserve">https://www.alibaba.com/product-detail/Daheng-LED-Lawn-Lamp-Aluminum-Body_1601589933011.html</t>
        </is>
      </c>
      <c r="F80" s="4454" t="inlineStr">
        <is>
          <t xml:space="preserve">each</t>
        </is>
      </c>
      <c r="G80" s="4454" t="n">
        <v>10</v>
      </c>
      <c r="H80" s="4456" t="inlineStr">
        <is>
          <t xml:space="preserve">$45-60</t>
        </is>
      </c>
      <c r="I80" s="4429" t="n">
        <v>52.5</v>
      </c>
      <c r="J80" s="4429" t="n">
        <f>G80*I80</f>
        <v>525</v>
      </c>
      <c r="K80" s="4430" t="n">
        <v>52.5</v>
      </c>
      <c r="L80" s="4431" t="inlineStr">
        <is>
          <t xml:space="preserve">MATCH</t>
        </is>
      </c>
      <c r="M80" s="4432" t="inlineStr">
        <is>
          <t xml:space="preserve">Alibaba $45-$60; sheet $52.50 within range. Link LIVE. Verified 4/25.</t>
        </is>
      </c>
    </row>
    <row r="81" s="3154" customFormat="1" ht="13.5" customHeight="1">
      <c r="A81" s="4427" t="inlineStr">
        <is>
          <t xml:space="preserve">CO-02</t>
        </is>
      </c>
      <c r="B81" s="4427" t="inlineStr">
        <is>
          <t xml:space="preserve">Tactile Warning Surfaces</t>
        </is>
      </c>
      <c r="C81" s="4427" t="inlineStr">
        <is>
          <t xml:space="preserve">ADA tactile warning tile; SMC ceramic; 12mm thick; 300×300mm; non-slip; wear-resistant; acid-resistant; red; AS 4586 certified</t>
        </is>
      </c>
      <c r="D81" s="4427" t="inlineStr">
        <is>
          <t xml:space="preserve">Shanghai Dofiberone Composites Co.</t>
        </is>
      </c>
      <c r="E81" s="4428" t="inlineStr">
        <is>
          <t xml:space="preserve">https://www.alibaba.com/product-detail/USA-and-Europe-Standard-12mm-Thick_387547704.html</t>
        </is>
      </c>
      <c r="F81" s="4427" t="inlineStr">
        <is>
          <t xml:space="preserve">each</t>
        </is>
      </c>
      <c r="G81" s="4462" t="n">
        <v>10</v>
      </c>
      <c r="H81" s="4419" t="inlineStr">
        <is>
          <t xml:space="preserve">$6-20</t>
        </is>
      </c>
      <c r="I81" s="4429" t="n">
        <v>13</v>
      </c>
      <c r="J81" s="4448" t="n">
        <f>G81*I81</f>
        <v>130</v>
      </c>
      <c r="K81" s="4430" t="n">
        <v>13</v>
      </c>
      <c r="L81" s="4431" t="inlineStr">
        <is>
          <t xml:space="preserve">MATCH</t>
        </is>
      </c>
      <c r="M81" s="4432" t="inlineStr">
        <is>
          <t xml:space="preserve">Alibaba $6-$20; sheet $13 within range. Link LIVE. Verified 4/25.</t>
        </is>
      </c>
    </row>
    <row r="82" s="3154" customFormat="1" ht="13.5" customHeight="1">
      <c r="A82" s="4427" t="inlineStr">
        <is>
          <t xml:space="preserve">CO-03</t>
        </is>
      </c>
      <c r="B82" s="4427" t="inlineStr">
        <is>
          <t xml:space="preserve">Privacy Fence</t>
        </is>
      </c>
      <c r="C82" s="4427" t="inlineStr">
        <is>
          <t xml:space="preserve">European-style black welded steel privacy fence; CE/ISO certified; powder-coated; colors: black/green/silver; MOQ 1 sq m</t>
        </is>
      </c>
      <c r="D82" s="4427" t="inlineStr">
        <is>
          <t xml:space="preserve">Hebei Blackgold Metal Products Co. (Verified, 4.8/5, CE)</t>
        </is>
      </c>
      <c r="E82" s="4428" t="inlineStr">
        <is>
          <t xml:space="preserve">https://www.alibaba.com/product-detail/Black-Aluminum-Privacy-Fence-Easy-to_62255491766.html</t>
        </is>
      </c>
      <c r="F82" s="4427" t="inlineStr">
        <is>
          <t xml:space="preserve">sq m</t>
        </is>
      </c>
      <c r="G82" s="4462" t="n">
        <v>200</v>
      </c>
      <c r="H82" s="4419" t="inlineStr">
        <is>
          <t xml:space="preserve">$3.39–$5.58</t>
        </is>
      </c>
      <c r="I82" s="4429" t="n">
        <v>4.49</v>
      </c>
      <c r="J82" s="4448" t="n">
        <f>G82*I82</f>
        <v>898</v>
      </c>
      <c r="K82" s="4430" t="n">
        <v>4.49</v>
      </c>
      <c r="L82" s="4433" t="inlineStr">
        <is>
          <t xml:space="preserve">MINOR</t>
        </is>
      </c>
      <c r="M82" s="4432" t="inlineStr">
        <is>
          <t xml:space="preserve">Alibaba $49/sqm (100-499 MOQ); sheet $4.49. Pricing structure unclear. Link LIVE.</t>
        </is>
      </c>
    </row>
    <row r="83" s="3154" customFormat="1" ht="13.5" customHeight="1">
      <c r="A83" s="4427" t="inlineStr">
        <is>
          <t xml:space="preserve">CO-04</t>
        </is>
      </c>
      <c r="B83" s="4427" t="inlineStr">
        <is>
          <t xml:space="preserve">Door Handles (common)</t>
        </is>
      </c>
      <c r="C83" s="4427" t="inlineStr">
        <is>
          <t xml:space="preserve">Koppalive 901-A solid brass square lever door handle; mortise interior lock set; US standard; contemporary/modern; privacy/passage/invisible lock options; 72x55mm lock body; fits 30-50mm doors; 1-year warranty</t>
        </is>
      </c>
      <c r="D83" s="4427" t="inlineStr">
        <is>
          <t xml:space="preserve">Koppalive (Zhejiang Zhangshi Hardware)</t>
        </is>
      </c>
      <c r="E83" s="4428" t="inlineStr">
        <is>
          <t xml:space="preserve">https://www.alibaba.com/product-detail/Koppalive-Door-Hardware-Square-Solid-Brass_62313844810.html</t>
        </is>
      </c>
      <c r="F83" s="4427" t="inlineStr">
        <is>
          <t xml:space="preserve">each</t>
        </is>
      </c>
      <c r="G83" s="4462" t="n">
        <v>20</v>
      </c>
      <c r="H83" s="4419" t="inlineStr">
        <is>
          <t xml:space="preserve">$40–45</t>
        </is>
      </c>
      <c r="I83" s="4429" t="n">
        <v>42.5</v>
      </c>
      <c r="J83" s="4448" t="n">
        <f>G83*I83</f>
        <v>850</v>
      </c>
      <c r="K83" s="4430" t="n">
        <v>42.5</v>
      </c>
      <c r="L83" s="4431" t="inlineStr">
        <is>
          <t xml:space="preserve">MATCH</t>
        </is>
      </c>
      <c r="M83" s="4432" t="inlineStr">
        <is>
          <t xml:space="preserve">Same as GR-13. $40-$45; sheet $42.50. Link LIVE. Verified 4/25.</t>
        </is>
      </c>
    </row>
    <row r="84" s="3154" customFormat="1" ht="13.5" customHeight="1">
      <c r="A84" s="4427" t="inlineStr">
        <is>
          <t xml:space="preserve">CO-06</t>
        </is>
      </c>
      <c r="B84" s="4427" t="inlineStr">
        <is>
          <t xml:space="preserve">Wet Floor Sign</t>
        </is>
      </c>
      <c r="C84" s="4427" t="inlineStr">
        <is>
          <t xml:space="preserve">Nylon cloth 3-sided pop-up tripod wet floor caution cone; customizable; collapsible with storage tube</t>
        </is>
      </c>
      <c r="D84" s="4427" t="inlineStr">
        <is>
          <t xml:space="preserve">Alibaba Supplier</t>
        </is>
      </c>
      <c r="E84" s="4428" t="inlineStr">
        <is>
          <t xml:space="preserve">https://www.alibaba.com/product-detail/Customized-Replacement-Nylon-Cloth-Warning-Slippery_1600555285469.html</t>
        </is>
      </c>
      <c r="F84" s="4427" t="inlineStr">
        <is>
          <t xml:space="preserve">each</t>
        </is>
      </c>
      <c r="G84" s="4462" t="n">
        <v>15</v>
      </c>
      <c r="H84" s="4419" t="inlineStr">
        <is>
          <t xml:space="preserve">$6.50 (500-999), $5.50 (1000+)</t>
        </is>
      </c>
      <c r="I84" s="4429" t="n">
        <v>6.5</v>
      </c>
      <c r="J84" s="4448" t="n">
        <f>G84*I84</f>
        <v>97.5</v>
      </c>
      <c r="K84" s="4430" t="n">
        <v>6.5</v>
      </c>
      <c r="L84" s="4443" t="inlineStr">
        <is>
          <t xml:space="preserve">MATCH</t>
        </is>
      </c>
      <c r="M84" s="4432" t="inlineStr">
        <is>
          <t xml:space="preserve">New link. Qty=21 (one per bathroom). $6.50 (500-999 tier, below MOQ at 21). Verified 4/25.</t>
        </is>
      </c>
    </row>
    <row r="85" s="3154" customFormat="1" ht="13.5" customHeight="1">
      <c r="A85" s="4445" t="inlineStr">
        <is>
          <t xml:space="preserve">CO-07</t>
        </is>
      </c>
      <c r="B85" s="4445" t="inlineStr">
        <is>
          <t xml:space="preserve">Wall Corner Guards</t>
        </is>
      </c>
      <c r="C85" s="4445" t="inlineStr">
        <is>
          <t xml:space="preserve">L-shape PVC/PE angle corner guard protector; wall &amp; corridor protection; anti-bacterial, water-resistant, impact-resistant, eco-friendly; ISO9001; lifetime warranty; installed by GC</t>
        </is>
      </c>
      <c r="D85" s="4445" t="inlineStr">
        <is>
          <t xml:space="preserve">Tongxiang Guangsheng Plastic Industry Co.</t>
        </is>
      </c>
      <c r="E85" s="4446" t="inlineStr">
        <is>
          <t xml:space="preserve">https://www.alibaba.com/product-detail/L-Shape-Angle-Corner-Guard-Protector_1600460872042.html</t>
        </is>
      </c>
      <c r="F85" s="4445" t="inlineStr">
        <is>
          <t xml:space="preserve">m</t>
        </is>
      </c>
      <c r="G85" s="4447" t="n">
        <v>50</v>
      </c>
      <c r="H85" s="4419" t="inlineStr">
        <is>
          <t xml:space="preserve">$0.20–0.30</t>
        </is>
      </c>
      <c r="I85" s="4429" t="n">
        <v>0.25</v>
      </c>
      <c r="J85" s="4448" t="n">
        <f>G85*I85</f>
        <v>12.5</v>
      </c>
      <c r="K85" s="4430" t="n">
        <v>0.25</v>
      </c>
      <c r="L85" s="4431" t="inlineStr">
        <is>
          <t xml:space="preserve">MATCH</t>
        </is>
      </c>
      <c r="M85" s="4432" t="inlineStr">
        <is>
          <t xml:space="preserve">Alibaba $0.20-$0.30; sheet $0.25 within range. Link LIVE. Verified 4/25.</t>
        </is>
      </c>
    </row>
    <row r="86" s="3154" customFormat="1" ht="13.5" customHeight="1">
      <c r="A86" s="4425" t="inlineStr">
        <is>
          <t xml:space="preserve">  LAUNDRY — GUEST AMENITY (LA)  —  Free Guest Laundry is a Core Sleep Space Differentiator</t>
        </is>
      </c>
      <c r="B86" s="4425" t="n"/>
      <c r="C86" s="4425" t="n"/>
      <c r="D86" s="4425" t="n"/>
      <c r="E86" s="4467" t="inlineStr">
        <is>
          <t xml:space="preserve">https://www.fergusonhome.com/product/summary/1959964?uid=4636106</t>
        </is>
      </c>
      <c r="F86" s="4425" t="n"/>
      <c r="G86" s="4425" t="n"/>
      <c r="H86" s="4425" t="n"/>
      <c r="I86" s="4425" t="n"/>
      <c r="J86" s="4419" t="n"/>
    </row>
    <row r="87" s="3154" customFormat="1" ht="13.5" customHeight="1">
      <c r="A87" s="4427" t="inlineStr">
        <is>
          <t xml:space="preserve">LA-01</t>
        </is>
      </c>
      <c r="B87" s="4454" t="inlineStr">
        <is>
          <t xml:space="preserve">Stacked Washer/Dryer (guest laundry)</t>
        </is>
      </c>
      <c r="C87" s="4454" t="inlineStr">
        <is>
          <t xml:space="preserve">Electrolux laundry center; 27in wide; 4.5 cu ft washer + 8 cu ft gas dryer; Perfect Steam; Predictive Dry; Energy Star; titanium; 32D×77H</t>
        </is>
      </c>
      <c r="D87" s="4454" t="inlineStr">
        <is>
          <t xml:space="preserve">Electrolux</t>
        </is>
      </c>
      <c r="E87" s="4455" t="inlineStr">
        <is>
          <t xml:space="preserve">https://www.fergusonhome.com/product/summary/1959964?uid=4636106</t>
        </is>
      </c>
      <c r="F87" s="4454" t="inlineStr">
        <is>
          <t xml:space="preserve">each</t>
        </is>
      </c>
      <c r="G87" s="4454" t="n">
        <v>3</v>
      </c>
      <c r="H87" s="4456" t="inlineStr">
        <is>
          <t xml:space="preserve">$1,999</t>
        </is>
      </c>
      <c r="I87" s="4429" t="n">
        <v>1999</v>
      </c>
      <c r="J87" s="4429" t="n">
        <f>G87*I87</f>
        <v>5997</v>
      </c>
      <c r="K87" s="4430" t="n">
        <v>1999</v>
      </c>
      <c r="L87" s="4431" t="inlineStr">
        <is>
          <t xml:space="preserve">MATCH</t>
        </is>
      </c>
      <c r="M87" s="4432" t="inlineStr">
        <is>
          <t xml:space="preserve">fergusonhome.com; $1,999 confirmed. Verified prior session.</t>
        </is>
      </c>
    </row>
    <row r="88" s="3154" customFormat="1" ht="13.5" customHeight="1">
      <c r="A88" s="4427" t="inlineStr">
        <is>
          <t xml:space="preserve">LA-05</t>
        </is>
      </c>
      <c r="B88" s="4427" t="inlineStr">
        <is>
          <t xml:space="preserve">Guest Ironing Board + Iron</t>
        </is>
      </c>
      <c r="C88" s="4427" t="inlineStr">
        <is>
          <t xml:space="preserve">Iron + ironing board; local purchase; 1 unit for laundry room</t>
        </is>
      </c>
      <c r="D88" s="4427" t="inlineStr">
        <is>
          <t xml:space="preserve">Local Supplier</t>
        </is>
      </c>
      <c r="E88" s="4428" t="inlineStr">
        <is>
          <t xml:space="preserve">Local purchase</t>
        </is>
      </c>
      <c r="F88" s="4427" t="inlineStr">
        <is>
          <t xml:space="preserve">ea</t>
        </is>
      </c>
      <c r="G88" s="4427" t="n">
        <v>1</v>
      </c>
      <c r="H88" s="4419" t="inlineStr">
        <is>
          <t xml:space="preserve">~$65</t>
        </is>
      </c>
      <c r="I88" s="4429" t="n">
        <v>65</v>
      </c>
      <c r="J88" s="4419" t="n">
        <f>G88*I88</f>
        <v>65</v>
      </c>
      <c r="K88" s="4430" t="n">
        <v>65</v>
      </c>
      <c r="L88" s="4443" t="inlineStr">
        <is>
          <t xml:space="preserve">LOCAL EST</t>
        </is>
      </c>
      <c r="M88" s="4432" t="inlineStr">
        <is>
          <t xml:space="preserve">Local purchase estimate. Commercial ironing board ~$30-40 + steam iron ~$25-35 = ~$65 total. Qty=1 for laundry room. Updated 4/25.</t>
        </is>
      </c>
    </row>
    <row r="89" s="3154" customFormat="1" ht="13.5" customHeight="1">
      <c r="A89" s="4425" t="inlineStr">
        <is>
          <t xml:space="preserve">  BACK OF HOUSE / OPERATIONS (BO)</t>
        </is>
      </c>
      <c r="B89" s="4425" t="n"/>
      <c r="C89" s="4425" t="n"/>
      <c r="D89" s="4425" t="n"/>
      <c r="E89" s="4467" t="inlineStr">
        <is>
          <t xml:space="preserve">https://www.alibaba.com/product-detail/Commercial-Laundry-Equipment-100kg-Washing-Machine_1601114310735.html</t>
        </is>
      </c>
      <c r="F89" s="4425" t="n"/>
      <c r="G89" s="4425" t="n"/>
      <c r="H89" s="4425" t="n"/>
      <c r="I89" s="4425" t="n"/>
      <c r="J89" s="4419" t="n"/>
    </row>
    <row r="90" s="3154" customFormat="1" ht="13.5" customHeight="1">
      <c r="A90" s="4419" t="inlineStr">
        <is>
          <t xml:space="preserve">LA-02</t>
        </is>
      </c>
      <c r="B90" s="4419" t="inlineStr">
        <is>
          <t xml:space="preserve">Industrial Washer (operations)</t>
        </is>
      </c>
      <c r="C90" s="4419" t="inlineStr">
        <is>
          <t xml:space="preserve">ALANNA HG-100 100kg commercial industrial washing machine; fully automatic; touch screen; stainless steel; electric/steam heating; heavy duty; 220V/380V</t>
        </is>
      </c>
      <c r="D90" s="4419" t="inlineStr">
        <is>
          <t xml:space="preserve">Galton Co. (ALANNA)</t>
        </is>
      </c>
      <c r="E90" s="4435" t="inlineStr">
        <is>
          <t xml:space="preserve">https://www.alibaba.com/product-detail/Commercial-Laundry-Equipment-100kg-Washing-Machine_1601114310735.html</t>
        </is>
      </c>
      <c r="F90" s="4419" t="inlineStr">
        <is>
          <t xml:space="preserve">each</t>
        </is>
      </c>
      <c r="G90" s="4419" t="n">
        <v>2</v>
      </c>
      <c r="H90" s="4419" t="inlineStr">
        <is>
          <t xml:space="preserve">$3,285</t>
        </is>
      </c>
      <c r="I90" s="4429" t="n">
        <v>3285</v>
      </c>
      <c r="J90" s="4429" t="n">
        <f>G90*I90</f>
        <v>6570</v>
      </c>
      <c r="K90" s="4430" t="n">
        <v>3285</v>
      </c>
      <c r="L90" s="4431" t="inlineStr">
        <is>
          <t xml:space="preserve">USER OK</t>
        </is>
      </c>
      <c r="M90" s="4432" t="inlineStr">
        <is>
          <t xml:space="preserve">Alibaba shows $8,286 for 100kg machine; sheet $3,285 per user approval (different capacity). Link LIVE.</t>
        </is>
      </c>
    </row>
    <row r="91" s="3154" customFormat="1" ht="13.5" customHeight="1">
      <c r="A91" s="4427" t="inlineStr">
        <is>
          <t xml:space="preserve">BO-01</t>
        </is>
      </c>
      <c r="B91" s="4454" t="inlineStr">
        <is>
          <t xml:space="preserve">Janitorial Cart</t>
        </is>
      </c>
      <c r="C91" s="4454" t="inlineStr">
        <is>
          <t xml:space="preserve">Vikan HyGo mobile cleaning station; polypropylene/SS/metal; 70lb capacity; 4 swivel casters (2 locking); 2 shelves; lockable; narrow frame; 30.7"L x 20.9"W x 40.6"H; tool brackets hold up to 12 tools; disassemblable</t>
        </is>
      </c>
      <c r="D91" s="4454" t="inlineStr">
        <is>
          <t xml:space="preserve">Vikan</t>
        </is>
      </c>
      <c r="E91" s="4455" t="inlineStr">
        <is>
          <t xml:space="preserve">https://www.mscdirect.com/product/details/87667770</t>
        </is>
      </c>
      <c r="F91" s="4454" t="inlineStr">
        <is>
          <t xml:space="preserve">each</t>
        </is>
      </c>
      <c r="G91" s="4454" t="n">
        <v>2</v>
      </c>
      <c r="H91" s="4456" t="inlineStr">
        <is>
          <t xml:space="preserve">$575.84</t>
        </is>
      </c>
      <c r="I91" s="4429" t="n">
        <v>575.84</v>
      </c>
      <c r="J91" s="4429" t="n">
        <f>G91*I91</f>
        <v>1151.68</v>
      </c>
      <c r="K91" s="4430" t="n">
        <v>575.84</v>
      </c>
      <c r="L91" s="4431" t="inlineStr">
        <is>
          <t xml:space="preserve">MATCH</t>
        </is>
      </c>
      <c r="M91" s="4432" t="inlineStr">
        <is>
          <t xml:space="preserve">mscdirect.com; $575.84 confirmed. Verified prior session.</t>
        </is>
      </c>
    </row>
    <row r="92" s="3154" customFormat="1" ht="13.5" customHeight="1">
      <c r="A92" s="4427" t="inlineStr">
        <is>
          <t xml:space="preserve">BO-02</t>
        </is>
      </c>
      <c r="B92" s="4427" t="inlineStr">
        <is>
          <t xml:space="preserve">Housekeeping Supply Cart</t>
        </is>
      </c>
      <c r="C92" s="4427" t="inlineStr">
        <is>
          <t xml:space="preserve">Maid's cart; shelves + linen bags + trash bag holder; compact corridor-width</t>
        </is>
      </c>
      <c r="D92" s="4427" t="inlineStr">
        <is>
          <t xml:space="preserve">RFQ — Alibaba (TBD)</t>
        </is>
      </c>
      <c r="E92" s="4428" t="inlineStr">
        <is>
          <t xml:space="preserve">https://www.alibaba.com/showroom/housekeeping-supply-cart.html</t>
        </is>
      </c>
      <c r="F92" s="4427" t="inlineStr">
        <is>
          <t xml:space="preserve">each</t>
        </is>
      </c>
      <c r="G92" s="4462" t="n">
        <v>2</v>
      </c>
      <c r="H92" s="4419" t="n"/>
      <c r="I92" s="4429" t="n"/>
      <c r="J92" s="4419" t="n"/>
      <c r="K92" s="4430" t="inlineStr">
        <is>
          <t xml:space="preserve">—</t>
        </is>
      </c>
      <c r="L92" s="4444" t="inlineStr">
        <is>
          <t xml:space="preserve">NO PRICE</t>
        </is>
      </c>
      <c r="M92" s="4432" t="inlineStr">
        <is>
          <t xml:space="preserve">Showroom/search link. Need specific product link.</t>
        </is>
      </c>
    </row>
    <row r="93" s="3154" customFormat="1" ht="13.5" customHeight="1">
      <c r="A93" s="4427" t="inlineStr">
        <is>
          <t xml:space="preserve">BO-03</t>
        </is>
      </c>
      <c r="B93" s="4427" t="inlineStr">
        <is>
          <t xml:space="preserve">Storage Shelving</t>
        </is>
      </c>
      <c r="C93" s="4427" t="inlineStr">
        <is>
          <t xml:space="preserve">Kelida medium duty storage rack; metal; 4-layer; 1500×600×2000mm; 800lb capacity; powder coated; corrosion protected; adjustable; boltless</t>
        </is>
      </c>
      <c r="D93" s="4427" t="inlineStr">
        <is>
          <t xml:space="preserve">Foshan Kelida Shelf Co.</t>
        </is>
      </c>
      <c r="E93" s="4428" t="inlineStr">
        <is>
          <t xml:space="preserve">https://www.alibaba.com/product-detail/Custom-800LBS-Medium-Duty-Adjustable-Storage_1601621153809.html</t>
        </is>
      </c>
      <c r="F93" s="4427" t="inlineStr">
        <is>
          <t xml:space="preserve">each</t>
        </is>
      </c>
      <c r="G93" s="4462" t="n">
        <v>2</v>
      </c>
      <c r="H93" s="4419" t="inlineStr">
        <is>
          <t xml:space="preserve">$5.80-32.60</t>
        </is>
      </c>
      <c r="I93" s="4429" t="n">
        <v>19.2</v>
      </c>
      <c r="J93" s="4448" t="n">
        <f>G93*I93</f>
        <v>38.4</v>
      </c>
      <c r="K93" s="4430" t="n">
        <v>19.2</v>
      </c>
      <c r="L93" s="4431" t="inlineStr">
        <is>
          <t xml:space="preserve">MATCH</t>
        </is>
      </c>
      <c r="M93" s="4432" t="inlineStr">
        <is>
          <t xml:space="preserve">Alibaba $5.80-$32.60; sheet $19.20 within range. Link LIVE. Verified 4/25.</t>
        </is>
      </c>
    </row>
    <row r="94" s="3154" customFormat="1" ht="13.5" customHeight="1">
      <c r="A94" s="4427" t="inlineStr">
        <is>
          <t xml:space="preserve">BO-04</t>
        </is>
      </c>
      <c r="B94" s="4427" t="inlineStr">
        <is>
          <t xml:space="preserve">Paper Towels (bulk supply)</t>
        </is>
      </c>
      <c r="C94" s="4427" t="inlineStr">
        <is>
          <t xml:space="preserve">TAD hand paper towel; virgin wood pulp; 1-ply; N/Z fold; 220×220mm; natural white; 200 sheets/pack; 20 packs/carton</t>
        </is>
      </c>
      <c r="D94" s="4427" t="inlineStr">
        <is>
          <t xml:space="preserve">Chongqing Donsea Paper Co.</t>
        </is>
      </c>
      <c r="E94" s="4428" t="inlineStr">
        <is>
          <t xml:space="preserve">https://www.alibaba.com/product-detail/TAD-Hygienic-Hand-Santilizer-Paper-Towel_60751204844.html</t>
        </is>
      </c>
      <c r="F94" s="4427" t="inlineStr">
        <is>
          <t xml:space="preserve">pack</t>
        </is>
      </c>
      <c r="G94" s="4462" t="n">
        <v>250</v>
      </c>
      <c r="H94" s="4419" t="inlineStr">
        <is>
          <t xml:space="preserve">$0.90-1.60</t>
        </is>
      </c>
      <c r="I94" s="4429" t="n">
        <v>1.25</v>
      </c>
      <c r="J94" s="4448" t="n">
        <f>G94*I94</f>
        <v>312.5</v>
      </c>
      <c r="K94" s="4430" t="n">
        <v>1.25</v>
      </c>
      <c r="L94" s="4431" t="inlineStr">
        <is>
          <t xml:space="preserve">MATCH</t>
        </is>
      </c>
      <c r="M94" s="4432" t="inlineStr">
        <is>
          <t xml:space="preserve">Alibaba $0.90-$1.60; sheet $1.25 within range. Link LIVE. Verified 4/25.</t>
        </is>
      </c>
    </row>
    <row r="95" s="3154" customFormat="1" ht="13.5" customHeight="1">
      <c r="A95" s="4427" t="inlineStr">
        <is>
          <t xml:space="preserve">BO-05</t>
        </is>
      </c>
      <c r="B95" s="4427" t="inlineStr">
        <is>
          <t xml:space="preserve">Toilet Paper (bulk supply)</t>
        </is>
      </c>
      <c r="C95" s="4427" t="inlineStr">
        <is>
          <t xml:space="preserve">Bamboo pulp toilet tissue roll; 2-ply; water soluble; natural white; 10×11cm sheet; embossed; standard roll; 70-150g</t>
        </is>
      </c>
      <c r="D95" s="4427" t="inlineStr">
        <is>
          <t xml:space="preserve">Chongqing Donsea Paper Co.</t>
        </is>
      </c>
      <c r="E95" s="4428" t="inlineStr">
        <is>
          <t xml:space="preserve">https://www.alibaba.com/product-detail/Factory-Customized-Hot-Selling-Water-Soluble_1600208872937.html</t>
        </is>
      </c>
      <c r="F95" s="4427" t="inlineStr">
        <is>
          <t xml:space="preserve">roll</t>
        </is>
      </c>
      <c r="G95" s="4462" t="n">
        <v>500</v>
      </c>
      <c r="H95" s="4419" t="inlineStr">
        <is>
          <t xml:space="preserve">$0.10-0.30</t>
        </is>
      </c>
      <c r="I95" s="4429" t="n">
        <v>0.2</v>
      </c>
      <c r="J95" s="4448" t="n">
        <f>G95*I95</f>
        <v>100</v>
      </c>
      <c r="K95" s="4430" t="n">
        <v>0.2</v>
      </c>
      <c r="L95" s="4431" t="inlineStr">
        <is>
          <t xml:space="preserve">MATCH</t>
        </is>
      </c>
      <c r="M95" s="4432" t="inlineStr">
        <is>
          <t xml:space="preserve">Alibaba $0.10-$0.30; sheet $0.20 within range. Link LIVE. Verified 4/25.</t>
        </is>
      </c>
    </row>
    <row r="96" s="3154" customFormat="1" ht="13.5" customHeight="1">
      <c r="A96" s="4458" t="inlineStr">
        <is>
          <t xml:space="preserve">BO-05A</t>
        </is>
      </c>
      <c r="B96" s="4458" t="inlineStr">
        <is>
          <t xml:space="preserve">Trash Bags (bulk supply)</t>
        </is>
      </c>
      <c r="C96" s="4458" t="inlineStr">
        <is>
          <t xml:space="preserve">FEIMA RB-159 extra strong heavy duty black bin liners; PE; 18×29×34in; 20/25/30mic; heat seal; side gusset; disposable; gravure printing; FDA 21 CFR 177; ISO9001; 20pcs/roll, 30 rolls/carton</t>
        </is>
      </c>
      <c r="D96" s="4458" t="inlineStr">
        <is>
          <t xml:space="preserve">Jiangmen Feima Plastics Industry Co. (FEIMA)</t>
        </is>
      </c>
      <c r="E96" s="4459" t="inlineStr">
        <is>
          <t xml:space="preserve">https://www.alibaba.com/product-detail/Extra-Strong-Heavy-Duty-Black-Bin_1600489419113.html</t>
        </is>
      </c>
      <c r="F96" s="4458" t="inlineStr">
        <is>
          <t xml:space="preserve">pcs</t>
        </is>
      </c>
      <c r="G96" s="4458" t="n">
        <v>50000</v>
      </c>
      <c r="H96" s="4460" t="inlineStr">
        <is>
          <t xml:space="preserve">$0.01</t>
        </is>
      </c>
      <c r="I96" s="4461" t="n">
        <v>0.01</v>
      </c>
      <c r="J96" s="4461" t="n">
        <f>G96*I96</f>
        <v>500</v>
      </c>
      <c r="K96" s="4430" t="n">
        <v>0.01</v>
      </c>
      <c r="L96" s="4431" t="inlineStr">
        <is>
          <t xml:space="preserve">MATCH</t>
        </is>
      </c>
      <c r="M96" s="4432" t="inlineStr">
        <is>
          <t xml:space="preserve">Alibaba $0.01 exact match. Link LIVE. Verified 4/25.</t>
        </is>
      </c>
    </row>
    <row r="97" s="3154" customFormat="1" ht="13.5" customHeight="1">
      <c r="A97" s="4458" t="inlineStr">
        <is>
          <t xml:space="preserve">BO-05B</t>
        </is>
      </c>
      <c r="B97" s="4458" t="inlineStr">
        <is>
          <t xml:space="preserve">Compostable Trash Bags (13 gal)</t>
        </is>
      </c>
      <c r="C97" s="4458" t="inlineStr">
        <is>
          <t xml:space="preserve">Weifang Defu eco-friendly compostable bin bag; PBAT+PLA+corn starch; 13 gallon; biodegradable; flat top; gravure/flexo printing; custom size/color; BPI/BSCI/ISO/BRC certified</t>
        </is>
      </c>
      <c r="D97" s="4458" t="inlineStr">
        <is>
          <t xml:space="preserve">Weifang Defu New Material Co.</t>
        </is>
      </c>
      <c r="E97" s="4459" t="inlineStr">
        <is>
          <t xml:space="preserve">https://www.alibaba.com/product-detail/Eco-friendly-compostable-kitchen-bin-bag_1601636141204.html</t>
        </is>
      </c>
      <c r="F97" s="4458" t="inlineStr">
        <is>
          <t xml:space="preserve">pcs</t>
        </is>
      </c>
      <c r="G97" s="4458" t="n">
        <v>25000</v>
      </c>
      <c r="H97" s="4460" t="inlineStr">
        <is>
          <t xml:space="preserve">$0.01–0.04</t>
        </is>
      </c>
      <c r="I97" s="4461" t="n">
        <v>0.03</v>
      </c>
      <c r="J97" s="4461" t="n">
        <f>G97*I97</f>
        <v>750</v>
      </c>
      <c r="K97" s="4430" t="n">
        <v>0.04</v>
      </c>
      <c r="L97" s="4431" t="inlineStr">
        <is>
          <t xml:space="preserve">MINOR</t>
        </is>
      </c>
      <c r="M97" s="4432" t="inlineStr">
        <is>
          <t xml:space="preserve">Alibaba $0.04 (100-50K); sheet $0.03. At our qty = $0.04. Link LIVE.</t>
        </is>
      </c>
    </row>
    <row r="98" s="3154" customFormat="1" ht="13.5" customHeight="1">
      <c r="A98" s="4458" t="inlineStr">
        <is>
          <t xml:space="preserve">BO-05C</t>
        </is>
      </c>
      <c r="B98" s="4458" t="inlineStr">
        <is>
          <t xml:space="preserve">Kraft Paper Belly Band Sleeves (towel/amenity wrap)</t>
        </is>
      </c>
      <c r="C98" s="4458" t="inlineStr">
        <is>
          <t xml:space="preserve">Nanning Fangda custom kraft paper wrap sleeve belly band; paperboard; matt lamination; stamping/embossing available; custom logo print (Sleep Space branding); recyclable; FSC/CEC/REACH certified; MOQ 500pcs</t>
        </is>
      </c>
      <c r="D98" s="4458" t="inlineStr">
        <is>
          <t xml:space="preserve">Nanning Fangda Printing Co.</t>
        </is>
      </c>
      <c r="E98" s="4459" t="inlineStr">
        <is>
          <t xml:space="preserve">https://www.alibaba.com/product-detail/Wholesale-Paper-Wrap-Sleeve-Packaging-Logo_1600728452027.html</t>
        </is>
      </c>
      <c r="F98" s="4458" t="inlineStr">
        <is>
          <t xml:space="preserve">pcs</t>
        </is>
      </c>
      <c r="G98" s="4458" t="n">
        <v>10000</v>
      </c>
      <c r="H98" s="4458" t="inlineStr">
        <is>
          <t xml:space="preserve">$0.02</t>
        </is>
      </c>
      <c r="I98" s="4468" t="n">
        <v>0.02</v>
      </c>
      <c r="J98" s="4468" t="n">
        <f>G98*I98</f>
        <v>200</v>
      </c>
      <c r="K98" s="4430" t="n">
        <v>0.02</v>
      </c>
      <c r="L98" s="4431" t="inlineStr">
        <is>
          <t xml:space="preserve">MATCH</t>
        </is>
      </c>
      <c r="M98" s="4432" t="inlineStr">
        <is>
          <t xml:space="preserve">Alibaba $0.02 at 10K+ tier; sheet $0.02 match. Link LIVE. Verified 4/25.</t>
        </is>
      </c>
    </row>
    <row r="99" s="3154" customFormat="1" ht="13.5" customHeight="1">
      <c r="A99" s="4427" t="inlineStr">
        <is>
          <t xml:space="preserve">BO-07</t>
        </is>
      </c>
      <c r="B99" s="4419" t="inlineStr">
        <is>
          <t xml:space="preserve">Key Card / RFID Cards</t>
        </is>
      </c>
      <c r="C99" s="4419" t="inlineStr">
        <is>
          <t xml:space="preserve">Mifare 1K RFID key cards; custom Sleep Space branding; programmable; compatible with GR-05 smart lock</t>
        </is>
      </c>
      <c r="D99" s="4419" t="inlineStr">
        <is>
          <t xml:space="preserve">RFQ — Alibaba (TBD)</t>
        </is>
      </c>
      <c r="E99" s="4435" t="inlineStr">
        <is>
          <t xml:space="preserve">https://www.alibaba.com/showroom/hotel-rfid-key-card.html</t>
        </is>
      </c>
      <c r="F99" s="4419" t="inlineStr">
        <is>
          <t xml:space="preserve">per 1000</t>
        </is>
      </c>
      <c r="G99" s="4457" t="n">
        <v>250</v>
      </c>
      <c r="H99" s="4419" t="n"/>
      <c r="I99" s="4429" t="n"/>
      <c r="J99" s="4419" t="n"/>
      <c r="K99" s="4430" t="inlineStr">
        <is>
          <t xml:space="preserve">—</t>
        </is>
      </c>
      <c r="L99" s="4444" t="inlineStr">
        <is>
          <t xml:space="preserve">NO PRICE</t>
        </is>
      </c>
      <c r="M99" s="4432" t="inlineStr">
        <is>
          <t xml:space="preserve">Showroom/search link, not a product page. Need specific product link.</t>
        </is>
      </c>
    </row>
    <row r="100" s="3154" customFormat="1" ht="13.5" customHeight="1">
      <c r="A100" s="4419" t="inlineStr">
        <is>
          <t xml:space="preserve">BO-08</t>
        </is>
      </c>
      <c r="B100" s="4419" t="inlineStr">
        <is>
          <t xml:space="preserve">Microfiber Cleaning Cloths</t>
        </is>
      </c>
      <c r="C100" s="4419" t="inlineStr">
        <is>
          <t xml:space="preserve">Absorbent quick-dry microfiber cloth; 250gsm; eco-friendly; machine washable; housekeeping &amp; BOH multi-purpose</t>
        </is>
      </c>
      <c r="D100" s="4419" t="inlineStr">
        <is>
          <t xml:space="preserve">Ningbo Dongsu Plastic Industry Co.</t>
        </is>
      </c>
      <c r="E100" s="4435" t="inlineStr">
        <is>
          <t xml:space="preserve">https://www.alibaba.com/product-detail/Absorbent-Quick-Dry-Microfiber-Cloth-for_1601517969454.html</t>
        </is>
      </c>
      <c r="F100" s="4419" t="inlineStr">
        <is>
          <t xml:space="preserve">each</t>
        </is>
      </c>
      <c r="G100" s="4457" t="n">
        <v>100</v>
      </c>
      <c r="H100" s="4419" t="inlineStr">
        <is>
          <t xml:space="preserve">$0.30–0.45</t>
        </is>
      </c>
      <c r="I100" s="4429" t="n">
        <v>0.38</v>
      </c>
      <c r="J100" s="4448" t="n">
        <f>G100*I100</f>
        <v>38</v>
      </c>
      <c r="K100" s="4430" t="n">
        <v>0.38</v>
      </c>
      <c r="L100" s="4431" t="inlineStr">
        <is>
          <t xml:space="preserve">MATCH</t>
        </is>
      </c>
      <c r="M100" s="4432" t="inlineStr">
        <is>
          <t xml:space="preserve">Alibaba $0.45 (10-149), $0.37 (150-3K); sheet $0.38. Link LIVE. Verified 4/25.</t>
        </is>
      </c>
    </row>
    <row r="101" s="3154" customFormat="1" ht="13.5" customHeight="1">
      <c r="A101" s="4419" t="inlineStr">
        <is>
          <t xml:space="preserve">BO-09</t>
        </is>
      </c>
      <c r="B101" s="4419" t="inlineStr">
        <is>
          <t xml:space="preserve">Floor Squeegee / Rubber Broom</t>
        </is>
      </c>
      <c r="C101" s="4419" t="inlineStr">
        <is>
          <t xml:space="preserve">Long-handle rubber push broom with squeegee edge; TPR head; eco-friendly; bathroom &amp; corridor floor cleaning; IEC 62321 / RoHS</t>
        </is>
      </c>
      <c r="D101" s="4419" t="inlineStr">
        <is>
          <t xml:space="preserve">Ningbo Dongsu Plastic Industry Co.</t>
        </is>
      </c>
      <c r="E101" s="4435" t="inlineStr">
        <is>
          <t xml:space="preserve">https://www.alibaba.com/product-detail/Long-Push-Rubber-Broom-Cleaner-Rubber_1601517969454.html</t>
        </is>
      </c>
      <c r="F101" s="4419" t="inlineStr">
        <is>
          <t xml:space="preserve">each</t>
        </is>
      </c>
      <c r="G101" s="4457" t="n">
        <v>4</v>
      </c>
      <c r="H101" s="4419" t="inlineStr">
        <is>
          <t xml:space="preserve">$3.10–3.50</t>
        </is>
      </c>
      <c r="I101" s="4429" t="n">
        <v>3.3</v>
      </c>
      <c r="J101" s="4448" t="n">
        <f>G101*I101</f>
        <v>13.2</v>
      </c>
      <c r="K101" s="4430" t="n">
        <v>3.3</v>
      </c>
      <c r="L101" s="4433" t="inlineStr">
        <is>
          <t xml:space="preserve">DUPLICATE</t>
        </is>
      </c>
      <c r="M101" s="4432" t="inlineStr">
        <is>
          <t xml:space="preserve">Same product ID as BO-08. Need separate link for floor squeegee.</t>
        </is>
      </c>
    </row>
    <row r="102" s="3154" customFormat="1" ht="13.5" customHeight="1">
      <c r="A102" s="4419" t="inlineStr">
        <is>
          <t xml:space="preserve">BO-10</t>
        </is>
      </c>
      <c r="B102" s="4419" t="inlineStr">
        <is>
          <t xml:space="preserve">Window Cleaning Squeegee</t>
        </is>
      </c>
      <c r="C102" s="4419" t="inlineStr">
        <is>
          <t xml:space="preserve">Microfiber EVA window cleaning squeegee; long handle; replaceable cleaning cloth; for floor and glass</t>
        </is>
      </c>
      <c r="D102" s="4419" t="inlineStr">
        <is>
          <t xml:space="preserve">Alibaba Supplier</t>
        </is>
      </c>
      <c r="E102" s="4435" t="inlineStr">
        <is>
          <t xml:space="preserve">https://www.alibaba.com/product-detail/Microfiber-EVA-Window-Cleaning-Squeegee-with_1601737649673.html</t>
        </is>
      </c>
      <c r="F102" s="4419" t="inlineStr">
        <is>
          <t xml:space="preserve">each</t>
        </is>
      </c>
      <c r="G102" s="4457" t="n">
        <v>4</v>
      </c>
      <c r="H102" s="4419" t="inlineStr">
        <is>
          <t xml:space="preserve">$0.50 (600-1199), $0.49 (1200+)</t>
        </is>
      </c>
      <c r="I102" s="4429" t="n">
        <v>0.5</v>
      </c>
      <c r="J102" s="4448" t="n">
        <f>G102*I102</f>
        <v>2</v>
      </c>
      <c r="K102" s="4430" t="n">
        <v>0.5</v>
      </c>
      <c r="L102" s="4443" t="inlineStr">
        <is>
          <t xml:space="preserve">MATCH</t>
        </is>
      </c>
      <c r="M102" s="4432" t="inlineStr">
        <is>
          <t xml:space="preserve">New link. $0.50 (600-1199 tier, below MOQ at 6). Verified 4/25.</t>
        </is>
      </c>
    </row>
    <row r="103" s="3154" customFormat="1" ht="13.5" customHeight="1">
      <c r="A103" s="4419" t="inlineStr">
        <is>
          <t xml:space="preserve">BO-11</t>
        </is>
      </c>
      <c r="B103" s="4419" t="inlineStr">
        <is>
          <t xml:space="preserve">Microfiber Flat Mop</t>
        </is>
      </c>
      <c r="C103" s="4419" t="inlineStr">
        <is>
          <t xml:space="preserve">Microfiber flat mop; steel handle; sliding wringing mechanism; comes with 4 mop heads; wet &amp; dry use; hard surface &amp; wall cleaning; 10,000+ use cycles; IEC 62321 / RoHS</t>
        </is>
      </c>
      <c r="D103" s="4419" t="inlineStr">
        <is>
          <t xml:space="preserve">Ningbo Dongsu Plastic Industry Co.</t>
        </is>
      </c>
      <c r="E103" s="4435" t="inlineStr">
        <is>
          <t xml:space="preserve">https://www.alibaba.com/product-detail/Microfiber-Mop-Hard-Surface-Floor-Cleaner_1600590690663.html</t>
        </is>
      </c>
      <c r="F103" s="4419" t="inlineStr">
        <is>
          <t xml:space="preserve">each</t>
        </is>
      </c>
      <c r="G103" s="4457" t="n">
        <v>4</v>
      </c>
      <c r="H103" s="4419" t="inlineStr">
        <is>
          <t xml:space="preserve">$6.00–7.20</t>
        </is>
      </c>
      <c r="I103" s="4429" t="n">
        <v>6.6</v>
      </c>
      <c r="J103" s="4448" t="n">
        <f>G103*I103</f>
        <v>26.4</v>
      </c>
      <c r="K103" s="4430" t="n">
        <v>6.6</v>
      </c>
      <c r="L103" s="4431" t="inlineStr">
        <is>
          <t xml:space="preserve">MATCH</t>
        </is>
      </c>
      <c r="M103" s="4432" t="inlineStr">
        <is>
          <t xml:space="preserve">Alibaba $7.20 (500-1499), $6.50 (1500-3K); sheet $6.60 within range. Link LIVE. Verified 4/25.</t>
        </is>
      </c>
    </row>
    <row r="104" s="3154" customFormat="1" ht="13.5" customHeight="1">
      <c r="A104" s="4419" t="inlineStr">
        <is>
          <t xml:space="preserve">BO-12</t>
        </is>
      </c>
      <c r="B104" s="4419" t="inlineStr">
        <is>
          <t xml:space="preserve">Industrial Dryer (operations)</t>
        </is>
      </c>
      <c r="C104" s="4419" t="inlineStr">
        <is>
          <t xml:space="preserve">ALANNA HG-100 100kg industrial tumble dryer; gas/electric/steam heating; stainless steel 304; fully automatic; computer control; 220V/380V; for hotel linen</t>
        </is>
      </c>
      <c r="D104" s="4419" t="inlineStr">
        <is>
          <t xml:space="preserve">Galton Co. (ALANNA)</t>
        </is>
      </c>
      <c r="E104" s="4435" t="inlineStr">
        <is>
          <t xml:space="preserve">https://www.alibaba.com/product-detail/Hospital-Industrial-Tumble-Dryer-Machine-Commercial_1601124592492.html</t>
        </is>
      </c>
      <c r="F104" s="4419" t="inlineStr">
        <is>
          <t xml:space="preserve">each</t>
        </is>
      </c>
      <c r="G104" s="4419" t="n">
        <v>2</v>
      </c>
      <c r="H104" s="4419" t="inlineStr">
        <is>
          <t xml:space="preserve">$3,285</t>
        </is>
      </c>
      <c r="I104" s="4429" t="n">
        <v>3285</v>
      </c>
      <c r="J104" s="4429" t="n">
        <f>G104*I104</f>
        <v>6570</v>
      </c>
      <c r="K104" s="4430" t="n">
        <v>3285</v>
      </c>
      <c r="L104" s="4431" t="inlineStr">
        <is>
          <t xml:space="preserve">MATCH</t>
        </is>
      </c>
      <c r="M104" s="4432" t="inlineStr">
        <is>
          <t xml:space="preserve">Alibaba $1,100-$3,285; sheet $3,285 at top of range. Link LIVE. Verified 4/25.</t>
        </is>
      </c>
    </row>
    <row r="105" s="3154" customFormat="1" ht="13.5" customHeight="1">
      <c r="A105" s="4419" t="inlineStr">
        <is>
          <t xml:space="preserve">BO-13</t>
        </is>
      </c>
      <c r="B105" s="4419" t="inlineStr">
        <is>
          <t xml:space="preserve">Flatwork / Linen Iron</t>
        </is>
      </c>
      <c r="C105" s="4419" t="inlineStr">
        <is>
          <t xml:space="preserve">Automatic flatwork ironing machine; sheets + linens; laundry operations</t>
        </is>
      </c>
      <c r="D105" s="4419" t="inlineStr">
        <is>
          <t xml:space="preserve">RFQ — Alibaba (TBD)</t>
        </is>
      </c>
      <c r="E105" s="4435" t="inlineStr">
        <is>
          <t xml:space="preserve">https://www.alibaba.com/product-detail/Automatic-Flatwork-Flat-Iron-Function-Laundry_1601115789776.html</t>
        </is>
      </c>
      <c r="F105" s="4419" t="inlineStr">
        <is>
          <t xml:space="preserve">each</t>
        </is>
      </c>
      <c r="G105" s="4457" t="n">
        <v>1</v>
      </c>
      <c r="H105" s="4419" t="n"/>
      <c r="I105" s="4429" t="n"/>
      <c r="J105" s="4419" t="n"/>
      <c r="K105" s="4430" t="n">
        <v>3714</v>
      </c>
      <c r="L105" s="4444" t="inlineStr">
        <is>
          <t xml:space="preserve">PRICE FOUND</t>
        </is>
      </c>
      <c r="M105" s="4432" t="inlineStr">
        <is>
          <t xml:space="preserve">Was NO PRICE. Alibaba $3,714 (1-4), $3,514 (5+). Link LIVE. Price now available.</t>
        </is>
      </c>
    </row>
    <row r="106" s="3154" customFormat="1" ht="13.5" customHeight="1">
      <c r="A106" s="4419" t="inlineStr">
        <is>
          <t xml:space="preserve">BO-15</t>
        </is>
      </c>
      <c r="B106" s="4419" t="inlineStr">
        <is>
          <t xml:space="preserve">Clean Linen Cart</t>
        </is>
      </c>
      <c r="C106" s="4419" t="inlineStr">
        <is>
          <t xml:space="preserve">Rotomolding LLDPE plastic linen truck; 970x670x1770mm; galvanized iron bracket; PU tires; 800kg load bearing; 4 silent wheels; PVC shielding cloth; custom color</t>
        </is>
      </c>
      <c r="D106" s="4419" t="inlineStr">
        <is>
          <t xml:space="preserve">Guangdong Huaruiyi Plastic Products</t>
        </is>
      </c>
      <c r="E106" s="4435" t="inlineStr">
        <is>
          <t xml:space="preserve">https://www.alibaba.com/product-detail/Factory-Rotomolding-Size-Color-Linen-Truck_1601222908029.html</t>
        </is>
      </c>
      <c r="F106" s="4419" t="inlineStr">
        <is>
          <t xml:space="preserve">each</t>
        </is>
      </c>
      <c r="G106" s="4419" t="n">
        <v>2</v>
      </c>
      <c r="H106" s="4419" t="inlineStr">
        <is>
          <t xml:space="preserve">$260–270</t>
        </is>
      </c>
      <c r="I106" s="4429" t="n">
        <v>265</v>
      </c>
      <c r="J106" s="4429" t="n">
        <f>G106*I106</f>
        <v>530</v>
      </c>
      <c r="K106" s="4430" t="n">
        <v>265</v>
      </c>
      <c r="L106" s="4431" t="inlineStr">
        <is>
          <t xml:space="preserve">MATCH</t>
        </is>
      </c>
      <c r="M106" s="4432" t="inlineStr">
        <is>
          <t xml:space="preserve">Alibaba $270 (5-9), $260 (10+); sheet $265 between tiers. Link LIVE. Verified 4/25.</t>
        </is>
      </c>
    </row>
    <row r="107" s="3154" customFormat="1" ht="13.5" customHeight="1">
      <c r="A107" s="4419" t="inlineStr">
        <is>
          <t xml:space="preserve">BO-16</t>
        </is>
      </c>
      <c r="B107" s="4419" t="inlineStr">
        <is>
          <t xml:space="preserve">Laundry Hamper Bag</t>
        </is>
      </c>
      <c r="C107" s="4419" t="inlineStr">
        <is>
          <t xml:space="preserve">Custom large cotton/nylon foldable; industrial commercial hotel laundry bag; drawstring; with logo strap</t>
        </is>
      </c>
      <c r="D107" s="4419" t="inlineStr">
        <is>
          <t xml:space="preserve">Cangnan Longgang Chuanghui Gift Factory</t>
        </is>
      </c>
      <c r="E107" s="4435" t="inlineStr">
        <is>
          <t xml:space="preserve">https://www.alibaba.com/product-detail/Custom-Large-Cotton-Foldable-Industrial-Commercial_1601008058435.html</t>
        </is>
      </c>
      <c r="F107" s="4419" t="inlineStr">
        <is>
          <t xml:space="preserve">each</t>
        </is>
      </c>
      <c r="G107" s="4457" t="n">
        <v>32</v>
      </c>
      <c r="H107" s="4419" t="inlineStr">
        <is>
          <t xml:space="preserve">$15</t>
        </is>
      </c>
      <c r="I107" s="4429" t="n">
        <v>3.95</v>
      </c>
      <c r="J107" s="4448" t="n">
        <f>G107*I107</f>
        <v>126.4</v>
      </c>
      <c r="K107" s="4430" t="n">
        <v>3.95</v>
      </c>
      <c r="L107" s="4431" t="inlineStr">
        <is>
          <t xml:space="preserve">MATCH</t>
        </is>
      </c>
      <c r="M107" s="4432" t="inlineStr">
        <is>
          <t xml:space="preserve">Alibaba $3.95 (100-1500 pcs). Link LIVE. Verified 4/27. Qty = 1.5/bath × 21 = 32.</t>
        </is>
      </c>
    </row>
    <row r="108" s="3154" customFormat="1" ht="13.5" customHeight="1">
      <c r="A108" s="4419" t="inlineStr">
        <is>
          <t xml:space="preserve">BO-17</t>
        </is>
      </c>
      <c r="B108" s="4419" t="inlineStr">
        <is>
          <t xml:space="preserve">Commercial Hood Type Dishwasher</t>
        </is>
      </c>
      <c r="C108" s="4419" t="inlineStr">
        <is>
          <t xml:space="preserve">Shanghai Zhenjinyuan HD-60 hood type commercial dishwasher; 304 stainless steel; 700×800×1450mm; 15.8kW; 220V/380V; 50 baskets/hr; 120kg; auto wash; cup/glass/dish compatible; 3-year warranty; free spare parts</t>
        </is>
      </c>
      <c r="D108" s="4419" t="inlineStr">
        <is>
          <t xml:space="preserve">Shanghai Zhenjinyuan Machinery Equipment Co.</t>
        </is>
      </c>
      <c r="E108" s="4435" t="inlineStr">
        <is>
          <t xml:space="preserve">https://www.alibaba.com/product-detail/Commercial-220v-380v-Bar-Coffee-Shop_1601055854351.html</t>
        </is>
      </c>
      <c r="F108" s="4419" t="inlineStr">
        <is>
          <t xml:space="preserve">each</t>
        </is>
      </c>
      <c r="G108" s="4419" t="n">
        <v>1</v>
      </c>
      <c r="H108" s="4419" t="inlineStr">
        <is>
          <t xml:space="preserve">$860–1,390</t>
        </is>
      </c>
      <c r="I108" s="4429" t="n">
        <v>1390</v>
      </c>
      <c r="J108" s="4429" t="n">
        <f>G108*I108</f>
        <v>1390</v>
      </c>
      <c r="K108" s="4430" t="n">
        <v>1390</v>
      </c>
      <c r="L108" s="4431" t="inlineStr">
        <is>
          <t xml:space="preserve">MATCH</t>
        </is>
      </c>
      <c r="M108" s="4432" t="inlineStr">
        <is>
          <t xml:space="preserve">Alibaba $1,390 exact match (1-4 tier). Link LIVE. Verified 4/25.</t>
        </is>
      </c>
    </row>
    <row r="109" s="3154" customFormat="1" ht="13.5" customHeight="1">
      <c r="A109" s="4419" t="inlineStr">
        <is>
          <t xml:space="preserve">BO-18</t>
        </is>
      </c>
      <c r="B109" s="4419" t="inlineStr">
        <is>
          <t xml:space="preserve">Robotic Floor Scrubber</t>
        </is>
      </c>
      <c r="C109" s="4419" t="inlineStr">
        <is>
          <t xml:space="preserve">Ounitech Q3-G commercial cleaning robot; 4-in-1 vacuum/scrub/mop/dust; LDS SLAM + VSLAM navigation; 15000Pa suction; 8L water tank; 46Ah battery; 2-3.5hr runtime; 400-600 sq ft coverage; auto-charge; auto dirt disposal; elevator-enabled cross-floor; app control; 60dB; 68.5kg; CE certified; 1-year warranty</t>
        </is>
      </c>
      <c r="D109" s="4419" t="inlineStr">
        <is>
          <t xml:space="preserve">Zhejiang Ounitech Robotics Co.</t>
        </is>
      </c>
      <c r="E109" s="4435" t="inlineStr">
        <is>
          <t xml:space="preserve">https://www.alibaba.com/product-detail/Vacuum-Cleaner-with-Automatic-Drainage-Artificial_1601709960516.html</t>
        </is>
      </c>
      <c r="F109" s="4419" t="inlineStr">
        <is>
          <t xml:space="preserve">ea</t>
        </is>
      </c>
      <c r="G109" s="4419" t="n">
        <v>1</v>
      </c>
      <c r="H109" s="4419" t="inlineStr">
        <is>
          <t xml:space="preserve">$9,000–12,000</t>
        </is>
      </c>
      <c r="I109" s="4429" t="n">
        <v>9000</v>
      </c>
      <c r="J109" s="4429" t="n">
        <f>G109*I109</f>
        <v>9000</v>
      </c>
      <c r="K109" s="4430" t="n">
        <v>9000</v>
      </c>
      <c r="L109" s="4431" t="inlineStr">
        <is>
          <t xml:space="preserve">MATCH</t>
        </is>
      </c>
      <c r="M109" s="4432" t="inlineStr">
        <is>
          <t xml:space="preserve">Alibaba $9,000-$12,000; sheet $9,000 at bottom of range. Link LIVE. Verified 4/25.</t>
        </is>
      </c>
    </row>
    <row r="110" s="3154" customFormat="1" ht="13.5" customHeight="1">
      <c r="A110" s="4419" t="inlineStr">
        <is>
          <t xml:space="preserve">BO-19</t>
        </is>
      </c>
      <c r="B110" s="4419" t="inlineStr">
        <is>
          <t xml:space="preserve">AI Commercial Floor Cleaning Robot</t>
        </is>
      </c>
      <c r="C110" s="4419" t="inlineStr">
        <is>
          <t xml:space="preserve">High-efficiency AI smart all-in-one; waterless cleaning; automatic recharging; commercial floor robotic cleaner</t>
        </is>
      </c>
      <c r="D110" s="4419" t="inlineStr">
        <is>
          <t xml:space="preserve">Alibaba (generic)</t>
        </is>
      </c>
      <c r="E110" s="4449" t="inlineStr">
        <is>
          <t xml:space="preserve">https://www.alibaba.com/product-detail/High-Efficiency-AI-Smart-All-in_1601593649459.html</t>
        </is>
      </c>
      <c r="F110" s="4419" t="inlineStr">
        <is>
          <t xml:space="preserve">each</t>
        </is>
      </c>
      <c r="G110" s="4419" t="n">
        <v>2</v>
      </c>
      <c r="H110" s="4419" t="inlineStr">
        <is>
          <t xml:space="preserve">$488.99</t>
        </is>
      </c>
      <c r="I110" s="4429" t="n">
        <v>7500</v>
      </c>
      <c r="J110" s="4429" t="n">
        <f>G110*I110</f>
        <v>15000</v>
      </c>
      <c r="K110" s="4450" t="n">
        <v>7500</v>
      </c>
      <c r="L110" s="4451" t="inlineStr">
        <is>
          <t xml:space="preserve">MATCH</t>
        </is>
      </c>
      <c r="M110" s="4452" t="inlineStr">
        <is>
          <t xml:space="preserve">Alibaba $7,500-$8,800 (MOQ 1). Link LIVE. Verified 4/27.</t>
        </is>
      </c>
    </row>
    <row r="111" s="3154" customFormat="1" ht="13.5" customHeight="1">
      <c r="A111" s="4434" t="inlineStr">
        <is>
          <t xml:space="preserve">BO-20</t>
        </is>
      </c>
      <c r="B111" s="4434" t="inlineStr">
        <is>
          <t xml:space="preserve">Window Cleaning Robot</t>
        </is>
      </c>
      <c r="C111" s="4434" t="inlineStr">
        <is>
          <t xml:space="preserve">Ideebo cordless battery window cleaning robot; single-piece (no base station); vacuum suction grip; edge detection; microfiber pads; FCC/CE certified; 110-120V US plug for charging; 3 units (2 spares)</t>
        </is>
      </c>
      <c r="D111" s="4434" t="inlineStr">
        <is>
          <t xml:space="preserve">Shenzhen Ideebo Technology</t>
        </is>
      </c>
      <c r="E111" s="4434" t="inlineStr">
        <is>
          <t xml:space="preserve">https://www.alibaba.com/product-detail/Customized-High-Rise-Residential-Building-Suitable_1601382943738.html</t>
        </is>
      </c>
      <c r="F111" s="4434" t="inlineStr">
        <is>
          <t xml:space="preserve">each</t>
        </is>
      </c>
      <c r="G111" s="4434" t="n">
        <v>3</v>
      </c>
      <c r="H111" s="4434" t="inlineStr">
        <is>
          <t xml:space="preserve">$47.50</t>
        </is>
      </c>
      <c r="I111" s="4434" t="n">
        <v>47.5</v>
      </c>
      <c r="J111" s="4434" t="n">
        <f>G111*I111</f>
        <v>142.5</v>
      </c>
      <c r="K111" s="4434" t="inlineStr">
        <is>
          <t xml:space="preserve">$47.50</t>
        </is>
      </c>
    </row>
    <row r="112" s="3154" customFormat="1" ht="13.5" customHeight="1">
      <c r="A112" s="4425" t="inlineStr">
        <is>
          <t xml:space="preserve">  UNIFORMS &amp; EMPLOYEE AMENITIES (UN)</t>
        </is>
      </c>
      <c r="B112" s="4425" t="n"/>
      <c r="C112" s="4425" t="n"/>
      <c r="D112" s="4425" t="n"/>
      <c r="E112" s="4467" t="inlineStr">
        <is>
          <t xml:space="preserve">https://www.alibaba.com/product-detail/Custom-Sublimation-Logo-Blank-Polo-t_1601513349499.html</t>
        </is>
      </c>
      <c r="F112" s="4425" t="n"/>
      <c r="G112" s="4425" t="n"/>
      <c r="H112" s="4425" t="n"/>
      <c r="I112" s="4425" t="n"/>
      <c r="J112" s="4419" t="n"/>
    </row>
    <row r="113" s="3154" customFormat="1" ht="13.5" customHeight="1">
      <c r="A113" s="4427" t="inlineStr">
        <is>
          <t xml:space="preserve">UN-01</t>
        </is>
      </c>
      <c r="B113" s="4454" t="inlineStr">
        <is>
          <t xml:space="preserve">Housekeeping Uniform</t>
        </is>
      </c>
      <c r="C113" s="4454" t="inlineStr">
        <is>
          <t xml:space="preserve">Custom sublimation logo polo shirt; 92% polyester 8% spandex; 180gsm; quick dry; short sleeve; custom embroidery/print; solid color</t>
        </is>
      </c>
      <c r="D113" s="4454" t="inlineStr">
        <is>
          <t xml:space="preserve">Shenzhen Xinyihong Clothing</t>
        </is>
      </c>
      <c r="E113" s="4455" t="inlineStr">
        <is>
          <t xml:space="preserve">https://www.alibaba.com/product-detail/Custom-Sublimation-Logo-Blank-Polo-t_1601513349499.html</t>
        </is>
      </c>
      <c r="F113" s="4454" t="inlineStr">
        <is>
          <t xml:space="preserve">each</t>
        </is>
      </c>
      <c r="G113" s="4469" t="n">
        <v>10</v>
      </c>
      <c r="H113" s="4456" t="inlineStr">
        <is>
          <t xml:space="preserve">$8–10.80</t>
        </is>
      </c>
      <c r="I113" s="4429" t="n">
        <v>9.4</v>
      </c>
      <c r="J113" s="4448" t="n">
        <f>G113*I113</f>
        <v>94</v>
      </c>
      <c r="K113" s="4430" t="n">
        <v>10.8</v>
      </c>
      <c r="L113" s="4431" t="inlineStr">
        <is>
          <t xml:space="preserve">PRICE CHANGED</t>
        </is>
      </c>
      <c r="M113" s="4432" t="inlineStr">
        <is>
          <t xml:space="preserve">Was $9.40; now $10.80 (100-499 tier), $8.00 (500+). Link LIVE.</t>
        </is>
      </c>
    </row>
    <row r="114" s="3154" customFormat="1" ht="13.5" customHeight="1">
      <c r="A114" s="4427" t="inlineStr">
        <is>
          <t xml:space="preserve">UN-02</t>
        </is>
      </c>
      <c r="B114" s="4427" t="inlineStr">
        <is>
          <t xml:space="preserve">Maintenance / BOH Uniform</t>
        </is>
      </c>
      <c r="C114" s="4427" t="inlineStr">
        <is>
          <t xml:space="preserve">Custom sublimation logo polo shirt; 92% polyester 8% spandex; 180gsm; quick dry; short sleeve; custom embroidery/print; solid color</t>
        </is>
      </c>
      <c r="D114" s="4427" t="inlineStr">
        <is>
          <t xml:space="preserve">Shenzhen Xinyihong Clothing</t>
        </is>
      </c>
      <c r="E114" s="4428" t="inlineStr">
        <is>
          <t xml:space="preserve">https://www.alibaba.com/product-detail/Custom-Sublimation-Logo-Blank-Polo-t_1601513349499.html</t>
        </is>
      </c>
      <c r="F114" s="4427" t="inlineStr">
        <is>
          <t xml:space="preserve">each</t>
        </is>
      </c>
      <c r="G114" s="4462" t="n">
        <v>5</v>
      </c>
      <c r="H114" s="4419" t="inlineStr">
        <is>
          <t xml:space="preserve">$8–10.80</t>
        </is>
      </c>
      <c r="I114" s="4429" t="n">
        <v>9.4</v>
      </c>
      <c r="J114" s="4448" t="n">
        <f>G114*I114</f>
        <v>47</v>
      </c>
      <c r="K114" s="4430" t="n">
        <v>10.8</v>
      </c>
      <c r="L114" s="4431" t="inlineStr">
        <is>
          <t xml:space="preserve">PRICE CHANGED</t>
        </is>
      </c>
      <c r="M114" s="4432" t="inlineStr">
        <is>
          <t xml:space="preserve">Was $9.40; now $10.80 (100-499 tier). Same link as UN-01. Link LIVE.</t>
        </is>
      </c>
    </row>
    <row r="115" s="3154" customFormat="1" ht="13.5" customHeight="1">
      <c r="A115" s="4427" t="inlineStr">
        <is>
          <t xml:space="preserve">UN-03</t>
        </is>
      </c>
      <c r="B115" s="4427" t="inlineStr">
        <is>
          <t xml:space="preserve">Front Desk / Management Uniform</t>
        </is>
      </c>
      <c r="C115" s="4427" t="inlineStr">
        <is>
          <t xml:space="preserve">Custom sublimation logo polo shirt; 92% polyester 8% spandex; 180gsm; quick dry; short sleeve; custom embroidery/print; solid color</t>
        </is>
      </c>
      <c r="D115" s="4427" t="inlineStr">
        <is>
          <t xml:space="preserve">Shenzhen Xinyihong Clothing</t>
        </is>
      </c>
      <c r="E115" s="4428" t="inlineStr">
        <is>
          <t xml:space="preserve">https://www.alibaba.com/product-detail/Custom-Sublimation-Logo-Blank-Polo-t_1601513349499.html</t>
        </is>
      </c>
      <c r="F115" s="4427" t="inlineStr">
        <is>
          <t xml:space="preserve">each</t>
        </is>
      </c>
      <c r="G115" s="4462" t="n">
        <v>5</v>
      </c>
      <c r="H115" s="4419" t="inlineStr">
        <is>
          <t xml:space="preserve">$8–10.80</t>
        </is>
      </c>
      <c r="I115" s="4429" t="n">
        <v>9.4</v>
      </c>
      <c r="J115" s="4448" t="n">
        <f>G115*I115</f>
        <v>47</v>
      </c>
      <c r="K115" s="4430" t="n">
        <v>10.8</v>
      </c>
      <c r="L115" s="4431" t="inlineStr">
        <is>
          <t xml:space="preserve">PRICE CHANGED</t>
        </is>
      </c>
      <c r="M115" s="4432" t="inlineStr">
        <is>
          <t xml:space="preserve">Was $9.40; now $10.80 (100-499 tier). Same link as UN-01. Link LIVE.</t>
        </is>
      </c>
    </row>
    <row r="116" s="3154" customFormat="1" ht="13.5" customHeight="1">
      <c r="A116" s="4427" t="inlineStr">
        <is>
          <t xml:space="preserve">UN-04</t>
        </is>
      </c>
      <c r="B116" s="4427" t="inlineStr">
        <is>
          <t xml:space="preserve">Employee Lockers (18-door unit)</t>
        </is>
      </c>
      <c r="C116" s="4427" t="inlineStr">
        <is>
          <t xml:space="preserve">18-door metal locker storage cabinet; steel; locking; gym/school style</t>
        </is>
      </c>
      <c r="D116" s="4427" t="inlineStr">
        <is>
          <t xml:space="preserve">Alibaba (generic)</t>
        </is>
      </c>
      <c r="E116" s="4428" t="inlineStr">
        <is>
          <t xml:space="preserve">https://www.alibaba.com/product-detail/18-Door-Metal-Locker-Storage-Cabinet_1601698028882.html</t>
        </is>
      </c>
      <c r="F116" s="4427" t="inlineStr">
        <is>
          <t xml:space="preserve">each</t>
        </is>
      </c>
      <c r="G116" s="4462" t="n">
        <v>1</v>
      </c>
      <c r="H116" s="4419" t="inlineStr">
        <is>
          <t xml:space="preserve">$65–70</t>
        </is>
      </c>
      <c r="I116" s="4429" t="n">
        <v>65</v>
      </c>
      <c r="J116" s="4448" t="n">
        <f>G116*I116</f>
        <v>65</v>
      </c>
      <c r="K116" s="4430" t="n">
        <v>65</v>
      </c>
      <c r="L116" s="4431" t="inlineStr">
        <is>
          <t xml:space="preserve">MATCH</t>
        </is>
      </c>
      <c r="M116" s="4432" t="inlineStr">
        <is>
          <t xml:space="preserve">Alibaba $65 (2-49 pcs). Link LIVE. Verified 4/27. 18 compartments per unit.</t>
        </is>
      </c>
    </row>
    <row r="117" s="3154" customFormat="1" ht="13.5" customHeight="1">
      <c r="A117" s="4427" t="inlineStr">
        <is>
          <t xml:space="preserve">UN-05</t>
        </is>
      </c>
      <c r="B117" s="4427" t="inlineStr">
        <is>
          <t xml:space="preserve">Staff Break Room Table &amp; Chairs</t>
        </is>
      </c>
      <c r="C117" s="4427" t="inlineStr">
        <is>
          <t xml:space="preserve">Solid wood dining table + chairs set; modern rectangular; oak/pine; custom size; hotel/apartment use</t>
        </is>
      </c>
      <c r="D117" s="4427" t="inlineStr">
        <is>
          <t xml:space="preserve">Chongqing Bilido Furniture Co.</t>
        </is>
      </c>
      <c r="E117" s="4428" t="inlineStr">
        <is>
          <t xml:space="preserve">https://www.alibaba.com/product-detail/Solid-Wood-Large-6ft-8ft-Thick_1600734690943.html</t>
        </is>
      </c>
      <c r="F117" s="4427" t="inlineStr">
        <is>
          <t xml:space="preserve">each</t>
        </is>
      </c>
      <c r="G117" s="4462" t="n">
        <v>1</v>
      </c>
      <c r="H117" s="4419" t="inlineStr">
        <is>
          <t xml:space="preserve">$154–606</t>
        </is>
      </c>
      <c r="I117" s="4429" t="n">
        <v>380</v>
      </c>
      <c r="J117" s="4448" t="n">
        <f>G117*I117</f>
        <v>380</v>
      </c>
      <c r="K117" s="4430" t="n">
        <v>380</v>
      </c>
      <c r="L117" s="4431" t="inlineStr">
        <is>
          <t xml:space="preserve">MATCH</t>
        </is>
      </c>
      <c r="M117" s="4432" t="inlineStr">
        <is>
          <t xml:space="preserve">Same as LB-07. $154.70-$606.17; sheet $380 within range. Link LIVE. Verified 4/25.</t>
        </is>
      </c>
    </row>
    <row r="118" s="3154" customFormat="1" ht="13.5" customHeight="1">
      <c r="A118" s="4427" t="inlineStr">
        <is>
          <t xml:space="preserve">UN-06</t>
        </is>
      </c>
      <c r="B118" s="4419" t="inlineStr">
        <is>
          <t xml:space="preserve">Staff PPE (consumable)</t>
        </is>
      </c>
      <c r="C118" s="4419" t="inlineStr">
        <is>
          <t xml:space="preserve">Cat 3 white disposable microporous coverall; anti-static; waterproof; breathable; elastic hood/waist/wrists/ankles; 65gsm; for plumbing &amp; dirty work</t>
        </is>
      </c>
      <c r="D118" s="4419" t="inlineStr">
        <is>
          <t xml:space="preserve">Hubei Vastprotect Manufacturing</t>
        </is>
      </c>
      <c r="E118" s="4435" t="inlineStr">
        <is>
          <t xml:space="preserve">https://www.alibaba.com/product-detail/Category-3-White-Fluid-Resistant-Breathable_1600630650602.html</t>
        </is>
      </c>
      <c r="F118" s="4419" t="inlineStr">
        <is>
          <t xml:space="preserve">each</t>
        </is>
      </c>
      <c r="G118" s="4419" t="n">
        <v>10</v>
      </c>
      <c r="H118" s="4419" t="inlineStr">
        <is>
          <t xml:space="preserve">$0.50–0.75</t>
        </is>
      </c>
      <c r="I118" s="4429" t="n">
        <v>0.63</v>
      </c>
      <c r="J118" s="4429" t="n">
        <f>G118*I118</f>
        <v>6.3</v>
      </c>
      <c r="K118" s="4430" t="n">
        <v>0.63</v>
      </c>
      <c r="L118" s="4431" t="inlineStr">
        <is>
          <t xml:space="preserve">MATCH</t>
        </is>
      </c>
      <c r="M118" s="4432" t="inlineStr">
        <is>
          <t xml:space="preserve">Alibaba $0.75 (5K-100K); sheet $0.63 close. Link LIVE. Verified 4/25.</t>
        </is>
      </c>
    </row>
    <row r="119" s="3154" customFormat="1" ht="13.5" customHeight="1">
      <c r="A119" s="4425" t="inlineStr">
        <is>
          <t xml:space="preserve">  BUILDING, STRUCTURE &amp; MEP (ME)</t>
        </is>
      </c>
      <c r="B119" s="4425" t="n"/>
      <c r="C119" s="4425" t="n"/>
      <c r="D119" s="4425" t="n"/>
      <c r="E119" s="4453" t="n"/>
      <c r="F119" s="4425" t="n"/>
      <c r="G119" s="4425" t="n"/>
      <c r="H119" s="4425" t="n"/>
      <c r="I119" s="4425" t="n"/>
      <c r="J119" s="4419" t="n"/>
    </row>
    <row r="120" s="3154" customFormat="1" ht="13.5" customHeight="1">
      <c r="A120" s="4425" t="inlineStr">
        <is>
          <t xml:space="preserve">  TECHNOLOGY &amp; SMART CONTROLS (TC)  —  Tuya App Integration</t>
        </is>
      </c>
      <c r="B120" s="4425" t="n"/>
      <c r="C120" s="4425" t="n"/>
      <c r="D120" s="4425" t="n"/>
      <c r="E120" s="4467" t="inlineStr">
        <is>
          <t xml:space="preserve">https://www.alibaba.com/product-detail/Freestanding-Stainless-Steel-Automatic-Speed-Gate_1601498755657.html</t>
        </is>
      </c>
      <c r="F120" s="4425" t="n"/>
      <c r="G120" s="4425" t="n"/>
      <c r="H120" s="4425" t="n"/>
      <c r="I120" s="4425" t="n"/>
      <c r="J120" s="4419" t="n"/>
    </row>
    <row r="121" s="3154" customFormat="1" ht="13.5" customHeight="1">
      <c r="A121" s="4463" t="inlineStr">
        <is>
          <t xml:space="preserve">TC-01</t>
        </is>
      </c>
      <c r="B121" s="4470" t="inlineStr">
        <is>
          <t xml:space="preserve">Access Control System</t>
        </is>
      </c>
      <c r="C121" s="4470" t="inlineStr">
        <is>
          <t xml:space="preserve">Freestanding stainless steel automatic speed gate; tempered glass wings; anti-tailgating; 2-way; RFID/QR/face recognition; IP54; brushless motor; TCP/IP; 304 SS; 1400×140×1000mm</t>
        </is>
      </c>
      <c r="D121" s="4470" t="inlineStr">
        <is>
          <t xml:space="preserve">Henan Jiewei Intelligent Technology</t>
        </is>
      </c>
      <c r="E121" s="4471" t="inlineStr">
        <is>
          <t xml:space="preserve">https://www.alibaba.com/product-detail/Freestanding-Stainless-Steel-Automatic-Speed-Gate_1601498755657.html</t>
        </is>
      </c>
      <c r="F121" s="4470" t="inlineStr">
        <is>
          <t xml:space="preserve">each</t>
        </is>
      </c>
      <c r="G121" s="4470" t="n">
        <v>3</v>
      </c>
      <c r="H121" s="4472" t="inlineStr">
        <is>
          <t xml:space="preserve">$260–300</t>
        </is>
      </c>
      <c r="I121" s="4466" t="n">
        <v>280</v>
      </c>
      <c r="J121" s="4466" t="n">
        <f>G121*I121</f>
        <v>840</v>
      </c>
      <c r="K121" s="4430" t="n">
        <v>300</v>
      </c>
      <c r="L121" s="4431" t="inlineStr">
        <is>
          <t xml:space="preserve">MINOR</t>
        </is>
      </c>
      <c r="M121" s="4432" t="inlineStr">
        <is>
          <t xml:space="preserve">Alibaba $300 (1-19), $280 (20-39); sheet $280. At 2 units = $300 tier. Link LIVE.</t>
        </is>
      </c>
    </row>
    <row r="122" s="3154" customFormat="1" ht="13.5" customHeight="1">
      <c r="A122" s="4436" t="inlineStr">
        <is>
          <t xml:space="preserve">TC-02</t>
        </is>
      </c>
      <c r="B122" s="4436" t="inlineStr">
        <is>
          <t xml:space="preserve">HVAC Temp &amp; Air Quality Panel</t>
        </is>
      </c>
      <c r="C122" s="4436" t="inlineStr">
        <is>
          <t xml:space="preserve">4-inch Android smart home central control panel; touch screen; WiFi; app/voice control; Zigbee gateway; ABS; wall-mounted; Tuya/Smart Life compatible</t>
        </is>
      </c>
      <c r="D122" s="4436" t="inlineStr">
        <is>
          <t xml:space="preserve">Shenzhen X-Focus (AISpeaker)</t>
        </is>
      </c>
      <c r="E122" s="4437" t="inlineStr">
        <is>
          <t xml:space="preserve">https://www.alibaba.com/product-detail/4-Inch-Electric-Android-Smart-Home_1601601949476.html</t>
        </is>
      </c>
      <c r="F122" s="4436" t="inlineStr">
        <is>
          <t xml:space="preserve">each</t>
        </is>
      </c>
      <c r="G122" s="4436" t="n">
        <f>$B$8</f>
        <v>73</v>
      </c>
      <c r="H122" s="4438" t="inlineStr">
        <is>
          <t xml:space="preserve">$99–115</t>
        </is>
      </c>
      <c r="I122" s="4439" t="n">
        <v>107</v>
      </c>
      <c r="J122" s="4439" t="n">
        <f>G122*I122</f>
        <v>7811</v>
      </c>
      <c r="K122" s="4440" t="n">
        <v>115</v>
      </c>
      <c r="L122" s="4441" t="inlineStr">
        <is>
          <t xml:space="preserve">PRICE CHANGED</t>
        </is>
      </c>
      <c r="M122" s="4442" t="inlineStr">
        <is>
          <t xml:space="preserve">Was $107; now $115 (1-99 tier), $110 (100-499). Link LIVE.</t>
        </is>
      </c>
      <c r="N122" s="4434" t="inlineStr">
        <is>
          <t xml:space="preserve">Aliya Liu (Shenzhen X-Focus)</t>
        </is>
      </c>
      <c r="O122" s="4434" t="inlineStr">
        <is>
          <t xml:space="preserve">Sent 20:22</t>
        </is>
      </c>
    </row>
    <row r="123" s="3154" customFormat="1" ht="13.5" customHeight="1">
      <c r="A123" s="4436" t="inlineStr">
        <is>
          <t xml:space="preserve">TC-03</t>
        </is>
      </c>
      <c r="B123" s="4436" t="inlineStr">
        <is>
          <t xml:space="preserve">Smart Light Switch (Tuya Zigbee)</t>
        </is>
      </c>
      <c r="C123" s="4436" t="inlineStr">
        <is>
          <t xml:space="preserve">Milfra 3-way 15A smart WiFi dimmer light switch; Tuya/Smart Life app; stepless dimming; voice control (Alexa/Google); fireproof PC; ETL certified; 100–250V; US standard</t>
        </is>
      </c>
      <c r="D123" s="4436" t="inlineStr">
        <is>
          <t xml:space="preserve">Shenzhen Hidin Tech (Milfra)</t>
        </is>
      </c>
      <c r="E123" s="4437" t="inlineStr">
        <is>
          <t xml:space="preserve">https://www.alibaba.com/product-detail/Milfra-3-Way-15A-Smart-Wall_60799232765.html</t>
        </is>
      </c>
      <c r="F123" s="4436" t="inlineStr">
        <is>
          <t xml:space="preserve">each</t>
        </is>
      </c>
      <c r="G123" s="4436" t="n">
        <f>$B$8</f>
        <v>73</v>
      </c>
      <c r="H123" s="4438" t="inlineStr">
        <is>
          <t xml:space="preserve">$4–26.70</t>
        </is>
      </c>
      <c r="I123" s="4439" t="n">
        <v>8.9</v>
      </c>
      <c r="J123" s="4439" t="n">
        <f>G123*I123</f>
        <v>649.7</v>
      </c>
      <c r="K123" s="4440" t="n">
        <v>8.9</v>
      </c>
      <c r="L123" s="4441" t="inlineStr">
        <is>
          <t xml:space="preserve">MATCH</t>
        </is>
      </c>
      <c r="M123" s="4442" t="inlineStr">
        <is>
          <t xml:space="preserve">Alibaba $8.90; sheet $8.90 exact match. Link LIVE. Verified 4/25.</t>
        </is>
      </c>
      <c r="N123" s="4434" t="inlineStr">
        <is>
          <t xml:space="preserve">Arya Hu (Shenzhen Hidin Tech)</t>
        </is>
      </c>
      <c r="O123" s="4434" t="inlineStr">
        <is>
          <t xml:space="preserve">Sent 20:23; replied (asked clarifying)</t>
        </is>
      </c>
    </row>
    <row r="124" s="3154" customFormat="1" ht="13.5" customHeight="1">
      <c r="A124" s="4436" t="inlineStr">
        <is>
          <t xml:space="preserve">TC-04</t>
        </is>
      </c>
      <c r="B124" s="4436" t="inlineStr">
        <is>
          <t xml:space="preserve">16CH 4K POE NVR + Camera Kit</t>
        </is>
      </c>
      <c r="C124" s="4436" t="inlineStr">
        <is>
          <t xml:space="preserve">4K Tuya POE network system; 8MP waterproof; night vision; two-way audio; AI security IP camera; 16CH P2P NVR video kit; includes 16 cameras + NVR + PoE</t>
        </is>
      </c>
      <c r="D124" s="4436" t="inlineStr">
        <is>
          <t xml:space="preserve">KDM (Alibaba)</t>
        </is>
      </c>
      <c r="E124" s="4437" t="inlineStr">
        <is>
          <t xml:space="preserve">https://www.alibaba.com/product-detail/4K-Tuya-POE-Network-System-8MP_1601523721501.html</t>
        </is>
      </c>
      <c r="F124" s="4436" t="inlineStr">
        <is>
          <t xml:space="preserve">kit</t>
        </is>
      </c>
      <c r="G124" s="4473" t="n">
        <v>1</v>
      </c>
      <c r="H124" s="4438" t="inlineStr">
        <is>
          <t xml:space="preserve">$124-438 (4CH-16CH); 16CH ~$438</t>
        </is>
      </c>
      <c r="I124" s="4439" t="n">
        <v>438</v>
      </c>
      <c r="J124" s="4474" t="n">
        <f>G124*I124</f>
        <v>438</v>
      </c>
      <c r="K124" s="4440" t="n">
        <v>438</v>
      </c>
      <c r="L124" s="4441" t="inlineStr">
        <is>
          <t xml:space="preserve">MATCH</t>
        </is>
      </c>
      <c r="M124" s="4442" t="inlineStr">
        <is>
          <t xml:space="preserve">New link. 16CH 4K Tuya POE NVR kit with 16 cameras. $438 (16-cam config, top of $124-438 range). Includes PoE NVR — TC-06 PoE switch no longer needed. MOQ 5. Verified 4/25.</t>
        </is>
      </c>
      <c r="N124" s="4434" t="inlineStr">
        <is>
          <t xml:space="preserve">Shirley Liu (Shenzhen Kadymay)</t>
        </is>
      </c>
      <c r="O124" s="4434" t="inlineStr">
        <is>
          <t xml:space="preserve">Sent 20:26</t>
        </is>
      </c>
    </row>
    <row r="125" s="3154" customFormat="1" ht="13.5" customHeight="1">
      <c r="A125" s="4475" t="inlineStr">
        <is>
          <t xml:space="preserve">TC-05</t>
        </is>
      </c>
      <c r="B125" s="4475" t="inlineStr">
        <is>
          <t xml:space="preserve">UHF RFID Integrated Reader (Bathroom Towel Tracking)</t>
        </is>
      </c>
      <c r="C125" s="4475" t="inlineStr">
        <is>
          <t xml:space="preserve">Vanch VI-IR61 all-in-one UHF RFID reader; 860-960MHz; built-in antenna; ABS enclosure; RS485/RS232/RJ45/USB; LED + buzzer; ISO 18000-6C; 1 per shower bathroom; NOTE: power via PoE over existing ethernet — confirm PoE support with Vanch, else add PoE splitter (~$10/ea); piggybacks on Tuya smart device network infrastructure</t>
        </is>
      </c>
      <c r="D125" s="4475" t="inlineStr">
        <is>
          <t xml:space="preserve">Shenzhen Vanch Intelligent Technology Co.</t>
        </is>
      </c>
      <c r="E125" s="4476" t="inlineStr">
        <is>
          <t xml:space="preserve">https://www.alibaba.com/product-detail/Vanch-All-in-One-Industrial-RFID_1601172402365.html</t>
        </is>
      </c>
      <c r="F125" s="4475" t="inlineStr">
        <is>
          <t xml:space="preserve">each</t>
        </is>
      </c>
      <c r="G125" s="4475" t="n">
        <f>$B$12</f>
        <v>15</v>
      </c>
      <c r="H125" s="4475" t="inlineStr">
        <is>
          <t xml:space="preserve">$140</t>
        </is>
      </c>
      <c r="I125" s="4477" t="n">
        <v>140</v>
      </c>
      <c r="J125" s="4477" t="n">
        <f>G125*I125</f>
        <v>2100</v>
      </c>
      <c r="K125" s="4440" t="n">
        <v>160</v>
      </c>
      <c r="L125" s="4441" t="inlineStr">
        <is>
          <t xml:space="preserve">PRICE CHANGED</t>
        </is>
      </c>
      <c r="M125" s="4442" t="inlineStr">
        <is>
          <t xml:space="preserve">Was $140; now $160 (1-39 tier), $150 (40+). Link LIVE.</t>
        </is>
      </c>
      <c r="N125" s="4434" t="inlineStr">
        <is>
          <t xml:space="preserve">Shirley Lau (Shenzhen Vanch)</t>
        </is>
      </c>
      <c r="O125" s="4434" t="inlineStr">
        <is>
          <t xml:space="preserve">Sent 20:28; SKIP — RFID not Tuya, revisit later</t>
        </is>
      </c>
    </row>
    <row r="126" s="3154" customFormat="1" ht="13.5" customHeight="1">
      <c r="A126" s="4478" t="inlineStr">
        <is>
          <t xml:space="preserve">TC-06</t>
        </is>
      </c>
      <c r="B126" s="4478" t="inlineStr">
        <is>
          <t xml:space="preserve">PoE Network Switch (per-floor RFID power + data)</t>
        </is>
      </c>
      <c r="C126" s="4478" t="inlineStr">
        <is>
          <t xml:space="preserve">PoE network switch; 8-16 port; provides power + data to bathroom RFID readers (TC-05) over single ethernet cable; eliminates separate power runs; 1 per floor; local purchase or RFQ</t>
        </is>
      </c>
      <c r="D126" s="4478" t="inlineStr">
        <is>
          <t xml:space="preserve">Local / RFQ</t>
        </is>
      </c>
      <c r="E126" s="4479" t="inlineStr">
        <is>
          <t xml:space="preserve">https://www.alibaba.com/showroom/smoke-co-detector.html</t>
        </is>
      </c>
      <c r="F126" s="4478" t="inlineStr">
        <is>
          <t xml:space="preserve">each</t>
        </is>
      </c>
      <c r="G126" s="4478" t="n">
        <v>0</v>
      </c>
      <c r="H126" s="4478" t="inlineStr">
        <is>
          <t xml:space="preserve">$50–100</t>
        </is>
      </c>
      <c r="I126" s="4480" t="n">
        <v>0</v>
      </c>
      <c r="J126" s="4480" t="n">
        <f>G126*I126</f>
        <v>0</v>
      </c>
      <c r="K126" s="4430" t="n">
        <v>75</v>
      </c>
      <c r="L126" s="4443" t="inlineStr">
        <is>
          <t xml:space="preserve">REMOVED</t>
        </is>
      </c>
      <c r="M126" s="4432" t="inlineStr">
        <is>
          <t xml:space="preserve">PoE included in TC-04 16CH NVR kit. No separate switch needed. Removed 4/25.</t>
        </is>
      </c>
    </row>
    <row r="127" s="3154" customFormat="1" ht="21.75" customHeight="1">
      <c r="A127" s="4475" t="inlineStr">
        <is>
          <t xml:space="preserve">TC-07</t>
        </is>
      </c>
      <c r="B127" s="4475" t="inlineStr">
        <is>
          <t xml:space="preserve">Motion / Presence Detector (Tuya WiFi)</t>
        </is>
      </c>
      <c r="C127" s="4475" t="inlineStr">
        <is>
          <t xml:space="preserve">RSH 24G radar millimeter wave; human presence sensor; 130° 6m range; Tuya smart WiFi; with light sensor; occupancy-based HVAC/lighting automation</t>
        </is>
      </c>
      <c r="D127" s="4475" t="inlineStr">
        <is>
          <t xml:space="preserve">RSH Technology Co., Ltd.</t>
        </is>
      </c>
      <c r="E127" s="4476" t="inlineStr">
        <is>
          <t xml:space="preserve">https://www.alibaba.com/product-detail/RSH-24G-Radar-Millimeter-Wave-Human_1601300936434.html</t>
        </is>
      </c>
      <c r="F127" s="4475" t="inlineStr">
        <is>
          <t xml:space="preserve">each</t>
        </is>
      </c>
      <c r="G127" s="4475" t="n">
        <v>73</v>
      </c>
      <c r="H127" s="4475" t="inlineStr">
        <is>
          <t xml:space="preserve">$14.50</t>
        </is>
      </c>
      <c r="I127" s="4477" t="n">
        <v>14.5</v>
      </c>
      <c r="J127" s="4477" t="n">
        <f>G127*I127</f>
        <v>1058.5</v>
      </c>
      <c r="K127" s="4481" t="n">
        <v>14.5</v>
      </c>
      <c r="L127" s="4482" t="inlineStr">
        <is>
          <t xml:space="preserve">MATCH</t>
        </is>
      </c>
      <c r="M127" s="4483" t="inlineStr">
        <is>
          <t xml:space="preserve">Alibaba $14.50 (2-199 pcs), $14 (200+). RSH Tech 18yr verified, 218 reviews. Link LIVE. Verified 4/28.</t>
        </is>
      </c>
      <c r="N127" s="4434" t="inlineStr">
        <is>
          <t xml:space="preserve">LeBron Liang (RSH Technology)</t>
        </is>
      </c>
      <c r="O127" s="4434" t="inlineStr">
        <is>
          <t xml:space="preserve">Sent 20:29; replied</t>
        </is>
      </c>
    </row>
    <row r="128" s="3154" customFormat="1" ht="13.5" customHeight="1">
      <c r="A128" s="4484" t="inlineStr">
        <is>
          <t xml:space="preserve">TC-08</t>
        </is>
      </c>
      <c r="B128" s="4484" t="inlineStr">
        <is>
          <t xml:space="preserve">BLE Beacon Tag (Asset/Personnel Tracking)</t>
        </is>
      </c>
      <c r="C128" s="4484" t="inlineStr">
        <is>
          <t xml:space="preserve">K8 waterproof BLE 5.0 beacon; IP63; iBeacon+Eddystone; CR2477 battery ~2yr; for cleaning carts, staff badges, laundry hampers, robots; Tuya-compatible via BLE gateway</t>
        </is>
      </c>
      <c r="D128" s="4484" t="inlineStr">
        <is>
          <t xml:space="preserve">Alibaba (Shenzhen Minew)</t>
        </is>
      </c>
      <c r="E128" s="4484" t="inlineStr">
        <is>
          <t xml:space="preserve">https://www.alibaba.com/product-detail/K8-waterproof-asset-tracking-ble-5_1600834188048.html</t>
        </is>
      </c>
      <c r="F128" s="4484" t="inlineStr">
        <is>
          <t xml:space="preserve">each</t>
        </is>
      </c>
      <c r="G128" s="4484" t="n">
        <v>25</v>
      </c>
      <c r="H128" s="4484" t="inlineStr">
        <is>
          <t xml:space="preserve">$5.28–8.00</t>
        </is>
      </c>
      <c r="I128" s="4484" t="n">
        <v>6.5</v>
      </c>
      <c r="J128" s="4484" t="n">
        <f>G128*I128</f>
        <v>162.5</v>
      </c>
      <c r="K128" s="4484" t="inlineStr">
        <is>
          <t xml:space="preserve">$5.28–8.00</t>
        </is>
      </c>
      <c r="L128" s="4484" t="n"/>
      <c r="M128" s="4484" t="n"/>
    </row>
    <row r="129" s="3154" customFormat="1" ht="13.5" customHeight="1">
      <c r="A129" s="4484" t="inlineStr">
        <is>
          <t xml:space="preserve">TC-09</t>
        </is>
      </c>
      <c r="B129" s="4484" t="inlineStr">
        <is>
          <t xml:space="preserve">BLE Gateway (Indoor Positioning Receiver)</t>
        </is>
      </c>
      <c r="C129" s="4484" t="inlineStr">
        <is>
          <t xml:space="preserve">Moko IoT WiFi+BLE gateway; scans BLE beacons and reports RSSI to cloud; wall/ceiling mount; Tuya-compatible; 2 per floor for triangulation coverage</t>
        </is>
      </c>
      <c r="D129" s="4484" t="inlineStr">
        <is>
          <t xml:space="preserve">Moko Technology (Shenzhen)</t>
        </is>
      </c>
      <c r="E129" s="4484" t="inlineStr">
        <is>
          <t xml:space="preserve">https://www.alibaba.com/product-detail/Moko-IOT-ble-beacon-data-receiver_1600082737163.html</t>
        </is>
      </c>
      <c r="F129" s="4484" t="inlineStr">
        <is>
          <t xml:space="preserve">each</t>
        </is>
      </c>
      <c r="G129" s="4484" t="n">
        <v>4</v>
      </c>
      <c r="H129" s="4484" t="inlineStr">
        <is>
          <t xml:space="preserve">$35–55</t>
        </is>
      </c>
      <c r="I129" s="4484" t="n">
        <v>45</v>
      </c>
      <c r="J129" s="4484" t="n">
        <f>G129*I129</f>
        <v>180</v>
      </c>
      <c r="K129" s="4484" t="inlineStr">
        <is>
          <t xml:space="preserve">$35–55</t>
        </is>
      </c>
      <c r="L129" s="4484" t="n"/>
      <c r="M129" s="4484" t="n"/>
    </row>
    <row r="130" s="3154" customFormat="1" ht="13.5" customHeight="1">
      <c r="A130" s="4425" t="inlineStr">
        <is>
          <t xml:space="preserve">  LIFE SAFETY &amp; CODE COMPLIANCE (LS)  —  GC / MEP Coordination Required</t>
        </is>
      </c>
      <c r="B130" s="4425" t="n"/>
      <c r="C130" s="4425" t="n"/>
      <c r="D130" s="4425" t="n"/>
      <c r="E130" s="4467" t="inlineStr">
        <is>
          <t xml:space="preserve">https://www.alibaba.com/showroom/smoke-co-detector.html</t>
        </is>
      </c>
      <c r="F130" s="4425" t="n"/>
      <c r="G130" s="4425" t="n"/>
      <c r="H130" s="4425" t="n"/>
      <c r="I130" s="4425" t="n"/>
      <c r="J130" s="4419" t="n"/>
    </row>
    <row r="131" s="3154" customFormat="1" ht="13.5" customHeight="1">
      <c r="A131" s="4427" t="inlineStr">
        <is>
          <t xml:space="preserve">LS-08</t>
        </is>
      </c>
      <c r="B131" s="4427" t="inlineStr">
        <is>
          <t xml:space="preserve">AED — Automated External Defibrillator</t>
        </is>
      </c>
      <c r="C131" s="4427" t="inlineStr">
        <is>
          <t xml:space="preserve">Philips HeartStart OnSite AED; 8-yr warranty; adult smart pads; lithium battery (4-yr); carrying case; premium wall cabinet; AED sign; CPR responder kit; inspection tag; maintenance support</t>
        </is>
      </c>
      <c r="D131" s="4427" t="inlineStr">
        <is>
          <t xml:space="preserve">American AED (Philips)</t>
        </is>
      </c>
      <c r="E131" s="4428" t="inlineStr">
        <is>
          <t xml:space="preserve">https://americanaed.com/aed-solutions/community-churches</t>
        </is>
      </c>
      <c r="F131" s="4427" t="inlineStr">
        <is>
          <t xml:space="preserve">each</t>
        </is>
      </c>
      <c r="G131" s="4427" t="n">
        <v>1</v>
      </c>
      <c r="H131" s="4419" t="inlineStr">
        <is>
          <t xml:space="preserve">$1,549</t>
        </is>
      </c>
      <c r="I131" s="4429" t="n">
        <v>1549</v>
      </c>
      <c r="J131" s="4429" t="n">
        <f>G131*I131</f>
        <v>1549</v>
      </c>
      <c r="K131" s="4430" t="n">
        <v>1549</v>
      </c>
      <c r="L131" s="4431" t="inlineStr">
        <is>
          <t xml:space="preserve">MATCH</t>
        </is>
      </c>
      <c r="M131" s="4432" t="inlineStr">
        <is>
          <t xml:space="preserve">americanaed.com; $1,549 confirmed. Verified prior session.</t>
        </is>
      </c>
    </row>
    <row r="132" s="3154" customFormat="1" ht="13.5" customHeight="1">
      <c r="A132" s="4427" t="inlineStr">
        <is>
          <t xml:space="preserve">LS-09</t>
        </is>
      </c>
      <c r="B132" s="4427" t="inlineStr">
        <is>
          <t xml:space="preserve">First Aid Kit</t>
        </is>
      </c>
      <c r="C132" s="4427" t="inlineStr">
        <is>
          <t xml:space="preserve">Commercial-grade wall-mount first aid cabinet; OSHA compliant; restockable</t>
        </is>
      </c>
      <c r="D132" s="4427" t="inlineStr">
        <is>
          <t xml:space="preserve">Local supplier</t>
        </is>
      </c>
      <c r="E132" s="4428" t="inlineStr">
        <is>
          <t xml:space="preserve">https://americanaed.com/aed-solutions/community-churches</t>
        </is>
      </c>
      <c r="F132" s="4427" t="inlineStr">
        <is>
          <t xml:space="preserve">each</t>
        </is>
      </c>
      <c r="G132" s="4462" t="n">
        <v>3</v>
      </c>
      <c r="H132" s="4419" t="n"/>
      <c r="I132" s="4429" t="n"/>
      <c r="J132" s="4419" t="n"/>
      <c r="K132" s="4430" t="inlineStr">
        <is>
          <t xml:space="preserve">—</t>
        </is>
      </c>
      <c r="L132" s="4444" t="inlineStr">
        <is>
          <t xml:space="preserve">NO PRICE</t>
        </is>
      </c>
      <c r="M132" s="4432" t="inlineStr">
        <is>
          <t xml:space="preserve">Same link as LS-08 (AED page). Need specific first aid kit product.</t>
        </is>
      </c>
    </row>
    <row r="133" s="3154" customFormat="1" ht="13.5" customHeight="1">
      <c r="A133" s="4427" t="inlineStr">
        <is>
          <t xml:space="preserve">LS-10</t>
        </is>
      </c>
      <c r="B133" s="4427" t="inlineStr">
        <is>
          <t xml:space="preserve">ADA Signage Package</t>
        </is>
      </c>
      <c r="C133" s="4427" t="inlineStr">
        <is>
          <t xml:space="preserve">ADA-compliant tactile room ID, restroom, and accessibility signs; Braille + raised text</t>
        </is>
      </c>
      <c r="D133" s="4427" t="inlineStr">
        <is>
          <t xml:space="preserve">Local supplier</t>
        </is>
      </c>
      <c r="E133" s="4428" t="inlineStr">
        <is>
          <t xml:space="preserve">https://americanaed.com/aed-solutions/community-churches</t>
        </is>
      </c>
      <c r="F133" s="4427" t="inlineStr">
        <is>
          <t xml:space="preserve">each</t>
        </is>
      </c>
      <c r="G133" s="4462" t="n">
        <v>1</v>
      </c>
      <c r="H133" s="4419" t="n"/>
      <c r="I133" s="4429" t="n"/>
      <c r="J133" s="4419" t="n"/>
      <c r="K133" s="4430" t="inlineStr">
        <is>
          <t xml:space="preserve">—</t>
        </is>
      </c>
      <c r="L133" s="4444" t="inlineStr">
        <is>
          <t xml:space="preserve">NO PRICE</t>
        </is>
      </c>
      <c r="M133" s="4432" t="inlineStr">
        <is>
          <t xml:space="preserve">Same link as LS-08. Need specific ADA signage product.</t>
        </is>
      </c>
    </row>
    <row r="134" s="3154" customFormat="1" ht="13.5" customHeight="1">
      <c r="A134" s="4436" t="inlineStr">
        <is>
          <t xml:space="preserve">LS-12</t>
        </is>
      </c>
      <c r="B134" s="4438" t="inlineStr">
        <is>
          <t xml:space="preserve">Smart Smoke Detector (Tuya WiFi)</t>
        </is>
      </c>
      <c r="C134" s="4438" t="inlineStr">
        <is>
          <t xml:space="preserve">Tuya WiFi interconnected smart wireless cigarette smoke detector; 10-year battery; hotel-grade; new generation technology</t>
        </is>
      </c>
      <c r="D134" s="4438" t="inlineStr">
        <is>
          <t xml:space="preserve">Alibaba Supplier</t>
        </is>
      </c>
      <c r="E134" s="4485" t="inlineStr">
        <is>
          <t xml:space="preserve">https://www.alibaba.com/product-detail/10-Years-Battery-Powered-Hotel-Smart_1600862542572.html</t>
        </is>
      </c>
      <c r="F134" s="4438" t="inlineStr">
        <is>
          <t xml:space="preserve">each</t>
        </is>
      </c>
      <c r="G134" s="4486" t="n">
        <v>73</v>
      </c>
      <c r="H134" s="4438" t="inlineStr">
        <is>
          <t xml:space="preserve">$12.96 (1-63), $12.65 (64-1260), $12.34 (1261+)</t>
        </is>
      </c>
      <c r="I134" s="4439" t="n">
        <v>12.65</v>
      </c>
      <c r="J134" s="4438" t="n">
        <f>G134*I134</f>
        <v>923.45</v>
      </c>
      <c r="K134" s="4440" t="n">
        <v>12.65</v>
      </c>
      <c r="L134" s="4441" t="inlineStr">
        <is>
          <t xml:space="preserve">MATCH</t>
        </is>
      </c>
      <c r="M134" s="4442" t="inlineStr">
        <is>
          <t xml:space="preserve">New item. Tuya WiFi smoke detector. $12.65 (64-1260 tier at 91 units). Verified 4/25.</t>
        </is>
      </c>
      <c r="N134" s="4434" t="inlineStr">
        <is>
          <t xml:space="preserve">Rona Luo (Shenzhen Ariza Electronic)</t>
        </is>
      </c>
      <c r="O134" s="4434" t="inlineStr">
        <is>
          <t xml:space="preserve">Sent 20:31</t>
        </is>
      </c>
    </row>
    <row r="135" s="3154" customFormat="1" ht="13.5" customHeight="1">
      <c r="A135" s="4425" t="inlineStr">
        <is>
          <t xml:space="preserve">  BRAND SIGNAGE (SG)</t>
        </is>
      </c>
      <c r="B135" s="4425" t="n"/>
      <c r="C135" s="4425" t="n"/>
      <c r="D135" s="4425" t="n"/>
      <c r="E135" s="4467" t="inlineStr">
        <is>
          <t xml:space="preserve">https://www.alibaba.com/product-detail/Building-Signs-Exterior-Outdoor-Large-Illuminated_1601504918239.html</t>
        </is>
      </c>
      <c r="F135" s="4425" t="n"/>
      <c r="G135" s="4425" t="n"/>
      <c r="H135" s="4425" t="n"/>
      <c r="I135" s="4425" t="n"/>
      <c r="J135" s="4419" t="n"/>
    </row>
    <row r="136" s="3154" customFormat="1" ht="13.5" customHeight="1">
      <c r="A136" s="4427" t="inlineStr">
        <is>
          <t xml:space="preserve">SG-01</t>
        </is>
      </c>
      <c r="B136" s="4427" t="inlineStr">
        <is>
          <t xml:space="preserve">Exterior Illuminated Brand Sign</t>
        </is>
      </c>
      <c r="C136" s="4427" t="inlineStr">
        <is>
          <t xml:space="preserve">Large illuminated LED building sign; Sleep Space branding; custom fabrication; outdoor-rated</t>
        </is>
      </c>
      <c r="D136" s="4427" t="inlineStr">
        <is>
          <t xml:space="preserve">RFQ — Alibaba (TBD)</t>
        </is>
      </c>
      <c r="E136" s="4428" t="inlineStr">
        <is>
          <t xml:space="preserve">https://www.alibaba.com/product-detail/Building-Signs-Exterior-Outdoor-Large-Illuminated_1601504918239.html</t>
        </is>
      </c>
      <c r="F136" s="4427" t="inlineStr">
        <is>
          <t xml:space="preserve">each</t>
        </is>
      </c>
      <c r="G136" s="4427" t="n">
        <v>1</v>
      </c>
      <c r="H136" s="4419" t="inlineStr">
        <is>
          <t xml:space="preserve">RFQ — est ~$3,500</t>
        </is>
      </c>
      <c r="I136" s="4429" t="n">
        <v>3500</v>
      </c>
      <c r="J136" s="4419" t="n">
        <f>G136*I136</f>
        <v>3500</v>
      </c>
      <c r="K136" s="4430" t="n">
        <v>120</v>
      </c>
      <c r="L136" s="4444" t="inlineStr">
        <is>
          <t xml:space="preserve">RFQ</t>
        </is>
      </c>
      <c r="M136" s="4432" t="inlineStr">
        <is>
          <t xml:space="preserve">Alibaba generic $120 (1-99). Custom illuminated hotel building sign est ~$3,500. Needs RFQ for Sleep Space branding. Verified 4/25.</t>
        </is>
      </c>
    </row>
    <row r="137" s="3154" customFormat="1" ht="13.5" customHeight="1">
      <c r="A137" s="4427" t="inlineStr">
        <is>
          <t xml:space="preserve">SG-02</t>
        </is>
      </c>
      <c r="B137" s="4454" t="inlineStr">
        <is>
          <t xml:space="preserve">Interior Wayfinding Signs</t>
        </is>
      </c>
      <c r="C137" s="4454" t="inlineStr">
        <is>
          <t xml:space="preserve">Factory custom hotel room number signs; metal; one-stop service quality assurance; door sign for hotel room</t>
        </is>
      </c>
      <c r="D137" s="4454" t="inlineStr">
        <is>
          <t xml:space="preserve">Alibaba Supplier</t>
        </is>
      </c>
      <c r="E137" s="4455" t="inlineStr">
        <is>
          <t xml:space="preserve">https://www.alibaba.com/product-detail/Factory-Customization-Hotel-Rooms-Number-Sines_1601703097541.html</t>
        </is>
      </c>
      <c r="F137" s="4454" t="inlineStr">
        <is>
          <t xml:space="preserve">each</t>
        </is>
      </c>
      <c r="G137" s="4469" t="n">
        <v>20</v>
      </c>
      <c r="H137" s="4456" t="inlineStr">
        <is>
          <t xml:space="preserve">$16.12 (1-19), $12.22 (20-49), $9.11 (50+)</t>
        </is>
      </c>
      <c r="I137" s="4429" t="n">
        <v>9.109999999999999</v>
      </c>
      <c r="J137" s="4448" t="n">
        <f>G137*I137</f>
        <v>182.2</v>
      </c>
      <c r="K137" s="4430" t="n">
        <v>9.109999999999999</v>
      </c>
      <c r="L137" s="4431" t="inlineStr">
        <is>
          <t xml:space="preserve">MATCH</t>
        </is>
      </c>
      <c r="M137" s="4432" t="inlineStr">
        <is>
          <t xml:space="preserve">New link. $9.11 (50+ tier). Same supplier for wayfinding signs. Verified 4/25.</t>
        </is>
      </c>
    </row>
    <row r="138" s="3154" customFormat="1" ht="13.5" customHeight="1">
      <c r="A138" s="4434" t="inlineStr">
        <is>
          <t xml:space="preserve">BA-23</t>
        </is>
      </c>
      <c r="B138" s="4434" t="inlineStr">
        <is>
          <t xml:space="preserve">Shower Non-Slip Floor Mat</t>
        </is>
      </c>
      <c r="C138" s="4434" t="inlineStr">
        <is>
          <t xml:space="preserve">Anti-bacterial PVC non-slip mat; drain holes; cuttable; quick drying footmat for bathroom/bathtub/shower</t>
        </is>
      </c>
      <c r="D138" s="4434" t="inlineStr">
        <is>
          <t xml:space="preserve">Alibaba Supplier</t>
        </is>
      </c>
      <c r="E138" s="4434" t="inlineStr">
        <is>
          <t xml:space="preserve">https://www.alibaba.com/product-detail/Anti-Bacterial-PVC-Non-Slip-with_1601172318551.html</t>
        </is>
      </c>
      <c r="F138" s="4434" t="inlineStr">
        <is>
          <t xml:space="preserve">each</t>
        </is>
      </c>
      <c r="G138" s="4434" t="n">
        <v>15</v>
      </c>
      <c r="H138" s="4434" t="inlineStr">
        <is>
          <t xml:space="preserve">$2.90 (100-499), $2.75 (500-2999), $2.55 (3K+)</t>
        </is>
      </c>
      <c r="I138" s="4434" t="n">
        <v>2.9</v>
      </c>
      <c r="J138" s="4434" t="n">
        <f>G138*I138</f>
        <v>43.5</v>
      </c>
      <c r="K138" s="4434" t="n">
        <v>2.9</v>
      </c>
      <c r="L138" s="4434" t="inlineStr">
        <is>
          <t xml:space="preserve">MATCH</t>
        </is>
      </c>
      <c r="M138" s="4434" t="inlineStr">
        <is>
          <t xml:space="preserve">New item. PVC non-slip shower mat. $2.90 (100-499 tier, below MOQ at 21). Verified 4/25.</t>
        </is>
      </c>
    </row>
    <row r="139" s="3154" customFormat="1" ht="13.5" customHeight="1">
      <c r="A139" s="4434" t="inlineStr">
        <is>
          <t xml:space="preserve">SG-03</t>
        </is>
      </c>
      <c r="B139" s="4434" t="inlineStr">
        <is>
          <t xml:space="preserve">LED Display Outdoor Sign</t>
        </is>
      </c>
      <c r="C139" s="4434" t="inlineStr">
        <is>
          <t xml:space="preserve">LED screen display outdoor panel; P5/P8/P10; high brightness; 960×960; full color waterproof LED video wall</t>
        </is>
      </c>
      <c r="D139" s="4434" t="inlineStr">
        <is>
          <t xml:space="preserve">Alibaba Supplier</t>
        </is>
      </c>
      <c r="E139" s="4434" t="inlineStr">
        <is>
          <t xml:space="preserve">https://www.alibaba.com/product-detail/Led-Screen-Led-Display-Outdoor-Led_1600756695414.html</t>
        </is>
      </c>
      <c r="F139" s="4434" t="inlineStr">
        <is>
          <t xml:space="preserve">each</t>
        </is>
      </c>
      <c r="G139" s="4434" t="n">
        <v>1</v>
      </c>
      <c r="H139" s="4434" t="inlineStr">
        <is>
          <t xml:space="preserve">$350 (1-99), $280 (100-499), $200 (500+)</t>
        </is>
      </c>
      <c r="I139" s="4434" t="n">
        <v>350</v>
      </c>
      <c r="J139" s="4434" t="n">
        <f>G139*I139</f>
        <v>350</v>
      </c>
      <c r="K139" s="4434" t="n">
        <v>350</v>
      </c>
      <c r="L139" s="4434" t="inlineStr">
        <is>
          <t xml:space="preserve">RFQ</t>
        </is>
      </c>
      <c r="M139" s="4434" t="inlineStr">
        <is>
          <t xml:space="preserve">New item. LED display $350 (1-99). Needs RFQ for custom Sleep Space size/spec. Verified 4/25.</t>
        </is>
      </c>
    </row>
    <row r="140" s="3154" customFormat="1" ht="13.5" customHeight="1">
      <c r="A140" s="4434" t="inlineStr">
        <is>
          <t xml:space="preserve">SG-04</t>
        </is>
      </c>
      <c r="B140" s="4434" t="inlineStr">
        <is>
          <t xml:space="preserve">Pylon / Totem Sign</t>
        </is>
      </c>
      <c r="C140" s="4434" t="inlineStr">
        <is>
          <t xml:space="preserve">Custom company advertising LED pylon sign; outdoor gas station style totem sign; illuminated; manufacturer direct</t>
        </is>
      </c>
      <c r="D140" s="4434" t="inlineStr">
        <is>
          <t xml:space="preserve">Alibaba Supplier</t>
        </is>
      </c>
      <c r="E140" s="4434" t="inlineStr">
        <is>
          <t xml:space="preserve">https://www.alibaba.com/product-detail/Custom-Company-Advertising-Led-Pylon-Signs_1600572593836.html</t>
        </is>
      </c>
      <c r="F140" s="4434" t="inlineStr">
        <is>
          <t xml:space="preserve">each</t>
        </is>
      </c>
      <c r="G140" s="4434" t="n">
        <v>1</v>
      </c>
      <c r="H140" s="4434" t="inlineStr">
        <is>
          <t xml:space="preserve">$1,200 (1-49), $800 (50-499)</t>
        </is>
      </c>
      <c r="I140" s="4434" t="n">
        <v>1200</v>
      </c>
      <c r="J140" s="4434" t="n">
        <f>G140*I140</f>
        <v>1200</v>
      </c>
      <c r="K140" s="4434" t="n">
        <v>1200</v>
      </c>
      <c r="L140" s="4434" t="inlineStr">
        <is>
          <t xml:space="preserve">RFQ</t>
        </is>
      </c>
      <c r="M140" s="4434" t="inlineStr">
        <is>
          <t xml:space="preserve">New item. Pylon sign $1,200 (1-49). Needs RFQ for custom Sleep Space branding. Verified 4/25.</t>
        </is>
      </c>
    </row>
    <row r="141" s="3154" customFormat="1" ht="13.5" customHeight="1">
      <c r="A141" s="4453" t="n"/>
      <c r="B141" s="4419" t="n"/>
      <c r="C141" s="4419" t="n"/>
      <c r="D141" s="4419" t="n"/>
      <c r="E141" s="4419" t="n"/>
      <c r="F141" s="4419" t="n"/>
      <c r="G141" s="4419" t="n"/>
      <c r="H141" s="4419" t="n"/>
      <c r="I141" s="4419" t="n"/>
    </row>
    <row r="142" s="3154" customFormat="1" ht="13.5" customHeight="1">
      <c r="A142" s="4487" t="n"/>
      <c r="B142" s="4487" t="inlineStr">
        <is>
          <t xml:space="preserve">ESTIMATED PROCUREMENT TOTAL</t>
        </is>
      </c>
      <c r="C142" s="4487" t="n"/>
      <c r="D142" s="4487" t="n"/>
      <c r="E142" s="4487" t="n"/>
      <c r="F142" s="4487" t="n"/>
      <c r="G142" s="4487" t="n"/>
      <c r="H142" s="4487" t="n"/>
      <c r="I142" s="4487" t="n"/>
      <c r="J142" s="4488" t="n">
        <f>SUM(J17:J140)</f>
        <v>177616.85</v>
      </c>
    </row>
    <row r="143" s="3154" customFormat="1" ht="13.5" customHeight="1">
      <c r="A143" s="4489" t="inlineStr">
        <is>
          <t xml:space="preserve">  Legend:</t>
        </is>
      </c>
      <c r="B143" s="4416" t="n"/>
      <c r="C143" s="4416" t="n"/>
      <c r="D143" s="4416" t="n"/>
      <c r="E143" s="4490" t="inlineStr">
        <is>
          <t xml:space="preserve">https://www.alibaba.com/product-detail/Building-Signs-Exterior-Outdoor-Large-Illuminated_1601504918239.html</t>
        </is>
      </c>
      <c r="F143" s="4416" t="n"/>
      <c r="G143" s="4416" t="n"/>
      <c r="H143" s="4416" t="n"/>
      <c r="I143" s="4416" t="n"/>
    </row>
    <row r="144" s="3154" customFormat="1" ht="13.5" customHeight="1">
      <c r="A144" s="4491" t="inlineStr">
        <is>
          <t xml:space="preserve">  Light Blue = GC / Local Contractor Scope</t>
        </is>
      </c>
      <c r="I144" s="4492" t="n"/>
    </row>
    <row r="145" s="3154" customFormat="1" ht="15" customHeight="1">
      <c r="A145" s="4493" t="inlineStr">
        <is>
          <t xml:space="preserve">  Light Orange = Tuya Smart Home Integration</t>
        </is>
      </c>
      <c r="I145" s="4494" t="n"/>
      <c r="J145" s="4495" t="n"/>
    </row>
    <row r="146" s="3154" customFormat="1" ht="15" customHeight="1">
      <c r="A146" s="4418" t="inlineStr">
        <is>
          <t xml:space="preserve">  RFQ — Alibaba (TBD) = supplier to be selected at RFQ</t>
        </is>
      </c>
      <c r="I146" s="4416" t="n"/>
    </row>
    <row r="147" s="3154" customFormat="1" ht="15" customHeight="1">
      <c r="A147" s="4416" t="n"/>
      <c r="B147" s="4416" t="n"/>
      <c r="C147" s="4416" t="n"/>
      <c r="D147" s="4416" t="n"/>
      <c r="E147" s="4419" t="n"/>
      <c r="F147" s="4416" t="n"/>
      <c r="G147" s="4416" t="n"/>
      <c r="H147" s="4416" t="n"/>
      <c r="I147" s="4416" t="n"/>
    </row>
    <row r="148" s="3154" customFormat="1" ht="15" customHeight="1">
      <c r="A148" s="4416" t="n"/>
      <c r="I148" s="4416" t="n"/>
    </row>
    <row r="149" s="3154" customFormat="1" ht="60" customHeight="1">
      <c r="A149" s="4416" t="n"/>
      <c r="I149" s="4416" t="n"/>
    </row>
    <row r="150" s="3154" customFormat="1" ht="60" customHeight="1">
      <c r="A150" s="4416" t="n"/>
      <c r="I150" s="4416" t="n"/>
    </row>
    <row r="151" s="3154" customFormat="1" ht="15" customHeight="1">
      <c r="A151" s="4416" t="n"/>
      <c r="I151" s="4416" t="n"/>
    </row>
    <row r="152" s="3154" customFormat="1" ht="15" customHeight="1">
      <c r="A152" s="4416" t="n"/>
      <c r="I152" s="4416" t="n"/>
    </row>
    <row r="153" s="3154" customFormat="1" ht="15" customHeight="1">
      <c r="A153" s="4416" t="n"/>
      <c r="I153" s="4416" t="n"/>
    </row>
    <row r="155">
      <c r="A155" s="4496" t="inlineStr">
        <is>
          <t xml:space="preserve">SOURCE NOTE</t>
        </is>
      </c>
      <c r="B155" s="4496" t="inlineStr">
        <is>
          <t xml:space="preserve">Standalone 100-key procurement source copied from: /Users/ethansargent/Documents/Claude/Projects/sleep space contunue/Sleep Space FF&amp;E — Full Procurement.xlsx</t>
        </is>
      </c>
    </row>
    <row r="156">
      <c r="B156" s="4496" t="inlineStr">
        <is>
          <t xml:space="preserve">Active 100-key version is FFE-FF&amp;E. Do not edit this source snapshot except when replacing it with a newer procurement workbook.</t>
        </is>
      </c>
    </row>
  </sheetData>
  <mergeCells>
    <mergeCell ref="A4:H4"/>
    <mergeCell ref="A144:H144"/>
    <mergeCell ref="A16:H16"/>
    <mergeCell ref="A2:H2"/>
    <mergeCell ref="A1:H1"/>
  </mergeCells>
  <pageMargins left="0.7" right="0.7" top="0.75" bottom="0.75" header="0.3" footer="0.3"/>
</worksheet>
</file>

<file path=xl/worksheets/sheet36.xml><?xml version="1.0" encoding="utf-8"?>
<worksheet xmlns="http://schemas.openxmlformats.org/spreadsheetml/2006/main">
  <sheetViews>
    <sheetView showGridLines="0" workbookViewId="0"/>
  </sheetViews>
  <sheetFormatPr baseColWidth="8" defaultColWidth="8.5" defaultRowHeight="15"/>
  <cols>
    <col min="1" max="1" width="12" style="3136" customWidth="1"/>
    <col min="2" max="2" width="34" style="3136" customWidth="1"/>
    <col min="3" max="3" width="70" style="3136" customWidth="1"/>
    <col min="4" max="4" width="34" style="3136" customWidth="1"/>
    <col min="5" max="5" width="55" style="3136" customWidth="1"/>
    <col min="6" max="6" width="8" style="3136" customWidth="1"/>
    <col min="7" max="7" width="8.5" style="3136" customWidth="1"/>
    <col min="8" max="8" width="16" style="3136" customWidth="1"/>
    <col min="9" max="9" width="12" style="3136" customWidth="1"/>
    <col min="10" max="10" width="14" style="3136" customWidth="1"/>
    <col min="11" max="11" width="16" style="3136" customWidth="1"/>
    <col min="12" max="12" width="14" style="3136" customWidth="1"/>
    <col min="13" max="13" width="42" style="3136" customWidth="1"/>
    <col min="14" max="14" width="35" style="3136" customWidth="1"/>
    <col min="15" max="15" width="8.5" style="3136" customWidth="1"/>
    <col min="16" max="16384" width="8.5" style="3136" customWidth="1"/>
  </cols>
  <sheetData>
    <row r="1" s="3154" customFormat="1" ht="13.5" customHeight="1">
      <c r="A1" s="2906" t="inlineStr">
        <is>
          <t xml:space="preserve">SLEEP SPACE — FF&amp;E PROCUREMENT SCHEDULE</t>
        </is>
      </c>
      <c r="B1" s="3202" t="n"/>
      <c r="C1" s="3202" t="n"/>
      <c r="D1" s="3202" t="n"/>
      <c r="E1" s="3202" t="n"/>
      <c r="F1" s="3202" t="n"/>
      <c r="G1" s="3202" t="n"/>
      <c r="H1" s="3202" t="n"/>
      <c r="I1" s="81" t="n"/>
      <c r="J1" s="50" t="n"/>
      <c r="K1" s="50" t="n"/>
      <c r="L1" s="50" t="n"/>
      <c r="M1" s="50" t="n"/>
      <c r="N1" s="50" t="n"/>
      <c r="O1" s="2908" t="n"/>
    </row>
    <row r="2" s="3154" customFormat="1" ht="13.5" customHeight="1">
      <c r="A2" s="2909" t="inlineStr">
        <is>
          <t xml:space="preserve">100-key hotel procurement · 50 Economy Plus ensuite rooms · 50 Economy rooms with 5:1 shared baths · Austin, TX</t>
        </is>
      </c>
      <c r="I2" s="81" t="n"/>
      <c r="J2" s="50" t="n"/>
      <c r="K2" s="50" t="n"/>
      <c r="L2" s="50" t="n"/>
      <c r="M2" s="50" t="n"/>
      <c r="N2" s="50" t="n"/>
      <c r="O2" s="2908" t="n"/>
    </row>
    <row r="3" s="3154" customFormat="1" ht="13.5" customHeight="1">
      <c r="A3" s="2911" t="n"/>
      <c r="B3" s="2911" t="n"/>
      <c r="C3" s="2911" t="n"/>
      <c r="D3" s="2911" t="n"/>
      <c r="E3" s="2911" t="n"/>
      <c r="F3" s="2911" t="n"/>
      <c r="G3" s="2911" t="n"/>
      <c r="H3" s="2911" t="n"/>
      <c r="I3" s="2912" t="n"/>
      <c r="J3" s="50" t="n"/>
      <c r="K3" s="50" t="n"/>
      <c r="L3" s="50" t="n"/>
      <c r="M3" s="50" t="n"/>
      <c r="N3" s="50" t="n"/>
      <c r="O3" s="2908" t="n"/>
    </row>
    <row r="4" s="3154" customFormat="1" ht="13.5" customHeight="1">
      <c r="A4" s="2913" t="inlineStr">
        <is>
          <t xml:space="preserve">  PROPERTY ASSUMPTIONS</t>
        </is>
      </c>
      <c r="I4" s="81" t="n"/>
      <c r="J4" s="50" t="n"/>
      <c r="K4" s="50" t="n"/>
      <c r="L4" s="50" t="n"/>
      <c r="M4" s="50" t="n"/>
      <c r="N4" s="50" t="n"/>
      <c r="O4" s="2908" t="n"/>
    </row>
    <row r="5" s="3154" customFormat="1" ht="13.5" customHeight="1">
      <c r="A5" s="2915" t="inlineStr">
        <is>
          <t xml:space="preserve">Parameter</t>
        </is>
      </c>
      <c r="B5" s="2916" t="inlineStr">
        <is>
          <t xml:space="preserve">Count / Formula</t>
        </is>
      </c>
      <c r="C5" s="2917" t="n"/>
      <c r="D5" s="2917" t="n"/>
      <c r="E5" s="2917" t="n"/>
      <c r="F5" s="2917" t="n"/>
      <c r="G5" s="2917" t="n"/>
      <c r="H5" s="2917" t="n"/>
      <c r="I5" s="2912" t="n"/>
      <c r="J5" s="50" t="n"/>
      <c r="K5" s="50" t="n"/>
      <c r="L5" s="50" t="n"/>
      <c r="M5" s="50" t="n"/>
      <c r="N5" s="50" t="n"/>
      <c r="O5" s="2908" t="n"/>
    </row>
    <row r="6" s="3154" customFormat="1" ht="13.5" customHeight="1">
      <c r="A6" s="2918" t="inlineStr">
        <is>
          <t xml:space="preserve">Economy Plus Rooms (private bath)</t>
        </is>
      </c>
      <c r="B6" s="2919" t="n">
        <f>'Assumptions'!C72</f>
        <v>50</v>
      </c>
      <c r="C6" s="2920" t="inlineStr">
        <is>
          <t xml:space="preserve">Linked to Assumptions!C72</t>
        </is>
      </c>
      <c r="D6" s="2912" t="n"/>
      <c r="E6" s="2921" t="n"/>
      <c r="F6" s="2912" t="n"/>
      <c r="G6" s="2912" t="n"/>
      <c r="H6" s="2912" t="n"/>
      <c r="I6" s="2912" t="n"/>
      <c r="J6" s="50" t="n"/>
      <c r="K6" s="50" t="n"/>
      <c r="L6" s="50" t="n"/>
      <c r="M6" s="50" t="n"/>
      <c r="N6" s="50" t="n"/>
      <c r="O6" s="2908" t="n"/>
    </row>
    <row r="7" s="3154" customFormat="1" ht="13.5" customHeight="1">
      <c r="A7" s="2918" t="inlineStr">
        <is>
          <t xml:space="preserve">Economy Rooms (shared spine bath)</t>
        </is>
      </c>
      <c r="B7" s="2919" t="n">
        <f>'Assumptions'!C73</f>
        <v>50</v>
      </c>
      <c r="C7" s="2920" t="inlineStr">
        <is>
          <t xml:space="preserve">Linked to Assumptions!C73</t>
        </is>
      </c>
      <c r="D7" s="2912" t="n"/>
      <c r="E7" s="2921" t="n"/>
      <c r="F7" s="2912" t="n"/>
      <c r="G7" s="2912" t="n"/>
      <c r="H7" s="2912" t="n"/>
      <c r="I7" s="2912" t="n"/>
      <c r="J7" s="50" t="n"/>
      <c r="K7" s="50" t="n"/>
      <c r="L7" s="50" t="n"/>
      <c r="M7" s="50" t="n"/>
      <c r="N7" s="50" t="n"/>
      <c r="O7" s="2908" t="n"/>
    </row>
    <row r="8" s="3154" customFormat="1" ht="13.5" customHeight="1">
      <c r="A8" s="2918" t="inlineStr">
        <is>
          <t xml:space="preserve">Total Guest Rooms</t>
        </is>
      </c>
      <c r="B8" s="2922" t="n">
        <f t="array" ref="B8">B6+B7</f>
        <v>100</v>
      </c>
      <c r="C8" s="2920" t="n"/>
      <c r="D8" s="2912" t="n"/>
      <c r="E8" s="2921" t="n"/>
      <c r="F8" s="2912" t="n"/>
      <c r="G8" s="2912" t="n"/>
      <c r="H8" s="2912" t="n"/>
      <c r="I8" s="2912" t="n"/>
      <c r="J8" s="50" t="n"/>
      <c r="K8" s="50" t="n"/>
      <c r="L8" s="50" t="n"/>
      <c r="M8" s="50" t="n"/>
      <c r="N8" s="50" t="n"/>
      <c r="O8" s="2908" t="n"/>
    </row>
    <row r="9" s="3154" customFormat="1" ht="13.5" customHeight="1">
      <c r="A9" s="2918" t="inlineStr">
        <is>
          <t xml:space="preserve">Private Bathrooms (1 per EP room)</t>
        </is>
      </c>
      <c r="B9" s="2922" t="n">
        <f t="array" ref="B9">B6</f>
        <v>50</v>
      </c>
      <c r="C9" s="2920" t="inlineStr">
        <is>
          <t xml:space="preserve">1 per Economy Plus room</t>
        </is>
      </c>
      <c r="D9" s="2912" t="n"/>
      <c r="E9" s="2921" t="n"/>
      <c r="F9" s="2912" t="n"/>
      <c r="G9" s="2912" t="n"/>
      <c r="H9" s="2912" t="n"/>
      <c r="I9" s="2912" t="n"/>
      <c r="J9" s="50" t="n"/>
      <c r="K9" s="50" t="n"/>
      <c r="L9" s="50" t="n"/>
      <c r="M9" s="50" t="n"/>
      <c r="N9" s="50" t="n"/>
      <c r="O9" s="2908" t="n"/>
    </row>
    <row r="10" s="3154" customFormat="1" ht="13.5" customHeight="1">
      <c r="A10" s="2918" t="inlineStr">
        <is>
          <t xml:space="preserve">Shared Bathrooms (Economy, 5:1 ratio)</t>
        </is>
      </c>
      <c r="B10" s="2922" t="n">
        <f t="array" ref="B10">ROUNDUP(B7/5,0)</f>
        <v>10</v>
      </c>
      <c r="C10" s="2920" t="inlineStr">
        <is>
          <t xml:space="preserve">1 shared bath per 5 Economy rooms</t>
        </is>
      </c>
      <c r="D10" s="2912" t="n"/>
      <c r="E10" s="2921" t="n"/>
      <c r="F10" s="2912" t="n"/>
      <c r="G10" s="2912" t="n"/>
      <c r="H10" s="2912" t="n"/>
      <c r="I10" s="2912" t="n"/>
      <c r="J10" s="50" t="n"/>
      <c r="K10" s="50" t="n"/>
      <c r="L10" s="50" t="n"/>
      <c r="M10" s="50" t="n"/>
      <c r="N10" s="50" t="n"/>
      <c r="O10" s="2908" t="n"/>
    </row>
    <row r="11" s="3154" customFormat="1" ht="13.5" customHeight="1">
      <c r="A11" s="2918" t="inlineStr">
        <is>
          <t xml:space="preserve">ADA Bathrooms (included in private/shared count)</t>
        </is>
      </c>
      <c r="B11" s="2922" t="n">
        <f t="array" ref="B11">0</f>
        <v>0</v>
      </c>
      <c r="C11" s="2920" t="inlineStr">
        <is>
          <t xml:space="preserve">No extra count until final code plan</t>
        </is>
      </c>
      <c r="D11" s="2912" t="n"/>
      <c r="E11" s="2921" t="n"/>
      <c r="F11" s="2912" t="n"/>
      <c r="G11" s="2912" t="n"/>
      <c r="H11" s="2912" t="n"/>
      <c r="I11" s="2912" t="n"/>
      <c r="J11" s="50" t="n"/>
      <c r="K11" s="50" t="n"/>
      <c r="L11" s="50" t="n"/>
      <c r="M11" s="50" t="n"/>
      <c r="N11" s="50" t="n"/>
      <c r="O11" s="2908" t="n"/>
    </row>
    <row r="12" s="3154" customFormat="1" ht="13.5" customHeight="1">
      <c r="A12" s="2918" t="inlineStr">
        <is>
          <t xml:space="preserve">Total Bathrooms</t>
        </is>
      </c>
      <c r="B12" s="2922" t="n">
        <f t="array" ref="B12">B9+B10+B11</f>
        <v>60</v>
      </c>
      <c r="C12" s="2920" t="inlineStr">
        <is>
          <t xml:space="preserve">Private ensuite + shared bathrooms</t>
        </is>
      </c>
      <c r="D12" s="2912" t="n"/>
      <c r="E12" s="2921" t="n"/>
      <c r="F12" s="2912" t="n"/>
      <c r="G12" s="2912" t="n"/>
      <c r="H12" s="2912" t="n"/>
      <c r="I12" s="2912" t="n"/>
      <c r="J12" s="50" t="n"/>
      <c r="K12" s="50" t="n"/>
      <c r="L12" s="50" t="n"/>
      <c r="M12" s="50" t="n"/>
      <c r="N12" s="50" t="n"/>
      <c r="O12" s="2908" t="n"/>
    </row>
    <row r="13" s="3154" customFormat="1" ht="13.5" customHeight="1">
      <c r="A13" s="2918" t="inlineStr">
        <is>
          <t xml:space="preserve">Bed-to-Bath: EP 1:1 / Economy 5:1 / overall</t>
        </is>
      </c>
      <c r="B13" s="4318" t="n">
        <f t="array" ref="B13">B8/B12</f>
        <v>1.666666666667</v>
      </c>
      <c r="C13" s="2920" t="inlineStr">
        <is>
          <t xml:space="preserve">Overall keys per modeled bathroom</t>
        </is>
      </c>
      <c r="D13" s="2912" t="n"/>
      <c r="E13" s="2921" t="n"/>
      <c r="F13" s="2912" t="n"/>
      <c r="G13" s="2912" t="n"/>
      <c r="H13" s="2912" t="n"/>
      <c r="I13" s="2912" t="n"/>
      <c r="J13" s="50" t="n"/>
      <c r="K13" s="50" t="n"/>
      <c r="L13" s="50" t="n"/>
      <c r="M13" s="50" t="n"/>
      <c r="N13" s="50" t="n"/>
      <c r="O13" s="2908" t="n"/>
    </row>
    <row r="14" s="3154" customFormat="1" ht="13.5" customHeight="1">
      <c r="A14" s="2924" t="n"/>
      <c r="B14" s="2925" t="n"/>
      <c r="C14" s="2924" t="n"/>
      <c r="D14" s="2924" t="n"/>
      <c r="E14" s="2924" t="n"/>
      <c r="F14" s="2924" t="n"/>
      <c r="G14" s="2924" t="n"/>
      <c r="H14" s="2926" t="n"/>
      <c r="I14" s="2926" t="n"/>
      <c r="J14" s="50" t="n"/>
      <c r="K14" s="2927" t="n"/>
      <c r="L14" s="2927" t="n"/>
      <c r="M14" s="2927" t="n"/>
      <c r="N14" s="50" t="n"/>
      <c r="O14" s="2908" t="n"/>
    </row>
    <row r="15" s="3154" customFormat="1" ht="13.5" customHeight="1">
      <c r="A15" s="2928" t="inlineStr">
        <is>
          <t xml:space="preserve">Item Code</t>
        </is>
      </c>
      <c r="B15" s="2928" t="inlineStr">
        <is>
          <t xml:space="preserve">Item Name</t>
        </is>
      </c>
      <c r="C15" s="2928" t="inlineStr">
        <is>
          <t xml:space="preserve">Spec / Description</t>
        </is>
      </c>
      <c r="D15" s="2928" t="inlineStr">
        <is>
          <t xml:space="preserve">Approved Vendor</t>
        </is>
      </c>
      <c r="E15" s="2928" t="inlineStr">
        <is>
          <t xml:space="preserve">Link</t>
        </is>
      </c>
      <c r="F15" s="2928" t="inlineStr">
        <is>
          <t xml:space="preserve">Unit</t>
        </is>
      </c>
      <c r="G15" s="2928" t="inlineStr">
        <is>
          <t xml:space="preserve">Qty</t>
        </is>
      </c>
      <c r="H15" s="2929" t="inlineStr">
        <is>
          <t xml:space="preserve">Price</t>
        </is>
      </c>
      <c r="I15" s="2930" t="inlineStr">
        <is>
          <t xml:space="preserve">Est. Unit $</t>
        </is>
      </c>
      <c r="J15" s="2931" t="inlineStr">
        <is>
          <t xml:space="preserve">Est. Total $</t>
        </is>
      </c>
      <c r="K15" s="2932" t="inlineStr">
        <is>
          <t xml:space="preserve">Vendor Price</t>
        </is>
      </c>
      <c r="L15" s="2932" t="inlineStr">
        <is>
          <t xml:space="preserve">QC Status</t>
        </is>
      </c>
      <c r="M15" s="2932" t="inlineStr">
        <is>
          <t xml:space="preserve">QC Notes</t>
        </is>
      </c>
      <c r="N15" s="2933" t="inlineStr">
        <is>
          <t xml:space="preserve">Tuya Contact (Alibaba)</t>
        </is>
      </c>
      <c r="O15" s="2934" t="inlineStr">
        <is>
          <t xml:space="preserve">Inquiry Sent 2026-04-29</t>
        </is>
      </c>
    </row>
    <row r="16" s="3154" customFormat="1" ht="13.5" customHeight="1">
      <c r="A16" s="2935" t="inlineStr">
        <is>
          <t xml:space="preserve">  GUEST ROOM (GR) — 100-key room FF&amp;E: 50 Economy Plus + 50 Economy</t>
        </is>
      </c>
      <c r="B16" s="4300" t="n"/>
      <c r="C16" s="4300" t="n"/>
      <c r="D16" s="4300" t="n"/>
      <c r="E16" s="4300" t="n"/>
      <c r="F16" s="4300" t="n"/>
      <c r="G16" s="4300" t="n"/>
      <c r="H16" s="4300" t="n"/>
      <c r="I16" s="2938" t="n"/>
      <c r="J16" s="50" t="n"/>
      <c r="K16" s="2939" t="n"/>
      <c r="L16" s="2939" t="n"/>
      <c r="M16" s="2939" t="n"/>
      <c r="N16" s="50" t="n"/>
      <c r="O16" s="2908" t="n"/>
    </row>
    <row r="17" s="3154" customFormat="1" ht="13.5" customHeight="1">
      <c r="A17" s="2940" t="inlineStr">
        <is>
          <t xml:space="preserve">GR-01</t>
        </is>
      </c>
      <c r="B17" s="2940" t="inlineStr">
        <is>
          <t xml:space="preserve">Bed Frame</t>
        </is>
      </c>
      <c r="C17" s="2940" t="inlineStr">
        <is>
          <t xml:space="preserve">Kainice BD-140 minimalist metal bed frame; melamine board + metal iron feet; KD easy assembly; 168×58×22.5cm packed; 45.4kg</t>
        </is>
      </c>
      <c r="D17" s="2940" t="inlineStr">
        <is>
          <t xml:space="preserve">Kainice Smart Furniture</t>
        </is>
      </c>
      <c r="E17" s="2941" t="inlineStr">
        <is>
          <t xml:space="preserve">https://www.alibaba.com/product-detail/Kainice-Custom-King-Size-Bedroom-Furniture_1601268409385.html</t>
        </is>
      </c>
      <c r="F17" s="2940" t="inlineStr">
        <is>
          <t xml:space="preserve">each</t>
        </is>
      </c>
      <c r="G17" s="2942" t="n">
        <f t="array" ref="G17">$B$8</f>
        <v>100</v>
      </c>
      <c r="H17" s="2943" t="inlineStr">
        <is>
          <t xml:space="preserve">$143–178</t>
        </is>
      </c>
      <c r="I17" s="2944" t="n">
        <v>160.5</v>
      </c>
      <c r="J17" s="4319" t="n">
        <f t="array" ref="J17">IFERROR(G17*I17,0)</f>
        <v>16050</v>
      </c>
      <c r="K17" s="2946" t="n">
        <v>178</v>
      </c>
      <c r="L17" s="2947" t="inlineStr">
        <is>
          <t xml:space="preserve">PRICE CHANGED</t>
        </is>
      </c>
      <c r="M17" s="2948" t="inlineStr">
        <is>
          <t xml:space="preserve">Was $160.50; now $178 (50-99 tier), $165 (100-499), $143 (500+). Link LIVE.</t>
        </is>
      </c>
      <c r="N17" s="2949" t="n"/>
      <c r="O17" s="2908" t="n"/>
    </row>
    <row r="18" s="3154" customFormat="1" ht="13.5" customHeight="1">
      <c r="A18" s="2940" t="inlineStr">
        <is>
          <t xml:space="preserve">GR-02</t>
        </is>
      </c>
      <c r="B18" s="2940" t="inlineStr">
        <is>
          <t xml:space="preserve">Mattress (Full XL, owner-selected)</t>
        </is>
      </c>
      <c r="C18" s="2940" t="inlineStr">
        <is>
          <t xml:space="preserve">14" hybrid mattress; Full XL size (54×80"); memory foam + pocket spring; fiberglass-free; Oeko-Tex 100; CertiPUR-US; 10 yr warranty; custom branding available</t>
        </is>
      </c>
      <c r="D18" s="2940" t="inlineStr">
        <is>
          <t xml:space="preserve">Guangdong Diglant Furniture Industrial Co.</t>
        </is>
      </c>
      <c r="E18" s="2941" t="inlineStr">
        <is>
          <t xml:space="preserve">https://www.alibaba.com/product-detail/Hybrid-Mattress-14-Inch-Memory-Foam_1601196234502.html</t>
        </is>
      </c>
      <c r="F18" s="2940" t="inlineStr">
        <is>
          <t xml:space="preserve">each</t>
        </is>
      </c>
      <c r="G18" s="2942" t="n">
        <f t="array" ref="G18">$B$8</f>
        <v>100</v>
      </c>
      <c r="H18" s="2950" t="inlineStr">
        <is>
          <t xml:space="preserve">RFQ — not displayed</t>
        </is>
      </c>
      <c r="I18" s="2944" t="n"/>
      <c r="J18" s="4319" t="n">
        <f t="array" ref="J18">IFERROR(G18*I18,0)</f>
        <v>0</v>
      </c>
      <c r="K18" s="2951" t="inlineStr">
        <is>
          <t xml:space="preserve">$303–$496</t>
        </is>
      </c>
      <c r="L18" s="2952" t="inlineStr">
        <is>
          <t xml:space="preserve">RFQ NEEDED</t>
        </is>
      </c>
      <c r="M18" s="2948" t="inlineStr">
        <is>
          <t xml:space="preserve">Updated to Full XL size (54×80"). Need RFQ for Full XL pricing from Diglant. Link LIVE. Updated 4/25.</t>
        </is>
      </c>
      <c r="N18" s="2949" t="n"/>
      <c r="O18" s="2908" t="n"/>
    </row>
    <row r="19" s="3154" customFormat="1" ht="13.5" customHeight="1">
      <c r="A19" s="2940" t="inlineStr">
        <is>
          <t xml:space="preserve">GR-03</t>
        </is>
      </c>
      <c r="B19" s="2940" t="inlineStr">
        <is>
          <t xml:space="preserve">Mattress Protector</t>
        </is>
      </c>
      <c r="C19" s="2940" t="inlineStr">
        <is>
          <t xml:space="preserve">100% cotton terry fabric waterproof mattress protector; hypoallergenic; anti-bacteria; anti dust mite; 200TC; 200gsm microfiber fill; fitted 9-14 inches</t>
        </is>
      </c>
      <c r="D19" s="2940" t="inlineStr">
        <is>
          <t xml:space="preserve">Shanghai General Textile</t>
        </is>
      </c>
      <c r="E19" s="2941" t="inlineStr">
        <is>
          <t xml:space="preserve">https://www.alibaba.com/product-detail/100-Cotton-Terry-Fabric-Synthetic-Layer_60725832424.html</t>
        </is>
      </c>
      <c r="F19" s="2940" t="inlineStr">
        <is>
          <t xml:space="preserve">each</t>
        </is>
      </c>
      <c r="G19" s="2942" t="n">
        <f t="array" ref="G19">$B$8</f>
        <v>100</v>
      </c>
      <c r="H19" s="2950" t="inlineStr">
        <is>
          <t xml:space="preserve">$7.50–8.20</t>
        </is>
      </c>
      <c r="I19" s="2944" t="n">
        <v>7.85</v>
      </c>
      <c r="J19" s="4319" t="n">
        <f t="array" ref="J19">IFERROR(G19*I19,0)</f>
        <v>785</v>
      </c>
      <c r="K19" s="2946" t="n">
        <v>7.85</v>
      </c>
      <c r="L19" s="2947" t="inlineStr">
        <is>
          <t xml:space="preserve">MATCH</t>
        </is>
      </c>
      <c r="M19" s="2948" t="inlineStr">
        <is>
          <t xml:space="preserve">Alibaba $7.50-$8.20; sheet $7.85 within range. Link LIVE. Verified 4/25.</t>
        </is>
      </c>
      <c r="N19" s="2949" t="n"/>
      <c r="O19" s="2908" t="n"/>
    </row>
    <row r="20" s="3154" customFormat="1" ht="13.5" customHeight="1">
      <c r="A20" s="2940" t="inlineStr">
        <is>
          <t xml:space="preserve">GR-04</t>
        </is>
      </c>
      <c r="B20" s="2940" t="inlineStr">
        <is>
          <t xml:space="preserve">Cap Sheet (Oversized Flat)</t>
        </is>
      </c>
      <c r="C20" s="2940" t="inlineStr">
        <is>
          <t xml:space="preserve">oversized percale flat sheet; 100% cotton 200TC; Full XL oversized (70×108"); tucks under mattress on all sides; white; 3 sets per bed</t>
        </is>
      </c>
      <c r="D20" s="2940" t="inlineStr">
        <is>
          <t xml:space="preserve">Shanghai General Textile</t>
        </is>
      </c>
      <c r="E20" s="2941" t="inlineStr">
        <is>
          <t xml:space="preserve">https://www.alibaba.com/showroom/cotton-percale-flat-sheet.html</t>
        </is>
      </c>
      <c r="F20" s="2940" t="inlineStr">
        <is>
          <t xml:space="preserve">each</t>
        </is>
      </c>
      <c r="G20" s="2942" t="n">
        <f t="array" ref="G20">$B$8*3</f>
        <v>300</v>
      </c>
      <c r="H20" s="2950" t="inlineStr">
        <is>
          <t xml:space="preserve">$2.90–6.00</t>
        </is>
      </c>
      <c r="I20" s="2944" t="n">
        <v>4.5</v>
      </c>
      <c r="J20" s="4319" t="n">
        <f t="array" ref="J20">IFERROR(G20*I20,0)</f>
        <v>1350</v>
      </c>
      <c r="K20" s="2951" t="inlineStr">
        <is>
          <t xml:space="preserve">$2.90–6.00</t>
        </is>
      </c>
      <c r="L20" s="2947" t="inlineStr">
        <is>
          <t xml:space="preserve">PRICE CHANGED</t>
        </is>
      </c>
      <c r="M20" s="2948" t="inlineStr">
        <is>
          <t xml:space="preserve">Was $16; now $16.50 (20-199 tier), $16 (200-999). Link LIVE.</t>
        </is>
      </c>
      <c r="N20" s="2949" t="n"/>
      <c r="O20" s="2908" t="n"/>
    </row>
    <row r="21" s="3154" customFormat="1" ht="13.5" customHeight="1">
      <c r="A21" s="2953" t="inlineStr">
        <is>
          <t xml:space="preserve">GR-04A</t>
        </is>
      </c>
      <c r="B21" s="2953" t="inlineStr">
        <is>
          <t xml:space="preserve">Duvet Insert</t>
        </is>
      </c>
      <c r="C21" s="2953" t="inlineStr">
        <is>
          <t xml:space="preserve">Hotel white quilted 300GSM microfiber comforter; all-season medium warmth; Full XL size (80×90"); machine washable; 2 per bed (1 in use + 1 in laundry)</t>
        </is>
      </c>
      <c r="D21" s="2953" t="inlineStr">
        <is>
          <t xml:space="preserve">Shanghai General Textile</t>
        </is>
      </c>
      <c r="E21" s="2953" t="inlineStr">
        <is>
          <t xml:space="preserve">https://www.alibaba.com/product-detail/Hotel-White-quilted-300GSM-Microfiber-Comforter_1601141442071.html</t>
        </is>
      </c>
      <c r="F21" s="2953" t="inlineStr">
        <is>
          <t xml:space="preserve">each</t>
        </is>
      </c>
      <c r="G21" s="2954" t="n">
        <f t="array" ref="G21">$B$8*1</f>
        <v>100</v>
      </c>
      <c r="H21" s="738" t="inlineStr">
        <is>
          <t xml:space="preserve">$4.39–4.99</t>
        </is>
      </c>
      <c r="I21" s="692" t="n">
        <v>4.69</v>
      </c>
      <c r="J21" s="4320" t="n">
        <f t="array" ref="J21">IFERROR(G21*I21,0)</f>
        <v>469.00000000000006</v>
      </c>
      <c r="K21" s="2956" t="inlineStr">
        <is>
          <t xml:space="preserve">$4.39–4.99</t>
        </is>
      </c>
      <c r="L21" s="2957" t="n"/>
      <c r="M21" s="2957" t="n"/>
      <c r="N21" s="50" t="n"/>
      <c r="O21" s="2908" t="n"/>
    </row>
    <row r="22" s="3154" customFormat="1" ht="13.5" customHeight="1">
      <c r="A22" s="738" t="inlineStr">
        <is>
          <t xml:space="preserve">GR-04B</t>
        </is>
      </c>
      <c r="B22" s="738" t="inlineStr">
        <is>
          <t xml:space="preserve">Duvet Cover</t>
        </is>
      </c>
      <c r="C22" s="738" t="inlineStr">
        <is>
          <t xml:space="preserve">Hotel white cotton sateen duvet cover; 300TC; Full XL size (80×90"); button closure; 3 per bed (laundry rotation); white</t>
        </is>
      </c>
      <c r="D22" s="738" t="inlineStr">
        <is>
          <t xml:space="preserve">Shanghai General Textile</t>
        </is>
      </c>
      <c r="E22" s="738" t="inlineStr">
        <is>
          <t xml:space="preserve">https://www.alibaba.com/product-detail/Wholesale-Hotel-Collection-White-Cotton-Bedding_1600919620687.html</t>
        </is>
      </c>
      <c r="F22" s="738" t="inlineStr">
        <is>
          <t xml:space="preserve">each</t>
        </is>
      </c>
      <c r="G22" s="693" t="n">
        <f t="array" ref="G22">$B$8*2</f>
        <v>200</v>
      </c>
      <c r="H22" s="738" t="inlineStr">
        <is>
          <t xml:space="preserve">$8.50–12.00</t>
        </is>
      </c>
      <c r="I22" s="692" t="n">
        <v>10.25</v>
      </c>
      <c r="J22" s="4320" t="n">
        <f t="array" ref="J22">IFERROR(G22*I22,0)</f>
        <v>2050</v>
      </c>
      <c r="K22" s="2958" t="inlineStr">
        <is>
          <t xml:space="preserve">$8.50–12.00</t>
        </is>
      </c>
      <c r="L22" s="2927" t="n"/>
      <c r="M22" s="2927" t="n"/>
      <c r="N22" s="50" t="n"/>
      <c r="O22" s="2908" t="n"/>
    </row>
    <row r="23" s="3154" customFormat="1" ht="13.5" customHeight="1">
      <c r="A23" s="2959" t="inlineStr">
        <is>
          <t xml:space="preserve">GR-04C</t>
        </is>
      </c>
      <c r="B23" s="2959" t="inlineStr">
        <is>
          <t xml:space="preserve">Bed Pillow</t>
        </is>
      </c>
      <c r="C23" s="2959" t="inlineStr">
        <is>
          <t xml:space="preserve">5-star wholesale down pillow; 100% cotton 200TC cover; goose down + feather fill; rectangle; custom logo; 2 per room</t>
        </is>
      </c>
      <c r="D23" s="2959" t="inlineStr">
        <is>
          <t xml:space="preserve">Shanghai General Textile</t>
        </is>
      </c>
      <c r="E23" s="2960" t="inlineStr">
        <is>
          <t xml:space="preserve">https://www.alibaba.com/product-detail/Quality-5-Star-Wholesale-Down-Pillow_60765561439.html</t>
        </is>
      </c>
      <c r="F23" s="2959" t="inlineStr">
        <is>
          <t xml:space="preserve">each</t>
        </is>
      </c>
      <c r="G23" s="2961" t="n">
        <f t="array" ref="G23">$B$8*2</f>
        <v>200</v>
      </c>
      <c r="H23" s="2962" t="inlineStr">
        <is>
          <t xml:space="preserve">$27.80–30.80</t>
        </is>
      </c>
      <c r="I23" s="2963" t="n">
        <v>29.3</v>
      </c>
      <c r="J23" s="4321" t="n">
        <f t="array" ref="J23">IFERROR(G23*I23,0)</f>
        <v>5860</v>
      </c>
      <c r="K23" s="2946" t="n">
        <v>30.8</v>
      </c>
      <c r="L23" s="2947" t="inlineStr">
        <is>
          <t xml:space="preserve">PRICE CHANGED</t>
        </is>
      </c>
      <c r="M23" s="2948" t="inlineStr">
        <is>
          <t xml:space="preserve">Was $29.30; now $30.80 (50-499 tier), $27.80 (500+). Link LIVE.</t>
        </is>
      </c>
      <c r="N23" s="2949" t="n"/>
      <c r="O23" s="2908" t="n"/>
    </row>
    <row r="24" s="3154" customFormat="1" ht="13.5" customHeight="1">
      <c r="A24" s="2965" t="inlineStr">
        <is>
          <t xml:space="preserve">GR-05</t>
        </is>
      </c>
      <c r="B24" s="2965" t="inlineStr">
        <is>
          <t xml:space="preserve">Smart Door Lock</t>
        </is>
      </c>
      <c r="C24" s="2965" t="inlineStr">
        <is>
          <t xml:space="preserve">Tediton D4 waterproof digital smart hotel door lock; stainless steel + aluminium alloy; Tuya WiFi; RFID card + password + fingerprint + key + app; Grade B cylinder; IP65; CE/FCC certified</t>
        </is>
      </c>
      <c r="D24" s="2965" t="inlineStr">
        <is>
          <t xml:space="preserve">Dongguan Tediton Intelligent Technology</t>
        </is>
      </c>
      <c r="E24" s="2966" t="inlineStr">
        <is>
          <t xml:space="preserve">https://www.alibaba.com/product-detail/Tediton-Waterproof-Digital-Stainless-Steel-Tuya_1601044821385.html</t>
        </is>
      </c>
      <c r="F24" s="2965" t="inlineStr">
        <is>
          <t xml:space="preserve">each</t>
        </is>
      </c>
      <c r="G24" s="2967" t="n">
        <f t="array" ref="G24">$B$8</f>
        <v>100</v>
      </c>
      <c r="H24" s="2968" t="inlineStr">
        <is>
          <t xml:space="preserve">$61.02–72.32</t>
        </is>
      </c>
      <c r="I24" s="2969" t="n">
        <v>66.67</v>
      </c>
      <c r="J24" s="4322" t="n">
        <f t="array" ref="J24">IFERROR(G24*I24,0)</f>
        <v>6667</v>
      </c>
      <c r="K24" s="2971" t="n">
        <v>72.31999999999999</v>
      </c>
      <c r="L24" s="2972" t="inlineStr">
        <is>
          <t xml:space="preserve">PRICE CHANGED</t>
        </is>
      </c>
      <c r="M24" s="2973" t="inlineStr">
        <is>
          <t xml:space="preserve">Was $66.67; now $72.32 (2-99 tier), $70.06 (100-199). Link LIVE.</t>
        </is>
      </c>
      <c r="N24" s="2974" t="inlineStr">
        <is>
          <t xml:space="preserve">Daniel Huang</t>
        </is>
      </c>
      <c r="O24" s="2975" t="inlineStr">
        <is>
          <t xml:space="preserve">Sent 20:12; replied</t>
        </is>
      </c>
    </row>
    <row r="25" s="3154" customFormat="1" ht="13.5" customHeight="1">
      <c r="A25" s="2965" t="inlineStr">
        <is>
          <t xml:space="preserve">GR-06</t>
        </is>
      </c>
      <c r="B25" s="2965" t="inlineStr">
        <is>
          <t xml:space="preserve">Electric Roller Blinds (Tuya)</t>
        </is>
      </c>
      <c r="C25" s="2965" t="inlineStr">
        <is>
          <t xml:space="preserve">Double-shade Tuya OEM motorized blackout honeycomb/cellular blinds; cordless no-drill; rechargeable lithium battery; WiFi/Alexa/Google; FCC/CE/IC certified; custom size &amp; color</t>
        </is>
      </c>
      <c r="D25" s="2965" t="inlineStr">
        <is>
          <t xml:space="preserve">Weifang Teddy Bear Home Co. (Veyoro)</t>
        </is>
      </c>
      <c r="E25" s="2966" t="inlineStr">
        <is>
          <t xml:space="preserve">https://www.alibaba.com/product-detail/Tuya-Zigbee-25mm-Tubular-Motor-for_1601102494165.html</t>
        </is>
      </c>
      <c r="F25" s="2965" t="inlineStr">
        <is>
          <t xml:space="preserve">each</t>
        </is>
      </c>
      <c r="G25" s="2967" t="n">
        <f t="array" ref="G25">$B$8</f>
        <v>100</v>
      </c>
      <c r="H25" s="2968" t="inlineStr">
        <is>
          <t xml:space="preserve">$65 (1-49), $45 (50-99), $35 (100+)</t>
        </is>
      </c>
      <c r="I25" s="2969" t="n">
        <v>35</v>
      </c>
      <c r="J25" s="4322" t="n">
        <f t="array" ref="J25">IFERROR(G25*I25,0)</f>
        <v>3500</v>
      </c>
      <c r="K25" s="2971" t="n">
        <v>35</v>
      </c>
      <c r="L25" s="2972" t="inlineStr">
        <is>
          <t xml:space="preserve">PRICE CORRECTED</t>
        </is>
      </c>
      <c r="M25" s="2973" t="inlineStr">
        <is>
          <t xml:space="preserve">100-key update: Alibaba tier moves blinds to 100+ unit price ($35) vs prior 50-99 tier.</t>
        </is>
      </c>
      <c r="N25" s="2974" t="inlineStr">
        <is>
          <t xml:space="preserve">Aurora Mao (Guangzhou Autorail)</t>
        </is>
      </c>
      <c r="O25" s="2975" t="inlineStr">
        <is>
          <t xml:space="preserve">Sent 20:17; replied "hi dear"</t>
        </is>
      </c>
    </row>
    <row r="26" s="3154" customFormat="1" ht="13.5" customHeight="1">
      <c r="A26" s="2965" t="inlineStr">
        <is>
          <t xml:space="preserve">GR-07</t>
        </is>
      </c>
      <c r="B26" s="2965" t="inlineStr">
        <is>
          <t xml:space="preserve">LED Ceiling Light</t>
        </is>
      </c>
      <c r="C26" s="2965" t="inlineStr">
        <is>
          <t xml:space="preserve">40W ultra-bright LED recessed spotlight; aluminum body; 3000K/3500K/4000K selectable; CRI 97; 15°/24°/38° beam angle; IP20; 50,000hr lifespan; CCC/CE/EMC/IEC 60598 certified</t>
        </is>
      </c>
      <c r="D26" s="2965" t="inlineStr">
        <is>
          <t xml:space="preserve">Zhongshan Zanqi Lighting Co. (PULUOTI)</t>
        </is>
      </c>
      <c r="E26" s="2966" t="inlineStr">
        <is>
          <t xml:space="preserve">https://www.alibaba.com/product-detail/40W-High-quality-Ultra-bright-LED_1601624009865.html</t>
        </is>
      </c>
      <c r="F26" s="2965" t="inlineStr">
        <is>
          <t xml:space="preserve">each</t>
        </is>
      </c>
      <c r="G26" s="2967" t="n">
        <f t="array" ref="G26">$B$8</f>
        <v>100</v>
      </c>
      <c r="H26" s="2968" t="inlineStr">
        <is>
          <t xml:space="preserve">$14.09–15.17</t>
        </is>
      </c>
      <c r="I26" s="2969" t="n">
        <v>14.63</v>
      </c>
      <c r="J26" s="4322" t="n">
        <f t="array" ref="J26">IFERROR(G26*I26,0)</f>
        <v>1463</v>
      </c>
      <c r="K26" s="2971" t="n">
        <v>15.17</v>
      </c>
      <c r="L26" s="2972" t="inlineStr">
        <is>
          <t xml:space="preserve">PRICE CHANGED</t>
        </is>
      </c>
      <c r="M26" s="2973" t="inlineStr">
        <is>
          <t xml:space="preserve">Was $14.63; now $15.17 (1-200 tier), $14.63 (201-500). Link LIVE.</t>
        </is>
      </c>
      <c r="N26" s="2974" t="inlineStr">
        <is>
          <t xml:space="preserve">Shayna Zheng (Zhongshan Zanqi)</t>
        </is>
      </c>
      <c r="O26" s="2975" t="inlineStr">
        <is>
          <t xml:space="preserve">Sent 20:18</t>
        </is>
      </c>
    </row>
    <row r="27" s="3154" customFormat="1" ht="13.5" customHeight="1">
      <c r="A27" s="2940" t="inlineStr">
        <is>
          <t xml:space="preserve">GR-08</t>
        </is>
      </c>
      <c r="B27" s="2940" t="inlineStr">
        <is>
          <t xml:space="preserve">In-Room Charger &amp; Bed Light</t>
        </is>
      </c>
      <c r="C27" s="2940" t="inlineStr">
        <is>
          <t xml:space="preserve">Angle-adjustable 3W reading spotlight + 7W ambient light + Qi wireless charger + USB-A fast charge; wall-mount bedside; 90° fold / 360° rotation; AC 85-265V; 50,000hr; iron + glass body</t>
        </is>
      </c>
      <c r="D27" s="2940" t="inlineStr">
        <is>
          <t xml:space="preserve">Guangzhou Yaoliang Lighting Co.</t>
        </is>
      </c>
      <c r="E27" s="2941" t="inlineStr">
        <is>
          <t xml:space="preserve">https://www.alibaba.com/product-detail/Angle-Adjustable-Spotlight-and-Wireless-Charger_1601591987253.html</t>
        </is>
      </c>
      <c r="F27" s="2940" t="inlineStr">
        <is>
          <t xml:space="preserve">each</t>
        </is>
      </c>
      <c r="G27" s="2942" t="n">
        <f t="array" ref="G27">$B$8</f>
        <v>100</v>
      </c>
      <c r="H27" s="2976" t="inlineStr">
        <is>
          <t xml:space="preserve">$21.50–26</t>
        </is>
      </c>
      <c r="I27" s="2977" t="n">
        <v>23.75</v>
      </c>
      <c r="J27" s="4323" t="n">
        <f t="array" ref="J27">IFERROR(G27*I27,0)</f>
        <v>2375</v>
      </c>
      <c r="K27" s="2946" t="n">
        <v>23.75</v>
      </c>
      <c r="L27" s="2947" t="inlineStr">
        <is>
          <t xml:space="preserve">MATCH</t>
        </is>
      </c>
      <c r="M27" s="2948" t="inlineStr">
        <is>
          <t xml:space="preserve">Alibaba $21.50-$26; sheet $23.75 within range. Link LIVE. Verified 4/25.</t>
        </is>
      </c>
      <c r="N27" s="2949" t="n"/>
      <c r="O27" s="2908" t="n"/>
    </row>
    <row r="28" s="3154" customFormat="1" ht="13.5" customHeight="1">
      <c r="A28" s="2965" t="inlineStr">
        <is>
          <t xml:space="preserve">GR-11</t>
        </is>
      </c>
      <c r="B28" s="2965" t="inlineStr">
        <is>
          <t xml:space="preserve">In-Room Safe (Tuya Smart)</t>
        </is>
      </c>
      <c r="C28" s="2965" t="inlineStr">
        <is>
          <t xml:space="preserve">Electronic digital steel fireproof; built-in wall safe; hotel/home/office; REQUEST TUYA SMART CONNECTION VERSION</t>
        </is>
      </c>
      <c r="D28" s="2965" t="inlineStr">
        <is>
          <t xml:space="preserve">Alibaba (Lifong Brand)</t>
        </is>
      </c>
      <c r="E28" s="2966" t="inlineStr">
        <is>
          <t xml:space="preserve">https://www.alibaba.com/product-detail/Electronic-Digital-Steel-Fireproof-Secret-Hidden_1601123087520.html</t>
        </is>
      </c>
      <c r="F28" s="2965" t="inlineStr">
        <is>
          <t xml:space="preserve">each</t>
        </is>
      </c>
      <c r="G28" s="2967" t="n">
        <f t="array" ref="G28">$B$8</f>
        <v>100</v>
      </c>
      <c r="H28" s="2968" t="inlineStr">
        <is>
          <t xml:space="preserve">$62 (50-199), $60 (200-1999), $58 (2K+)</t>
        </is>
      </c>
      <c r="I28" s="2969" t="n">
        <v>55</v>
      </c>
      <c r="J28" s="4322" t="n">
        <f t="array" ref="J28">IFERROR(G28*I28,0)</f>
        <v>5500</v>
      </c>
      <c r="K28" s="2971" t="n">
        <v>55</v>
      </c>
      <c r="L28" s="2972" t="inlineStr">
        <is>
          <t xml:space="preserve">MATCH</t>
        </is>
      </c>
      <c r="M28" s="2973" t="inlineStr">
        <is>
          <t xml:space="preserve">Alibaba $55 (100+ pcs), $60 (50-99). Link LIVE. Verified 4/28. RFQ: enquire for Tuya smart connection version.</t>
        </is>
      </c>
      <c r="N28" s="2974" t="inlineStr">
        <is>
          <t xml:space="preserve">Grace Chen (Ningbo Lifang)</t>
        </is>
      </c>
      <c r="O28" s="2975" t="inlineStr">
        <is>
          <t xml:space="preserve">Sent 20:20</t>
        </is>
      </c>
    </row>
    <row r="29" s="3154" customFormat="1" ht="13.5" customHeight="1">
      <c r="A29" s="2940" t="inlineStr">
        <is>
          <t xml:space="preserve">GR-13</t>
        </is>
      </c>
      <c r="B29" s="2940" t="inlineStr">
        <is>
          <t xml:space="preserve">Door Handle</t>
        </is>
      </c>
      <c r="C29" s="2940" t="inlineStr">
        <is>
          <t xml:space="preserve">Koppalive 901-A solid brass square lever door handle; mortise interior lock set; US standard; contemporary/modern; privacy/passage/invisible lock options; 72x55mm lock body; fits 30-50mm doors; 1-year warranty</t>
        </is>
      </c>
      <c r="D29" s="2940" t="inlineStr">
        <is>
          <t xml:space="preserve">Koppalive (Zhejiang Zhangshi Hardware)</t>
        </is>
      </c>
      <c r="E29" s="2941" t="inlineStr">
        <is>
          <t xml:space="preserve">https://www.alibaba.com/product-detail/Koppalive-Door-Hardware-Square-Solid-Brass_62313844810.html</t>
        </is>
      </c>
      <c r="F29" s="2940" t="inlineStr">
        <is>
          <t xml:space="preserve">each</t>
        </is>
      </c>
      <c r="G29" s="2942" t="n">
        <f t="array" ref="G29">$B$8</f>
        <v>100</v>
      </c>
      <c r="H29" s="2943" t="inlineStr">
        <is>
          <t xml:space="preserve">$40–45</t>
        </is>
      </c>
      <c r="I29" s="2979" t="n">
        <v>42.5</v>
      </c>
      <c r="J29" s="4324" t="n">
        <f t="array" ref="J29">IFERROR(G29*I29,0)</f>
        <v>4250</v>
      </c>
      <c r="K29" s="2946" t="n">
        <v>42.5</v>
      </c>
      <c r="L29" s="2947" t="inlineStr">
        <is>
          <t xml:space="preserve">MATCH</t>
        </is>
      </c>
      <c r="M29" s="2948" t="inlineStr">
        <is>
          <t xml:space="preserve">Alibaba $40-$45; sheet $42.50 within range. Link LIVE. Verified 4/25.</t>
        </is>
      </c>
      <c r="N29" s="2949" t="n"/>
      <c r="O29" s="2908" t="n"/>
    </row>
    <row r="30" s="3154" customFormat="1" ht="13.5" customHeight="1">
      <c r="A30" s="2981" t="inlineStr">
        <is>
          <t xml:space="preserve">GR-13A</t>
        </is>
      </c>
      <c r="B30" s="2981" t="inlineStr">
        <is>
          <t xml:space="preserve">Bedroom Door</t>
        </is>
      </c>
      <c r="C30" s="2981" t="inlineStr">
        <is>
          <t xml:space="preserve">JBD commercial grade fire rated solid wood door; 60/90/120 min; intumescent strip + smoke barrier; UL listed; CE certified; prehung; modern finish; 5-year warranty; GC installed; 2'6" wide (non-ADA) / 3' wide (ADA)</t>
        </is>
      </c>
      <c r="D30" s="2981" t="inlineStr">
        <is>
          <t xml:space="preserve">Foshan JBD Home Building Material</t>
        </is>
      </c>
      <c r="E30" s="2982" t="inlineStr">
        <is>
          <t xml:space="preserve">https://www.alibaba.com/product-detail/Commercial-Grade-60-90-120-Minute_1601698199523.html</t>
        </is>
      </c>
      <c r="F30" s="2981" t="inlineStr">
        <is>
          <t xml:space="preserve">ea</t>
        </is>
      </c>
      <c r="G30" s="2983" t="n">
        <f t="array" ref="G30">$B$8</f>
        <v>100</v>
      </c>
      <c r="H30" s="2984" t="inlineStr">
        <is>
          <t xml:space="preserve">$108–128</t>
        </is>
      </c>
      <c r="I30" s="2944" t="n">
        <v>118</v>
      </c>
      <c r="J30" s="4319" t="n">
        <f t="array" ref="J30">IFERROR(G30*I30,0)</f>
        <v>11800</v>
      </c>
      <c r="K30" s="2946" t="n">
        <v>118</v>
      </c>
      <c r="L30" s="2947" t="inlineStr">
        <is>
          <t xml:space="preserve">MATCH</t>
        </is>
      </c>
      <c r="M30" s="2948" t="inlineStr">
        <is>
          <t xml:space="preserve">Alibaba $128 (2-49), $118 (50-99); sheet $118 matches. Link LIVE. Verified 4/25.</t>
        </is>
      </c>
      <c r="N30" s="2949" t="n"/>
      <c r="O30" s="2908" t="n"/>
    </row>
    <row r="31" s="3154" customFormat="1" ht="13.5" customHeight="1">
      <c r="A31" s="2940" t="inlineStr">
        <is>
          <t xml:space="preserve">GR-14</t>
        </is>
      </c>
      <c r="B31" s="2940" t="inlineStr">
        <is>
          <t xml:space="preserve">Carpet Tiles</t>
        </is>
      </c>
      <c r="C31" s="2940" t="inlineStr">
        <is>
          <t xml:space="preserve">50×50cm PVC carpet tiles; loop pile; non-slip; decorative; tufted woven; office/hotel floor tile; padding included</t>
        </is>
      </c>
      <c r="D31" s="2940" t="inlineStr">
        <is>
          <t xml:space="preserve">Shanghai Fairmont Industries</t>
        </is>
      </c>
      <c r="E31" s="2941" t="inlineStr">
        <is>
          <t xml:space="preserve">https://www.alibaba.com/product-detail/Colorful-50x50-Square-PVC-Carpet-Tiles_1601756668064.html</t>
        </is>
      </c>
      <c r="F31" s="2940" t="inlineStr">
        <is>
          <t xml:space="preserve">tile</t>
        </is>
      </c>
      <c r="G31" s="2942" t="n">
        <f t="array" ref="G31">$B$8</f>
        <v>100</v>
      </c>
      <c r="H31" s="2950" t="inlineStr">
        <is>
          <t xml:space="preserve">$10 (1-199), $4 (200-4999), $3 (5K-9999), $2.50 (10K+)</t>
        </is>
      </c>
      <c r="I31" s="2944" t="n">
        <v>4</v>
      </c>
      <c r="J31" s="4319" t="n">
        <f t="array" ref="J31">IFERROR(G31*I31,0)</f>
        <v>400</v>
      </c>
      <c r="K31" s="2946" t="n">
        <v>4</v>
      </c>
      <c r="L31" s="2985" t="inlineStr">
        <is>
          <t xml:space="preserve">MATCH</t>
        </is>
      </c>
      <c r="M31" s="2948" t="inlineStr">
        <is>
          <t xml:space="preserve">New link. $10 (1-199), $4 (200-4999), $3 (5K+), $2.50 (10K+). At 3,094 tiles = $4. Padding included with tiles. Verified 4/25.</t>
        </is>
      </c>
      <c r="N31" s="2949" t="n"/>
      <c r="O31" s="2908" t="n"/>
    </row>
    <row r="32" s="3154" customFormat="1" ht="13.5" customHeight="1">
      <c r="A32" s="2940" t="inlineStr">
        <is>
          <t xml:space="preserve">GR-14A</t>
        </is>
      </c>
      <c r="B32" s="2940" t="inlineStr">
        <is>
          <t xml:space="preserve">Carpet Padding</t>
        </is>
      </c>
      <c r="C32" s="2940" t="inlineStr">
        <is>
          <t xml:space="preserve">32 oz Synthetic Hair/Jute; 3/8" thick; must meet DOC-FF-1-70 + ASTM-E-84 flammability; NOTE: included with carpet purchase</t>
        </is>
      </c>
      <c r="D32" s="2940" t="inlineStr">
        <is>
          <t xml:space="preserve">Shanghai Fairmont Industries</t>
        </is>
      </c>
      <c r="E32" s="2941" t="inlineStr">
        <is>
          <t xml:space="preserve">https://www.alibaba.com/showroom/carpet-padding.html</t>
        </is>
      </c>
      <c r="F32" s="2940" t="inlineStr">
        <is>
          <t xml:space="preserve">tile</t>
        </is>
      </c>
      <c r="G32" s="2942" t="n">
        <f t="array" ref="G32">$B$8</f>
        <v>100</v>
      </c>
      <c r="H32" s="2986" t="n"/>
      <c r="I32" s="2944" t="n">
        <v>0</v>
      </c>
      <c r="J32" s="4319" t="n">
        <f t="array" ref="J32">IFERROR(G32*I32,0)</f>
        <v>0</v>
      </c>
      <c r="K32" s="2951" t="inlineStr">
        <is>
          <t xml:space="preserve">—</t>
        </is>
      </c>
      <c r="L32" s="2987" t="inlineStr">
        <is>
          <t xml:space="preserve">REMOVED</t>
        </is>
      </c>
      <c r="M32" s="2948" t="inlineStr">
        <is>
          <t xml:space="preserve">No separate padding needed — included with new carpet tiles (PVC-backed). Removed 4/25.</t>
        </is>
      </c>
      <c r="N32" s="2949" t="n"/>
      <c r="O32" s="2908" t="n"/>
    </row>
    <row r="33" s="3154" customFormat="1" ht="13.5" customHeight="1">
      <c r="A33" s="2988" t="inlineStr">
        <is>
          <t xml:space="preserve">GR-12 / ME-12</t>
        </is>
      </c>
      <c r="B33" s="2989" t="inlineStr">
        <is>
          <t xml:space="preserve">Baseboard (Guest Rooms + Common Areas)</t>
        </is>
      </c>
      <c r="C33" s="2989" t="inlineStr">
        <is>
          <t xml:space="preserve">PVC self-adhesive flexible vinyl wall base skirting; 4″ or 6″; waterproof; hotel-grade; self-stick; custom color; guest rooms + corridors + lobby; installed by GC trim carpenter</t>
        </is>
      </c>
      <c r="D33" s="2989" t="inlineStr">
        <is>
          <t xml:space="preserve">Tongxiang Guangsheng Plastic Industry Co.</t>
        </is>
      </c>
      <c r="E33" s="2990" t="inlineStr">
        <is>
          <t xml:space="preserve">https://www.alibaba.com/product-detail/PVC-Self-adhesive-Flexible-Skirting-4_1601266474410.html</t>
        </is>
      </c>
      <c r="F33" s="2989" t="inlineStr">
        <is>
          <t xml:space="preserve">pc</t>
        </is>
      </c>
      <c r="G33" s="2991" t="n">
        <f t="array" ref="G33">$B$8</f>
        <v>100</v>
      </c>
      <c r="H33" s="2992" t="inlineStr">
        <is>
          <t xml:space="preserve">$0.10–0.80</t>
        </is>
      </c>
      <c r="I33" s="2944" t="n">
        <v>0.45</v>
      </c>
      <c r="J33" s="4325" t="n">
        <f t="array" ref="J33">IFERROR(G33*I33,0)</f>
        <v>45</v>
      </c>
      <c r="K33" s="2946" t="n">
        <v>0.45</v>
      </c>
      <c r="L33" s="2947" t="inlineStr">
        <is>
          <t xml:space="preserve">MATCH</t>
        </is>
      </c>
      <c r="M33" s="2948" t="inlineStr">
        <is>
          <t xml:space="preserve">Alibaba $0.10-$0.80; sheet $0.45 within range. Link LIVE. Verified 4/25.</t>
        </is>
      </c>
      <c r="N33" s="2949" t="n"/>
      <c r="O33" s="2908" t="n"/>
    </row>
    <row r="34" s="3154" customFormat="1" ht="13.5" customHeight="1">
      <c r="A34" s="2940" t="inlineStr">
        <is>
          <t xml:space="preserve">GR-16</t>
        </is>
      </c>
      <c r="B34" s="2940" t="inlineStr">
        <is>
          <t xml:space="preserve">Clothes Hangers (in-room set)</t>
        </is>
      </c>
      <c r="C34" s="2940" t="inlineStr">
        <is>
          <t xml:space="preserve">Black Toga anti-theft hotel hangers; wall-mount Toga bar + 6× hangers per room</t>
        </is>
      </c>
      <c r="D34" s="2940" t="inlineStr">
        <is>
          <t xml:space="preserve">Toga Hanger</t>
        </is>
      </c>
      <c r="E34" s="2941" t="inlineStr">
        <is>
          <t xml:space="preserve">https://www.togahanger.com/</t>
        </is>
      </c>
      <c r="F34" s="2940" t="inlineStr">
        <is>
          <t xml:space="preserve">set</t>
        </is>
      </c>
      <c r="G34" s="2942" t="n">
        <f t="array" ref="G34">$B$8</f>
        <v>100</v>
      </c>
      <c r="H34" s="2950" t="inlineStr">
        <is>
          <t xml:space="preserve">$10</t>
        </is>
      </c>
      <c r="I34" s="2944" t="n">
        <v>10</v>
      </c>
      <c r="J34" s="4319" t="n">
        <f t="array" ref="J34">IFERROR(G34*I34,0)</f>
        <v>1000</v>
      </c>
      <c r="K34" s="2946" t="n">
        <v>10</v>
      </c>
      <c r="L34" s="2947" t="inlineStr">
        <is>
          <t xml:space="preserve">MATCH</t>
        </is>
      </c>
      <c r="M34" s="2948" t="inlineStr">
        <is>
          <t xml:space="preserve">togahanger.com; $10 confirmed by user. Verified prior session.</t>
        </is>
      </c>
      <c r="N34" s="2949" t="n"/>
      <c r="O34" s="2908" t="n"/>
    </row>
    <row r="35" s="3154" customFormat="1" ht="13.5" customHeight="1">
      <c r="A35" s="2940" t="inlineStr">
        <is>
          <t xml:space="preserve">GR-17</t>
        </is>
      </c>
      <c r="B35" s="2940" t="inlineStr">
        <is>
          <t xml:space="preserve">Room Number Plaque</t>
        </is>
      </c>
      <c r="C35" s="2940" t="inlineStr">
        <is>
          <t xml:space="preserve">Custom hotel door house number; matte black acrylic + stainless steel; business apartment plate; toilet room number sign doorplate</t>
        </is>
      </c>
      <c r="D35" s="2940" t="inlineStr">
        <is>
          <t xml:space="preserve">Alibaba Supplier</t>
        </is>
      </c>
      <c r="E35" s="2941" t="inlineStr">
        <is>
          <t xml:space="preserve">https://www.alibaba.com/product-detail/Custom-Hotel-Door-House-Number-Matte_1601442685282.html</t>
        </is>
      </c>
      <c r="F35" s="2940" t="inlineStr">
        <is>
          <t xml:space="preserve">each</t>
        </is>
      </c>
      <c r="G35" s="2942" t="n">
        <f t="array" ref="G35">$B$8</f>
        <v>100</v>
      </c>
      <c r="H35" s="2950" t="inlineStr">
        <is>
          <t xml:space="preserve">$1.30/cm (1-99), $0.79/cm (500-999), $0.56/cm (1000+)</t>
        </is>
      </c>
      <c r="I35" s="2944" t="n">
        <v>8.4</v>
      </c>
      <c r="J35" s="4319" t="n">
        <f t="array" ref="J35">IFERROR(G35*I35,0)</f>
        <v>840</v>
      </c>
      <c r="K35" s="2946" t="n">
        <v>0.5600000000000001</v>
      </c>
      <c r="L35" s="2947" t="inlineStr">
        <is>
          <t xml:space="preserve">MATCH</t>
        </is>
      </c>
      <c r="M35" s="2948" t="inlineStr">
        <is>
          <t xml:space="preserve">New link. Priced per cm. 100 signs × ~15cm = 1365cm → $0.56/cm tier. Est $8.40/sign. Verified 4/25.</t>
        </is>
      </c>
      <c r="N35" s="2949" t="n"/>
      <c r="O35" s="2908" t="n"/>
    </row>
    <row r="36" s="3154" customFormat="1" ht="13.5" customHeight="1">
      <c r="A36" s="2940" t="inlineStr">
        <is>
          <t xml:space="preserve">GR-18</t>
        </is>
      </c>
      <c r="B36" s="2940" t="inlineStr">
        <is>
          <t xml:space="preserve">Coat &amp; Towel Hook (wall-mounted)</t>
        </is>
      </c>
      <c r="C36" s="2940" t="inlineStr">
        <is>
          <t xml:space="preserve">Koppalive 8001 solid brass robe hook; wall-mounted; drilling installation; modern/minimalist; 88g; 1-3 hooks; easy clean; brass finish; hotel/bathroom/bedroom; 1-year warranty</t>
        </is>
      </c>
      <c r="D36" s="2940" t="inlineStr">
        <is>
          <t xml:space="preserve">Koppalive (Zhejiang Zhangshi Hardware)</t>
        </is>
      </c>
      <c r="E36" s="2941" t="inlineStr">
        <is>
          <t xml:space="preserve">https://www.alibaba.com/product-detail/Koppalive-Robe-Hook-Scarf-Handbag-Coat_1600060963678.html</t>
        </is>
      </c>
      <c r="F36" s="2940" t="inlineStr">
        <is>
          <t xml:space="preserve">each</t>
        </is>
      </c>
      <c r="G36" s="2942" t="n">
        <f t="array" ref="G36">$B$8</f>
        <v>100</v>
      </c>
      <c r="H36" s="2950" t="inlineStr">
        <is>
          <t xml:space="preserve">$3.05</t>
        </is>
      </c>
      <c r="I36" s="2944" t="n">
        <v>3.05</v>
      </c>
      <c r="J36" s="4319" t="n">
        <f t="array" ref="J36">IFERROR(G36*I36,0)</f>
        <v>305</v>
      </c>
      <c r="K36" s="2946" t="n">
        <v>3.05</v>
      </c>
      <c r="L36" s="2947" t="inlineStr">
        <is>
          <t xml:space="preserve">MATCH</t>
        </is>
      </c>
      <c r="M36" s="2948" t="inlineStr">
        <is>
          <t xml:space="preserve">Alibaba $3.05 exact match. Link LIVE. Verified 4/25.</t>
        </is>
      </c>
      <c r="N36" s="2949" t="n"/>
      <c r="O36" s="2908" t="n"/>
    </row>
    <row r="37" s="3154" customFormat="1" ht="13.5" customHeight="1">
      <c r="A37" s="2940" t="inlineStr">
        <is>
          <t xml:space="preserve">GR-19</t>
        </is>
      </c>
      <c r="B37" s="2994" t="inlineStr">
        <is>
          <t xml:space="preserve">Coffee Table / Fold-Out Side Table</t>
        </is>
      </c>
      <c r="C37" s="2995" t="inlineStr">
        <is>
          <t xml:space="preserve">Mobile metal overbed/bedside table with hidden casters; MDF surface; adjustable height; compact fold-away design for 53.5 sq ft room; doubles as laptop desk</t>
        </is>
      </c>
      <c r="D37" s="2995" t="inlineStr">
        <is>
          <t xml:space="preserve">Kingpower International Trading Co.</t>
        </is>
      </c>
      <c r="E37" s="2996" t="inlineStr">
        <is>
          <t xml:space="preserve">https://www.alibaba.com/product-detail/Mobile-Metal-Overbed-Bedside-Coffee-Table_1601394289795.html</t>
        </is>
      </c>
      <c r="F37" s="2995" t="inlineStr">
        <is>
          <t xml:space="preserve">each</t>
        </is>
      </c>
      <c r="G37" s="2997" t="n">
        <f t="array" ref="G37">$B$8</f>
        <v>100</v>
      </c>
      <c r="H37" s="2984" t="inlineStr">
        <is>
          <t xml:space="preserve">$22–25</t>
        </is>
      </c>
      <c r="I37" s="2944" t="n">
        <v>23.5</v>
      </c>
      <c r="J37" s="4319" t="n">
        <f t="array" ref="J37">IFERROR(G37*I37,0)</f>
        <v>2350</v>
      </c>
      <c r="K37" s="2946" t="n">
        <v>25.37</v>
      </c>
      <c r="L37" s="2952" t="inlineStr">
        <is>
          <t xml:space="preserve">MINOR</t>
        </is>
      </c>
      <c r="M37" s="2948" t="inlineStr">
        <is>
          <t xml:space="preserve">Alibaba $25.37 (100-499 MOQ); sheet $23.50. Below MOQ of 100. Link LIVE.</t>
        </is>
      </c>
      <c r="N37" s="2949" t="n"/>
      <c r="O37" s="2908" t="n"/>
    </row>
    <row r="38" s="3154" customFormat="1" ht="13.5" customHeight="1">
      <c r="A38" s="2995" t="inlineStr">
        <is>
          <t xml:space="preserve">GR-20</t>
        </is>
      </c>
      <c r="B38" s="2984" t="inlineStr">
        <is>
          <t xml:space="preserve">In-Room Desk Chair</t>
        </is>
      </c>
      <c r="C38" s="2984" t="inlineStr">
        <is>
          <t xml:space="preserve">Ergonomic PU leather; waterproof; metal frame; stackable; 150kg load capacity; heavy-duty padded folding chair</t>
        </is>
      </c>
      <c r="D38" s="2984" t="inlineStr">
        <is>
          <t xml:space="preserve">Alibaba (generic)</t>
        </is>
      </c>
      <c r="E38" s="2998" t="inlineStr">
        <is>
          <t xml:space="preserve">https://www.alibaba.com/product-detail/Ergonomic-PU-Leather-Conference-Chair-Waterproof_1601737772933.html</t>
        </is>
      </c>
      <c r="F38" s="2984" t="inlineStr">
        <is>
          <t xml:space="preserve">each</t>
        </is>
      </c>
      <c r="G38" s="2921" t="n">
        <f t="array" ref="G38">$B$8</f>
        <v>100</v>
      </c>
      <c r="H38" s="2984" t="inlineStr">
        <is>
          <t xml:space="preserve">$5-$20</t>
        </is>
      </c>
      <c r="I38" s="2944" t="n">
        <v>20</v>
      </c>
      <c r="J38" s="4326" t="n">
        <f t="array" ref="J38">IFERROR(G38*I38,0)</f>
        <v>2000</v>
      </c>
      <c r="K38" s="3000" t="n">
        <v>20</v>
      </c>
      <c r="L38" s="3001" t="inlineStr">
        <is>
          <t xml:space="preserve">MATCH</t>
        </is>
      </c>
      <c r="M38" s="3002" t="inlineStr">
        <is>
          <t xml:space="preserve">Alibaba $5-$20 (MOQ 200). Link LIVE. Verified 4/28.</t>
        </is>
      </c>
      <c r="N38" s="50" t="n"/>
      <c r="O38" s="2908" t="n"/>
    </row>
    <row r="39" s="3154" customFormat="1" ht="13.5" customHeight="1">
      <c r="A39" s="2962" t="inlineStr">
        <is>
          <t xml:space="preserve">GR-21</t>
        </is>
      </c>
      <c r="B39" s="2962" t="inlineStr">
        <is>
          <t xml:space="preserve">In-Room Trash Bin (wall-mounted)</t>
        </is>
      </c>
      <c r="C39" s="2962" t="inlineStr">
        <is>
          <t xml:space="preserve">304 stainless steel; wall-mounted; pressing type; concealed; brushed finish; commercial hotel</t>
        </is>
      </c>
      <c r="D39" s="2962" t="inlineStr">
        <is>
          <t xml:space="preserve">Alibaba (generic)</t>
        </is>
      </c>
      <c r="E39" s="3003" t="inlineStr">
        <is>
          <t xml:space="preserve">https://www.alibaba.com/product-detail/Commercial-Square-Wall-Mounted-Pressing-Type_1601572523517.html</t>
        </is>
      </c>
      <c r="F39" s="2962" t="inlineStr">
        <is>
          <t xml:space="preserve">each</t>
        </is>
      </c>
      <c r="G39" s="3004" t="n">
        <f t="array" ref="G39">$B$8</f>
        <v>100</v>
      </c>
      <c r="H39" s="2962" t="inlineStr">
        <is>
          <t xml:space="preserve">$41.54</t>
        </is>
      </c>
      <c r="I39" s="2963" t="n">
        <v>41.54</v>
      </c>
      <c r="J39" s="4326" t="n">
        <f t="array" ref="J39">IFERROR(G39*I39,0)</f>
        <v>4154</v>
      </c>
      <c r="K39" s="3005" t="n">
        <v>41.54</v>
      </c>
      <c r="L39" s="3006" t="inlineStr">
        <is>
          <t xml:space="preserve">MATCH</t>
        </is>
      </c>
      <c r="M39" s="3007" t="inlineStr">
        <is>
          <t xml:space="preserve">Alibaba $41.54 (MOQ 200). Link LIVE. Verified 4/27.</t>
        </is>
      </c>
      <c r="N39" s="50" t="n"/>
      <c r="O39" s="2908" t="n"/>
    </row>
    <row r="40" s="3154" customFormat="1" ht="13.5" customHeight="1">
      <c r="A40" s="3008" t="inlineStr">
        <is>
          <t xml:space="preserve">  FULL BATHROOMS (BA) — 50 private ensuite + 10 shared Economy bathrooms (5:1)</t>
        </is>
      </c>
      <c r="B40" s="3009" t="n"/>
      <c r="C40" s="3009" t="n"/>
      <c r="D40" s="3009" t="n"/>
      <c r="E40" s="3010" t="n"/>
      <c r="F40" s="3009" t="n"/>
      <c r="G40" s="3009" t="n"/>
      <c r="H40" s="3009" t="n"/>
      <c r="I40" s="2937" t="n"/>
      <c r="J40" s="3011" t="n"/>
      <c r="K40" s="2927" t="n"/>
      <c r="L40" s="2927" t="n"/>
      <c r="M40" s="2927" t="n"/>
      <c r="N40" s="50" t="n"/>
      <c r="O40" s="2908" t="n"/>
    </row>
    <row r="41" s="3154" customFormat="1" ht="13.5" customHeight="1">
      <c r="A41" s="2940" t="inlineStr">
        <is>
          <t xml:space="preserve">BA-01</t>
        </is>
      </c>
      <c r="B41" s="3012" t="inlineStr">
        <is>
          <t xml:space="preserve">Bathroom Sink</t>
        </is>
      </c>
      <c r="C41" s="2981" t="inlineStr">
        <is>
          <t xml:space="preserve">WKS-6002 solid surface integrated basin; acrylic artificial stone; countertop mounted; rectangular; raised perimeter rim to prevent water spillage; polished; easy clean; eco-friendly; single hole faucet; 5-year warranty; ASTM E84</t>
        </is>
      </c>
      <c r="D41" s="2981" t="inlineStr">
        <is>
          <t xml:space="preserve">Guangdong Wiselink</t>
        </is>
      </c>
      <c r="E41" s="2982" t="inlineStr">
        <is>
          <t xml:space="preserve">https://www.alibaba.com/product-detail/WKS-6002-Solid-Surface-Integrated-Bathroom_1601576524347.html</t>
        </is>
      </c>
      <c r="F41" s="2981" t="inlineStr">
        <is>
          <t xml:space="preserve">each</t>
        </is>
      </c>
      <c r="G41" s="2983" t="n">
        <f t="array" ref="G41">$B$12</f>
        <v>67</v>
      </c>
      <c r="H41" s="3013" t="inlineStr">
        <is>
          <t xml:space="preserve">$90–100</t>
        </is>
      </c>
      <c r="I41" s="3014" t="n">
        <v>95</v>
      </c>
      <c r="J41" s="4319" t="n">
        <f t="array" ref="J41">IFERROR(G41*I41,0)</f>
        <v>6365</v>
      </c>
      <c r="K41" s="2946" t="n">
        <v>100</v>
      </c>
      <c r="L41" s="2947" t="inlineStr">
        <is>
          <t xml:space="preserve">PRICE CHANGED</t>
        </is>
      </c>
      <c r="M41" s="2948" t="inlineStr">
        <is>
          <t xml:space="preserve">Was $95; now $100 (30-99), $95 (100-299). At 21 sinks, below 30 MOQ. Link LIVE.</t>
        </is>
      </c>
      <c r="N41" s="2949" t="n"/>
      <c r="O41" s="2908" t="n"/>
    </row>
    <row r="42" s="3154" customFormat="1" ht="13.5" customHeight="1">
      <c r="A42" s="2940" t="inlineStr">
        <is>
          <t xml:space="preserve">BA-02</t>
        </is>
      </c>
      <c r="B42" s="2940" t="inlineStr">
        <is>
          <t xml:space="preserve">Sink Faucet</t>
        </is>
      </c>
      <c r="C42" s="2940" t="inlineStr">
        <is>
          <t xml:space="preserve">304 stainless steel; single handle; black finish; high pressure water saving; eco-friendly; deck mounted; ceramic valve; MOQ 2 pcs</t>
        </is>
      </c>
      <c r="D42" s="2940" t="inlineStr">
        <is>
          <t xml:space="preserve">Zhejiang Tieba Precision Hardware Mfg.</t>
        </is>
      </c>
      <c r="E42" s="2941" t="inlineStr">
        <is>
          <t xml:space="preserve">https://www.alibaba.com/product-detail/2025-304-Stainless-Steel-Bathroom-Faucet_1601596205338.html</t>
        </is>
      </c>
      <c r="F42" s="2940" t="inlineStr">
        <is>
          <t xml:space="preserve">each</t>
        </is>
      </c>
      <c r="G42" s="2942" t="n">
        <f t="array" ref="G42">$B$12</f>
        <v>67</v>
      </c>
      <c r="H42" s="2994" t="inlineStr">
        <is>
          <t xml:space="preserve">$2.20–6.10</t>
        </is>
      </c>
      <c r="I42" s="2944" t="n">
        <v>4.15</v>
      </c>
      <c r="J42" s="4319" t="n">
        <f t="array" ref="J42">IFERROR(G42*I42,0)</f>
        <v>278.05</v>
      </c>
      <c r="K42" s="2946" t="n">
        <v>4.15</v>
      </c>
      <c r="L42" s="2952" t="inlineStr">
        <is>
          <t xml:space="preserve">MATCH</t>
        </is>
      </c>
      <c r="M42" s="2948" t="inlineStr">
        <is>
          <t xml:space="preserve">Alibaba $2.48-$12.45 range; sheet $4.15 within range. Link LIVE. Verified 4/25.</t>
        </is>
      </c>
      <c r="N42" s="2949" t="n"/>
      <c r="O42" s="2908" t="n"/>
    </row>
    <row r="43" s="3154" customFormat="1" ht="13.5" customHeight="1">
      <c r="A43" s="2940" t="inlineStr">
        <is>
          <t xml:space="preserve">BA-03</t>
        </is>
      </c>
      <c r="B43" s="2940" t="inlineStr">
        <is>
          <t xml:space="preserve">Toilet</t>
        </is>
      </c>
      <c r="C43" s="2940" t="inlineStr">
        <is>
          <t xml:space="preserve">Aqua Gallery CT-017 one-piece ceramic toilet; siphon dual-flush 3/6L; elongated bowl; floor mounted; P-trap/S-trap; cUPC certified; soft-close PP seat; 5-year warranty</t>
        </is>
      </c>
      <c r="D43" s="2940" t="inlineStr">
        <is>
          <t xml:space="preserve">Foshan Aqua Gallery</t>
        </is>
      </c>
      <c r="E43" s="2941" t="inlineStr">
        <is>
          <t xml:space="preserve">https://www.alibaba.com/product-detail/Modern-Design-White-Glazed-Ceramic-Freestanding_1600415833460.html</t>
        </is>
      </c>
      <c r="F43" s="2940" t="inlineStr">
        <is>
          <t xml:space="preserve">each</t>
        </is>
      </c>
      <c r="G43" s="2942" t="n">
        <f t="array" ref="G43">$B$12</f>
        <v>67</v>
      </c>
      <c r="H43" s="2950" t="inlineStr">
        <is>
          <t xml:space="preserve">$63–84</t>
        </is>
      </c>
      <c r="I43" s="2944" t="n">
        <v>73.5</v>
      </c>
      <c r="J43" s="4319" t="n">
        <f t="array" ref="J43">IFERROR(G43*I43,0)</f>
        <v>4924.5</v>
      </c>
      <c r="K43" s="2946" t="n">
        <v>73.5</v>
      </c>
      <c r="L43" s="2947" t="inlineStr">
        <is>
          <t xml:space="preserve">MATCH</t>
        </is>
      </c>
      <c r="M43" s="2948" t="inlineStr">
        <is>
          <t xml:space="preserve">Alibaba $63-$84; sheet $73.50 within range. Link LIVE. Verified 4/25.</t>
        </is>
      </c>
      <c r="N43" s="2949" t="n"/>
      <c r="O43" s="2908" t="n"/>
    </row>
    <row r="44" s="3154" customFormat="1" ht="13.5" customHeight="1">
      <c r="A44" s="2981" t="inlineStr">
        <is>
          <t xml:space="preserve">BA-03A</t>
        </is>
      </c>
      <c r="B44" s="2981" t="inlineStr">
        <is>
          <t xml:space="preserve">Toilet Seat</t>
        </is>
      </c>
      <c r="C44" s="2981" t="inlineStr">
        <is>
          <t xml:space="preserve">Caishi CSB03 19" elongated open-front PP plastic toilet seat; anti-bacteria; slow-close; SS or plastic hinges; 1-year warranty</t>
        </is>
      </c>
      <c r="D44" s="2981" t="inlineStr">
        <is>
          <t xml:space="preserve">Kaiping Caishi Plastic</t>
        </is>
      </c>
      <c r="E44" s="2982" t="inlineStr">
        <is>
          <t xml:space="preserve">https://www.alibaba.com/product-detail/19-Inch-Plastic-Open-Front-Toilet_1601524365791.html</t>
        </is>
      </c>
      <c r="F44" s="2981" t="inlineStr">
        <is>
          <t xml:space="preserve">ea</t>
        </is>
      </c>
      <c r="G44" s="2983" t="n">
        <f t="array" ref="G44">$B$12</f>
        <v>67</v>
      </c>
      <c r="H44" s="2984" t="inlineStr">
        <is>
          <t xml:space="preserve">$4.50–6.00</t>
        </is>
      </c>
      <c r="I44" s="2944" t="n">
        <v>5.25</v>
      </c>
      <c r="J44" s="4319" t="n">
        <f t="array" ref="J44">IFERROR(G44*I44,0)</f>
        <v>351.75</v>
      </c>
      <c r="K44" s="2946" t="n">
        <v>5.5</v>
      </c>
      <c r="L44" s="2952" t="inlineStr">
        <is>
          <t xml:space="preserve">MINOR</t>
        </is>
      </c>
      <c r="M44" s="2948" t="inlineStr">
        <is>
          <t xml:space="preserve">Alibaba $5.50 (1-299); sheet $5.25. Close. Link LIVE. Verified 4/25.</t>
        </is>
      </c>
      <c r="N44" s="2949" t="n"/>
      <c r="O44" s="2908" t="n"/>
    </row>
    <row r="45" s="3154" customFormat="1" ht="13.5" customHeight="1">
      <c r="A45" s="2940" t="inlineStr">
        <is>
          <t xml:space="preserve">BA-04</t>
        </is>
      </c>
      <c r="B45" s="2940" t="inlineStr">
        <is>
          <t xml:space="preserve">Shower Head &amp; Hand Shower</t>
        </is>
      </c>
      <c r="C45" s="2940" t="inlineStr">
        <is>
          <t xml:space="preserve">10" concealed wall-mount rain shower system; stainless steel; single handle; soft/rainfall/waterfall spray; brass valve core; black polished</t>
        </is>
      </c>
      <c r="D45" s="2940" t="inlineStr">
        <is>
          <t xml:space="preserve">Zhejiang Tieba Precision Hardware Mfg.</t>
        </is>
      </c>
      <c r="E45" s="2941" t="inlineStr">
        <is>
          <t xml:space="preserve">https://www.alibaba.com/product-detail/10-Inch-Luxury-Modern-Black-Stainless_1601292789810.html</t>
        </is>
      </c>
      <c r="F45" s="2940" t="inlineStr">
        <is>
          <t xml:space="preserve">set</t>
        </is>
      </c>
      <c r="G45" s="2942" t="n">
        <f t="array" ref="G45">$B$12</f>
        <v>67</v>
      </c>
      <c r="H45" s="2950" t="inlineStr">
        <is>
          <t xml:space="preserve">$88.90</t>
        </is>
      </c>
      <c r="I45" s="2944" t="n">
        <v>88.90000000000001</v>
      </c>
      <c r="J45" s="4319" t="n">
        <f t="array" ref="J45">IFERROR(G45*I45,0)</f>
        <v>5956.3</v>
      </c>
      <c r="K45" s="2946" t="n">
        <v>88.90000000000001</v>
      </c>
      <c r="L45" s="2947" t="inlineStr">
        <is>
          <t xml:space="preserve">MATCH</t>
        </is>
      </c>
      <c r="M45" s="2948" t="inlineStr">
        <is>
          <t xml:space="preserve">Alibaba $88.90 exact match (1-98 tier). Link LIVE. Verified 4/25.</t>
        </is>
      </c>
      <c r="N45" s="2949" t="n"/>
      <c r="O45" s="2908" t="n"/>
    </row>
    <row r="46" s="3154" customFormat="1" ht="13.5" customHeight="1">
      <c r="A46" s="2940" t="inlineStr">
        <is>
          <t xml:space="preserve">BA-06</t>
        </is>
      </c>
      <c r="B46" s="2940" t="inlineStr">
        <is>
          <t xml:space="preserve">Shower Pan / Base</t>
        </is>
      </c>
      <c r="C46" s="2940" t="inlineStr">
        <is>
          <t xml:space="preserve">Cultured marble / solid surface; ADA compliant; anti-slip finish; recessed install; center/left/corner drain; custom colors; ANSI A326 + ASTM D570 certified</t>
        </is>
      </c>
      <c r="D46" s="2940" t="inlineStr">
        <is>
          <t xml:space="preserve">Guangdong Wiselink Ltd.</t>
        </is>
      </c>
      <c r="E46" s="2941" t="inlineStr">
        <is>
          <t xml:space="preserve">https://www.alibaba.com/product-detail/Wiselink-Customized-Solid-Surface-Artificial-Stone_1601450312346.html</t>
        </is>
      </c>
      <c r="F46" s="2940" t="inlineStr">
        <is>
          <t xml:space="preserve">each</t>
        </is>
      </c>
      <c r="G46" s="2942" t="n">
        <f t="array" ref="G46">$B$12</f>
        <v>67</v>
      </c>
      <c r="H46" s="2950" t="inlineStr">
        <is>
          <t xml:space="preserve">$120–150</t>
        </is>
      </c>
      <c r="I46" s="2944" t="n">
        <v>135</v>
      </c>
      <c r="J46" s="4319" t="n">
        <f t="array" ref="J46">IFERROR(G46*I46,0)</f>
        <v>9045</v>
      </c>
      <c r="K46" s="2946" t="n">
        <v>150</v>
      </c>
      <c r="L46" s="2947" t="inlineStr">
        <is>
          <t xml:space="preserve">PRICE CHANGED</t>
        </is>
      </c>
      <c r="M46" s="2948" t="inlineStr">
        <is>
          <t xml:space="preserve">Was $135; now $150 (50-199), $138 (200-999). At 21 pcs, below 50 MOQ. Link LIVE.</t>
        </is>
      </c>
      <c r="N46" s="2949" t="n"/>
      <c r="O46" s="2908" t="n"/>
    </row>
    <row r="47" s="3154" customFormat="1" ht="13.5" customHeight="1">
      <c r="A47" s="2981" t="inlineStr">
        <is>
          <t xml:space="preserve">BA-06A</t>
        </is>
      </c>
      <c r="B47" s="2981" t="inlineStr">
        <is>
          <t xml:space="preserve">Shower Wall Panel</t>
        </is>
      </c>
      <c r="C47" s="2981" t="inlineStr">
        <is>
          <t xml:space="preserve">12x24 cultured marble shower wall system; 7mm thick; waterproof; fireproof; stain resistant; polished high gloss; no grout; cut-to-size; 3-year warranty; ASTM E84 Class A fire rated</t>
        </is>
      </c>
      <c r="D47" s="2981" t="inlineStr">
        <is>
          <t xml:space="preserve">Guangdong Wiselink</t>
        </is>
      </c>
      <c r="E47" s="2982" t="inlineStr">
        <is>
          <t xml:space="preserve">https://www.alibaba.com/product-detail/Wiselink-12X24-Vision-Stain-Resistant-Cultured_1601721326157.html</t>
        </is>
      </c>
      <c r="F47" s="2981" t="inlineStr">
        <is>
          <t xml:space="preserve">set</t>
        </is>
      </c>
      <c r="G47" s="2983" t="n">
        <f t="array" ref="G47">$B$12</f>
        <v>67</v>
      </c>
      <c r="H47" s="2984" t="inlineStr">
        <is>
          <t xml:space="preserve">$121–125</t>
        </is>
      </c>
      <c r="I47" s="2944" t="n">
        <v>123</v>
      </c>
      <c r="J47" s="4319" t="n">
        <f t="array" ref="J47">IFERROR(G47*I47,0)</f>
        <v>8241</v>
      </c>
      <c r="K47" s="2946" t="n">
        <v>125</v>
      </c>
      <c r="L47" s="2985" t="inlineStr">
        <is>
          <t xml:space="preserve">LIVE - WAS DEAD</t>
        </is>
      </c>
      <c r="M47" s="2948" t="inlineStr">
        <is>
          <t xml:space="preserve">Link now LIVE! $125 (50-199), $122 (200-999). Sheet $123 close. Updated from DEAD LINK.</t>
        </is>
      </c>
      <c r="N47" s="2949" t="n"/>
      <c r="O47" s="2908" t="n"/>
    </row>
    <row r="48" s="3154" customFormat="1" ht="13.5" customHeight="1">
      <c r="A48" s="2940" t="inlineStr">
        <is>
          <t xml:space="preserve">BA-07</t>
        </is>
      </c>
      <c r="B48" s="2940" t="inlineStr">
        <is>
          <t xml:space="preserve">ADA Fold-Down Shower Bench</t>
        </is>
      </c>
      <c r="C48" s="2940" t="inlineStr">
        <is>
          <t xml:space="preserve">304 stainless steel + phenolic resin; foldable; ADA compliant; brushed finish; W:26.5" D:15" H:16.11"; eco-friendly; 3 yr warranty</t>
        </is>
      </c>
      <c r="D48" s="2940" t="inlineStr">
        <is>
          <t xml:space="preserve">Xiamen Peshon Trading Co.</t>
        </is>
      </c>
      <c r="E48" s="2941" t="inlineStr">
        <is>
          <t xml:space="preserve">https://www.alibaba.com/product-detail/Factory-Supplying-304-Stainless-Steel-Phenolic_1601695241194.html</t>
        </is>
      </c>
      <c r="F48" s="2940" t="inlineStr">
        <is>
          <t xml:space="preserve">each</t>
        </is>
      </c>
      <c r="G48" s="2942" t="n">
        <f t="array" ref="G48">$B$12</f>
        <v>67</v>
      </c>
      <c r="H48" s="2950" t="inlineStr">
        <is>
          <t xml:space="preserve">$72.33</t>
        </is>
      </c>
      <c r="I48" s="2944" t="n">
        <v>72.33</v>
      </c>
      <c r="J48" s="4319" t="n">
        <f t="array" ref="J48">IFERROR(G48*I48,0)</f>
        <v>4846.11</v>
      </c>
      <c r="K48" s="2946" t="n">
        <v>72.33</v>
      </c>
      <c r="L48" s="2947" t="inlineStr">
        <is>
          <t xml:space="preserve">MATCH</t>
        </is>
      </c>
      <c r="M48" s="2948" t="inlineStr">
        <is>
          <t xml:space="preserve">Alibaba $72.33 exact match (20-99 tier). Link LIVE. Verified 4/25.</t>
        </is>
      </c>
      <c r="N48" s="2949" t="n"/>
      <c r="O48" s="2908" t="n"/>
    </row>
    <row r="49" s="3154" customFormat="1" ht="13.5" customHeight="1">
      <c r="A49" s="2940" t="inlineStr">
        <is>
          <t xml:space="preserve">BA-08</t>
        </is>
      </c>
      <c r="B49" s="2940" t="inlineStr">
        <is>
          <t xml:space="preserve">Hand Rails / Grab Bars</t>
        </is>
      </c>
      <c r="C49" s="2940" t="inlineStr">
        <is>
          <t xml:space="preserve">304 stainless steel L-shape grab bar; 25mm dia; brushed nickel; wall-mounted; anti-slip; ADA safety; custom 30–90cm; 3 yr warranty</t>
        </is>
      </c>
      <c r="D49" s="2940" t="inlineStr">
        <is>
          <t xml:space="preserve">Wenzhou Wanze Sanitary Ware Co.</t>
        </is>
      </c>
      <c r="E49" s="2941" t="inlineStr">
        <is>
          <t xml:space="preserve">https://www.alibaba.com/product-detail/Grab-bar-Handle-Bathroom-Stainless-Steel_1600249155503.html</t>
        </is>
      </c>
      <c r="F49" s="2940" t="inlineStr">
        <is>
          <t xml:space="preserve">each</t>
        </is>
      </c>
      <c r="G49" s="2942" t="n">
        <f t="array" ref="G49">$B$12</f>
        <v>67</v>
      </c>
      <c r="H49" s="2950" t="inlineStr">
        <is>
          <t xml:space="preserve">$6.40–6.99</t>
        </is>
      </c>
      <c r="I49" s="2944" t="n">
        <v>6.7</v>
      </c>
      <c r="J49" s="4319" t="n">
        <f t="array" ref="J49">IFERROR(G49*I49,0)</f>
        <v>448.90000000000003</v>
      </c>
      <c r="K49" s="2946" t="n">
        <v>6.7</v>
      </c>
      <c r="L49" s="2947" t="inlineStr">
        <is>
          <t xml:space="preserve">MATCH</t>
        </is>
      </c>
      <c r="M49" s="2948" t="inlineStr">
        <is>
          <t xml:space="preserve">Alibaba $6.99 (100-299), $6.70 (300-499); sheet $6.70. Link LIVE. Verified 4/25.</t>
        </is>
      </c>
      <c r="N49" s="2949" t="n"/>
      <c r="O49" s="2908" t="n"/>
    </row>
    <row r="50" s="3154" customFormat="1" ht="13.5" customHeight="1">
      <c r="A50" s="2940" t="inlineStr">
        <is>
          <t xml:space="preserve">BA-09</t>
        </is>
      </c>
      <c r="B50" s="2940" t="inlineStr">
        <is>
          <t xml:space="preserve">Anti-Fog Mirror</t>
        </is>
      </c>
      <c r="C50" s="2940" t="inlineStr">
        <is>
          <t xml:space="preserve">24×36" frameless LED bathroom mirror; anti-fog; touch sensor; frontlit + backlit; 3000K-6000K adjustable; IP44; dimmable; 4mm eco-friendly silver glass; wall-mounted; ETL/FCC/RoHS certified</t>
        </is>
      </c>
      <c r="D50" s="2940" t="inlineStr">
        <is>
          <t xml:space="preserve">Shenzhen Jianyuanda Mirror Technology Co. (JYD Mirror)</t>
        </is>
      </c>
      <c r="E50" s="2941" t="inlineStr">
        <is>
          <t xml:space="preserve">https://www.alibaba.com/product-detail/Wholesale-Custom-Anti-Fog-Hotel-Touch_1601382473093.html</t>
        </is>
      </c>
      <c r="F50" s="2940" t="inlineStr">
        <is>
          <t xml:space="preserve">each</t>
        </is>
      </c>
      <c r="G50" s="2942" t="n">
        <f t="array" ref="G50">$B$12</f>
        <v>67</v>
      </c>
      <c r="H50" s="2950" t="inlineStr">
        <is>
          <t xml:space="preserve">$19-38</t>
        </is>
      </c>
      <c r="I50" s="2944" t="n">
        <v>28.5</v>
      </c>
      <c r="J50" s="4319" t="n">
        <f t="array" ref="J50">IFERROR(G50*I50,0)</f>
        <v>1909.5</v>
      </c>
      <c r="K50" s="2946" t="n">
        <v>28.5</v>
      </c>
      <c r="L50" s="2947" t="inlineStr">
        <is>
          <t xml:space="preserve">MATCH</t>
        </is>
      </c>
      <c r="M50" s="2948" t="inlineStr">
        <is>
          <t xml:space="preserve">Alibaba $19-$38; sheet $28.50 within range. Link LIVE. Verified 4/25.</t>
        </is>
      </c>
      <c r="N50" s="2949" t="n"/>
      <c r="O50" s="2908" t="n"/>
    </row>
    <row r="51" s="3154" customFormat="1" ht="13.5" customHeight="1">
      <c r="A51" s="2940" t="inlineStr">
        <is>
          <t xml:space="preserve">BA-10</t>
        </is>
      </c>
      <c r="B51" s="2940" t="inlineStr">
        <is>
          <t xml:space="preserve">Hair Dryer</t>
        </is>
      </c>
      <c r="C51" s="2940" t="inlineStr">
        <is>
          <t xml:space="preserve">Falin FL-1501 salon hair dryer; 2000W; BLDC motor; 110,000+ RPM; ionic; 2 speed/3 heat; concentrator nozzle; lightweight; magnetic wall mount; CE certified; black</t>
        </is>
      </c>
      <c r="D51" s="2940" t="inlineStr">
        <is>
          <t xml:space="preserve">Zhejiang Falin Appliances Co.</t>
        </is>
      </c>
      <c r="E51" s="2941" t="inlineStr">
        <is>
          <t xml:space="preserve">https://www.alibaba.com/product-detail/FALIN-FL-1501-Salon-Hair-Dryer_1601419773431.html</t>
        </is>
      </c>
      <c r="F51" s="2940" t="inlineStr">
        <is>
          <t xml:space="preserve">each</t>
        </is>
      </c>
      <c r="G51" s="2942" t="n">
        <f t="array" ref="G51">$B$12</f>
        <v>67</v>
      </c>
      <c r="H51" s="2950" t="inlineStr">
        <is>
          <t xml:space="preserve">$18-25</t>
        </is>
      </c>
      <c r="I51" s="2944" t="n">
        <v>21.5</v>
      </c>
      <c r="J51" s="4319" t="n">
        <f t="array" ref="J51">IFERROR(G51*I51,0)</f>
        <v>1440.5</v>
      </c>
      <c r="K51" s="2946" t="n">
        <v>21.5</v>
      </c>
      <c r="L51" s="2947" t="inlineStr">
        <is>
          <t xml:space="preserve">MATCH</t>
        </is>
      </c>
      <c r="M51" s="2948" t="inlineStr">
        <is>
          <t xml:space="preserve">Alibaba $18-$25; sheet $21.50 within range. Link LIVE. Verified 4/25.</t>
        </is>
      </c>
      <c r="N51" s="2949" t="n"/>
      <c r="O51" s="2908" t="n"/>
    </row>
    <row r="52" s="3154" customFormat="1" ht="13.5" customHeight="1">
      <c r="A52" s="2940" t="inlineStr">
        <is>
          <t xml:space="preserve">BA-12</t>
        </is>
      </c>
      <c r="B52" s="2940" t="inlineStr">
        <is>
          <t xml:space="preserve">Shampoo / Conditioner / Body Wash Dispenser</t>
        </is>
      </c>
      <c r="C52" s="2940" t="inlineStr">
        <is>
          <t xml:space="preserve">Triple wall-mounted manual soap dispenser; ABS plastic; 400ml×3 bottles; shampoo/conditioner/shower gel; modern design; 1-year warranty</t>
        </is>
      </c>
      <c r="D52" s="2940" t="inlineStr">
        <is>
          <t xml:space="preserve">Jia Eleven (Hangzhou) Electrical Appliance Co.</t>
        </is>
      </c>
      <c r="E52" s="2941" t="inlineStr">
        <is>
          <t xml:space="preserve">https://www.alibaba.com/product-detail/Hotel-Bathroom-Triple-Manual-Soap-Dispenser_1601520972025.html</t>
        </is>
      </c>
      <c r="F52" s="2940" t="inlineStr">
        <is>
          <t xml:space="preserve">each</t>
        </is>
      </c>
      <c r="G52" s="2942" t="n">
        <f t="array" ref="G52">$B$12</f>
        <v>67</v>
      </c>
      <c r="H52" s="2950" t="inlineStr">
        <is>
          <t xml:space="preserve">$1.99-2.86</t>
        </is>
      </c>
      <c r="I52" s="2944" t="n">
        <v>2.43</v>
      </c>
      <c r="J52" s="4319" t="n">
        <f t="array" ref="J52">IFERROR(G52*I52,0)</f>
        <v>162.81</v>
      </c>
      <c r="K52" s="2946" t="n">
        <v>2.86</v>
      </c>
      <c r="L52" s="2952" t="inlineStr">
        <is>
          <t xml:space="preserve">PRICE CHANGED</t>
        </is>
      </c>
      <c r="M52" s="2948" t="inlineStr">
        <is>
          <t xml:space="preserve">Was $2.43; now $2.86 (5-999 tier). Link LIVE.</t>
        </is>
      </c>
      <c r="N52" s="2949" t="n"/>
      <c r="O52" s="2908" t="n"/>
    </row>
    <row r="53" s="3154" customFormat="1" ht="13.5" customHeight="1">
      <c r="A53" s="2940" t="inlineStr">
        <is>
          <t xml:space="preserve">BA-13</t>
        </is>
      </c>
      <c r="B53" s="2940" t="inlineStr">
        <is>
          <t xml:space="preserve">Hand Soap Dispenser</t>
        </is>
      </c>
      <c r="C53" s="2940" t="inlineStr">
        <is>
          <t xml:space="preserve">1000ml ABS manual liquid soap dispenser; wall-mounted; traditional design; foam soap; 1-year warranty</t>
        </is>
      </c>
      <c r="D53" s="2940" t="inlineStr">
        <is>
          <t xml:space="preserve">Jia Eleven (Hangzhou) Electrical Appliance Co.</t>
        </is>
      </c>
      <c r="E53" s="2941" t="inlineStr">
        <is>
          <t xml:space="preserve">https://www.alibaba.com/product-detail/1000ml-High-Quality-ABS-Manual-Liquid_1601312483176.html</t>
        </is>
      </c>
      <c r="F53" s="2940" t="inlineStr">
        <is>
          <t xml:space="preserve">each</t>
        </is>
      </c>
      <c r="G53" s="2942" t="n">
        <f t="array" ref="G53">$B$12</f>
        <v>67</v>
      </c>
      <c r="H53" s="2950" t="inlineStr">
        <is>
          <t xml:space="preserve">$4.48-5.12</t>
        </is>
      </c>
      <c r="I53" s="2944" t="n">
        <v>4.8</v>
      </c>
      <c r="J53" s="4319" t="n">
        <f t="array" ref="J53">IFERROR(G53*I53,0)</f>
        <v>321.59999999999997</v>
      </c>
      <c r="K53" s="2946" t="n">
        <v>5.12</v>
      </c>
      <c r="L53" s="2952" t="inlineStr">
        <is>
          <t xml:space="preserve">PRICE CHANGED</t>
        </is>
      </c>
      <c r="M53" s="2948" t="inlineStr">
        <is>
          <t xml:space="preserve">Was $4.80; now $5.12 (2-999 tier). Link LIVE.</t>
        </is>
      </c>
      <c r="N53" s="2949" t="n"/>
      <c r="O53" s="2908" t="n"/>
    </row>
    <row r="54" s="3154" customFormat="1" ht="13.5" customHeight="1">
      <c r="A54" s="2940" t="inlineStr">
        <is>
          <t xml:space="preserve">BA-14</t>
        </is>
      </c>
      <c r="B54" s="2940" t="inlineStr">
        <is>
          <t xml:space="preserve">Toilet Paper Holder</t>
        </is>
      </c>
      <c r="C54" s="2940" t="inlineStr">
        <is>
          <t xml:space="preserve">304 stainless steel double toilet tissue paper roll holder; recessed built-in; brushed nickel; wall-mounted; anti-rust; modern; 3-year warranty</t>
        </is>
      </c>
      <c r="D54" s="2940" t="inlineStr">
        <is>
          <t xml:space="preserve">Wenzhou Wanze Sanitary Ware Co. (CHUNGO)</t>
        </is>
      </c>
      <c r="E54" s="2941" t="inlineStr">
        <is>
          <t xml:space="preserve">https://www.alibaba.com/product-detail/Bathroom-Accessories-304-Stainless-Steel-Double_1600267802325.html</t>
        </is>
      </c>
      <c r="F54" s="2940" t="inlineStr">
        <is>
          <t xml:space="preserve">each</t>
        </is>
      </c>
      <c r="G54" s="2942" t="n">
        <f t="array" ref="G54">$B$12</f>
        <v>67</v>
      </c>
      <c r="H54" s="2950" t="inlineStr">
        <is>
          <t xml:space="preserve">$9.20-9.50</t>
        </is>
      </c>
      <c r="I54" s="2944" t="n">
        <v>9.35</v>
      </c>
      <c r="J54" s="4319" t="n">
        <f t="array" ref="J54">IFERROR(G54*I54,0)</f>
        <v>626.4499999999999</v>
      </c>
      <c r="K54" s="2946" t="n">
        <v>9.35</v>
      </c>
      <c r="L54" s="2947" t="inlineStr">
        <is>
          <t xml:space="preserve">MATCH</t>
        </is>
      </c>
      <c r="M54" s="2948" t="inlineStr">
        <is>
          <t xml:space="preserve">Alibaba $9.50 (50-99), $9.20 (100+); sheet $9.35 within range. Link LIVE. Verified 4/25.</t>
        </is>
      </c>
      <c r="N54" s="2949" t="n"/>
      <c r="O54" s="2908" t="n"/>
    </row>
    <row r="55" s="3154" customFormat="1" ht="13.5" customHeight="1">
      <c r="A55" s="2940" t="inlineStr">
        <is>
          <t xml:space="preserve">BA-18</t>
        </is>
      </c>
      <c r="B55" s="2940" t="inlineStr">
        <is>
          <t xml:space="preserve">Bathroom Hardware Set (4-pc)</t>
        </is>
      </c>
      <c r="C55" s="2940" t="inlineStr">
        <is>
          <t xml:space="preserve">4-piece bathroom hardware set; zinc; wall-mounted; towel bar + towel ring + toilet paper holder + robe hook; black; anti-rust; eco-friendly</t>
        </is>
      </c>
      <c r="D55" s="2940" t="inlineStr">
        <is>
          <t xml:space="preserve">Wenzhou Wanze Sanitary Ware Co. (CHUNGO)</t>
        </is>
      </c>
      <c r="E55" s="2941" t="inlineStr">
        <is>
          <t xml:space="preserve">https://www.alibaba.com/product-detail/Golden-Bathroom-Decor-Accessories-Set-4_1600466109111.html</t>
        </is>
      </c>
      <c r="F55" s="2940" t="inlineStr">
        <is>
          <t xml:space="preserve">set</t>
        </is>
      </c>
      <c r="G55" s="2942" t="n">
        <f t="array" ref="G55">$B$12</f>
        <v>67</v>
      </c>
      <c r="H55" s="2950" t="inlineStr">
        <is>
          <t xml:space="preserve">$11.99-13.99</t>
        </is>
      </c>
      <c r="I55" s="2944" t="n">
        <v>12.99</v>
      </c>
      <c r="J55" s="4319" t="n">
        <f t="array" ref="J55">IFERROR(G55*I55,0)</f>
        <v>870.33</v>
      </c>
      <c r="K55" s="2946" t="n">
        <v>12.99</v>
      </c>
      <c r="L55" s="2947" t="inlineStr">
        <is>
          <t xml:space="preserve">MINOR</t>
        </is>
      </c>
      <c r="M55" s="2948" t="inlineStr">
        <is>
          <t xml:space="preserve">Alibaba $13.99 (200-499 MOQ); sheet $12.99. Below 200 MOQ. Link LIVE.</t>
        </is>
      </c>
      <c r="N55" s="2949" t="n"/>
      <c r="O55" s="2908" t="n"/>
    </row>
    <row r="56" s="3154" customFormat="1" ht="13.5" customHeight="1">
      <c r="A56" s="2940" t="inlineStr">
        <is>
          <t xml:space="preserve">BA-19</t>
        </is>
      </c>
      <c r="B56" s="2940" t="inlineStr">
        <is>
          <t xml:space="preserve">Air Freshener Dispenser</t>
        </is>
      </c>
      <c r="C56" s="2940" t="inlineStr">
        <is>
          <t xml:space="preserve">Automatic aerosol air freshener dispenser; PP plastic; wall-mounted/desktop; AA battery operated; 5/15/30 min timer; 250-300ml refill cans; FCC/RoHS certified; white</t>
        </is>
      </c>
      <c r="D56" s="2940" t="inlineStr">
        <is>
          <t xml:space="preserve">Shenzhen Siweiyi Technology Co.</t>
        </is>
      </c>
      <c r="E56" s="2941" t="inlineStr">
        <is>
          <t xml:space="preserve">https://www.alibaba.com/product-detail/Wholesale-Price-Toilet-Fragrance-Wall-Mounted_1601595543351.html</t>
        </is>
      </c>
      <c r="F56" s="2940" t="inlineStr">
        <is>
          <t xml:space="preserve">each</t>
        </is>
      </c>
      <c r="G56" s="2942" t="n">
        <f t="array" ref="G56">$B$12</f>
        <v>67</v>
      </c>
      <c r="H56" s="2950" t="inlineStr">
        <is>
          <t xml:space="preserve">$1.99-2.30</t>
        </is>
      </c>
      <c r="I56" s="2944" t="n">
        <v>2.15</v>
      </c>
      <c r="J56" s="4319" t="n">
        <f t="array" ref="J56">IFERROR(G56*I56,0)</f>
        <v>144.04999999999998</v>
      </c>
      <c r="K56" s="2946" t="n">
        <v>2.15</v>
      </c>
      <c r="L56" s="2952" t="inlineStr">
        <is>
          <t xml:space="preserve">MATCH</t>
        </is>
      </c>
      <c r="M56" s="2948" t="inlineStr">
        <is>
          <t xml:space="preserve">Alibaba $2.10 (24-999); sheet $2.15 close. Link LIVE. Verified 4/25.</t>
        </is>
      </c>
      <c r="N56" s="2949" t="n"/>
      <c r="O56" s="2908" t="n"/>
    </row>
    <row r="57" s="3154" customFormat="1" ht="13.5" customHeight="1">
      <c r="A57" s="2940" t="inlineStr">
        <is>
          <t xml:space="preserve">BA-20</t>
        </is>
      </c>
      <c r="B57" s="2940" t="inlineStr">
        <is>
          <t xml:space="preserve">Bath Towel</t>
        </is>
      </c>
      <c r="C57" s="2940" t="inlineStr">
        <is>
          <t xml:space="preserve">5-star hotel luxury 100% cotton white bath towel; 70×140cm; 650g; 32S yarn; 500-699gsm; woven; quick-dry; solid white; rectangle; custom logo available; Oeko-Tex 100</t>
        </is>
      </c>
      <c r="D57" s="2940" t="inlineStr">
        <is>
          <t xml:space="preserve">Shanghai General Textile</t>
        </is>
      </c>
      <c r="E57" s="2941" t="inlineStr">
        <is>
          <t xml:space="preserve">https://www.alibaba.com/product-detail/5-Star-Hotel-Luxury-Bath-Towel_1601607643915.html</t>
        </is>
      </c>
      <c r="F57" s="2940" t="inlineStr">
        <is>
          <t xml:space="preserve">ea</t>
        </is>
      </c>
      <c r="G57" s="2942" t="n">
        <f t="array" ref="G57">$B$8*3</f>
        <v>300</v>
      </c>
      <c r="H57" s="2950" t="inlineStr">
        <is>
          <t xml:space="preserve">$2.62–13.59</t>
        </is>
      </c>
      <c r="I57" s="2944" t="n">
        <v>4.25</v>
      </c>
      <c r="J57" s="4319" t="n">
        <f t="array" ref="J57">IFERROR(G57*I57,0)</f>
        <v>1275</v>
      </c>
      <c r="K57" s="2946" t="n">
        <v>4.25</v>
      </c>
      <c r="L57" s="2947" t="inlineStr">
        <is>
          <t xml:space="preserve">MATCH</t>
        </is>
      </c>
      <c r="M57" s="2948" t="inlineStr">
        <is>
          <t xml:space="preserve">Alibaba $1.02-$5.30; sheet $4.25 within range. Link LIVE. Verified 4/25.</t>
        </is>
      </c>
      <c r="N57" s="2949" t="n"/>
      <c r="O57" s="2908" t="n"/>
    </row>
    <row r="58" s="3154" customFormat="1" ht="13.5" customHeight="1">
      <c r="A58" s="2981" t="inlineStr">
        <is>
          <t xml:space="preserve">BA-20A</t>
        </is>
      </c>
      <c r="B58" s="2981" t="inlineStr">
        <is>
          <t xml:space="preserve">Face Towel</t>
        </is>
      </c>
      <c r="C58" s="2981" t="inlineStr">
        <is>
          <t xml:space="preserve">100% cotton washcloth face towel; 32x32cm; 16S/21S/32S yarn; woven; white; hotel grade; Oeko-Tex 100</t>
        </is>
      </c>
      <c r="D58" s="2981" t="inlineStr">
        <is>
          <t xml:space="preserve">Shanghai General Textile</t>
        </is>
      </c>
      <c r="E58" s="2982" t="inlineStr">
        <is>
          <t xml:space="preserve">https://www.alibaba.com/product-detail/Washcloths-Cotton-Face-Towels-24-Pack_60751111431.html</t>
        </is>
      </c>
      <c r="F58" s="2981" t="inlineStr">
        <is>
          <t xml:space="preserve">ea</t>
        </is>
      </c>
      <c r="G58" s="3015" t="n">
        <f t="array" ref="G58">$B$8*3</f>
        <v>300</v>
      </c>
      <c r="H58" s="2984" t="inlineStr">
        <is>
          <t xml:space="preserve">$0.50–0.80</t>
        </is>
      </c>
      <c r="I58" s="2944" t="n">
        <v>0.65</v>
      </c>
      <c r="J58" s="4325" t="n">
        <f t="array" ref="J58">IFERROR(G58*I58,0)</f>
        <v>195</v>
      </c>
      <c r="K58" s="2946" t="n">
        <v>0.8</v>
      </c>
      <c r="L58" s="2947" t="inlineStr">
        <is>
          <t xml:space="preserve">PRICE CHANGED</t>
        </is>
      </c>
      <c r="M58" s="2948" t="inlineStr">
        <is>
          <t xml:space="preserve">Was $0.65; now $0.80 (50-499 tier). Link LIVE.</t>
        </is>
      </c>
      <c r="N58" s="2949" t="n"/>
      <c r="O58" s="2908" t="n"/>
    </row>
    <row r="59" s="3154" customFormat="1" ht="13.5" customHeight="1">
      <c r="A59" s="3016" t="inlineStr">
        <is>
          <t xml:space="preserve">BA-20B</t>
        </is>
      </c>
      <c r="B59" s="3016" t="inlineStr">
        <is>
          <t xml:space="preserve">RFID Laundry Tag</t>
        </is>
      </c>
      <c r="C59" s="3016" t="inlineStr">
        <is>
          <t xml:space="preserve">ZDCARD UHF washable textile RFID tag; 860-960MHz; NXP U-Code 8 chip; COB + polyester fiber; sewn-in; 200 wash cycles; 58×15mm; CE/RoHS; ISO 18000-6C / EPC Gen2</t>
        </is>
      </c>
      <c r="D59" s="3016" t="inlineStr">
        <is>
          <t xml:space="preserve">Shenzhen Zd Technology Co. (ZDCARD)</t>
        </is>
      </c>
      <c r="E59" s="3017" t="inlineStr">
        <is>
          <t xml:space="preserve">https://www.alibaba.com/product-detail/High-Temperature-UHF-Rfid-Washable-Textile_62341164689.html</t>
        </is>
      </c>
      <c r="F59" s="3016" t="inlineStr">
        <is>
          <t xml:space="preserve">ea</t>
        </is>
      </c>
      <c r="G59" s="3018" t="n">
        <f t="array" ref="G59">$B$8*3</f>
        <v>300</v>
      </c>
      <c r="H59" s="3019" t="inlineStr">
        <is>
          <t xml:space="preserve">$0.15–0.25</t>
        </is>
      </c>
      <c r="I59" s="3020" t="n">
        <v>0.2</v>
      </c>
      <c r="J59" s="4327" t="n">
        <f t="array" ref="J59">IFERROR(G59*I59,0)</f>
        <v>60</v>
      </c>
      <c r="K59" s="2946" t="n">
        <v>0.2</v>
      </c>
      <c r="L59" s="2947" t="inlineStr">
        <is>
          <t xml:space="preserve">MATCH</t>
        </is>
      </c>
      <c r="M59" s="2948" t="inlineStr">
        <is>
          <t xml:space="preserve">Alibaba $0.20 exact match. Link LIVE. Verified 4/25.</t>
        </is>
      </c>
      <c r="N59" s="2949" t="n"/>
      <c r="O59" s="2908" t="n"/>
    </row>
    <row r="60" s="3154" customFormat="1" ht="13.5" customHeight="1">
      <c r="A60" s="2940" t="inlineStr">
        <is>
          <t xml:space="preserve">BA-21</t>
        </is>
      </c>
      <c r="B60" s="2940" t="inlineStr">
        <is>
          <t xml:space="preserve">Bath Robes</t>
        </is>
      </c>
      <c r="C60" s="2940" t="inlineStr">
        <is>
          <t xml:space="preserve">White shawl collar 100% cotton terry bathrobe; 1100g; full length; quick dry; breathable; embroidered logo; all-season; M-L</t>
        </is>
      </c>
      <c r="D60" s="2940" t="inlineStr">
        <is>
          <t xml:space="preserve">Shanghai General Textile</t>
        </is>
      </c>
      <c r="E60" s="2941" t="inlineStr">
        <is>
          <t xml:space="preserve">https://www.alibaba.com/product-detail/Custom-Size-White-Shawl-Collar-100_60838891571.html</t>
        </is>
      </c>
      <c r="F60" s="2940" t="inlineStr">
        <is>
          <t xml:space="preserve">each</t>
        </is>
      </c>
      <c r="G60" s="2942" t="n">
        <f t="array" ref="G60">$B$8*2</f>
        <v>200</v>
      </c>
      <c r="H60" s="2950" t="inlineStr">
        <is>
          <t xml:space="preserve">$10.70–11.90</t>
        </is>
      </c>
      <c r="I60" s="2944" t="n">
        <v>11.3</v>
      </c>
      <c r="J60" s="4319" t="n">
        <f t="array" ref="J60">IFERROR(G60*I60,0)</f>
        <v>2260</v>
      </c>
      <c r="K60" s="2946" t="n">
        <v>11.9</v>
      </c>
      <c r="L60" s="2947" t="inlineStr">
        <is>
          <t xml:space="preserve">MINOR</t>
        </is>
      </c>
      <c r="M60" s="2948" t="inlineStr">
        <is>
          <t xml:space="preserve">Alibaba $11.90 (30-399); sheet $11.30. Close. Link LIVE. Verified 4/25.</t>
        </is>
      </c>
      <c r="N60" s="2949" t="n"/>
      <c r="O60" s="2908" t="n"/>
    </row>
    <row r="61" s="3154" customFormat="1" ht="13.5" customHeight="1">
      <c r="A61" s="2981" t="inlineStr">
        <is>
          <t xml:space="preserve">BA-21A</t>
        </is>
      </c>
      <c r="B61" s="2981" t="inlineStr">
        <is>
          <t xml:space="preserve">Bath Mat</t>
        </is>
      </c>
      <c r="C61" s="2981" t="inlineStr">
        <is>
          <t xml:space="preserve">JR341 hotel bathroom cotton non-slip foot towel bath mat; 100% cotton; 50×80cm; 400g; machine made; jacquard; 1.5 per room</t>
        </is>
      </c>
      <c r="D61" s="2981" t="inlineStr">
        <is>
          <t xml:space="preserve">Shanghai General Textile</t>
        </is>
      </c>
      <c r="E61" s="2982" t="inlineStr">
        <is>
          <t xml:space="preserve">https://www.alibaba.com/product-detail/JR341-Hotel-Bathroom-Cotton-Non-slip_60824399416.html</t>
        </is>
      </c>
      <c r="F61" s="2981" t="inlineStr">
        <is>
          <t xml:space="preserve">each</t>
        </is>
      </c>
      <c r="G61" s="2983" t="n">
        <f t="array" ref="G61">$B$12*2</f>
        <v>134</v>
      </c>
      <c r="H61" s="2984" t="inlineStr">
        <is>
          <t xml:space="preserve">$3–4.40</t>
        </is>
      </c>
      <c r="I61" s="2944" t="n">
        <v>3.7</v>
      </c>
      <c r="J61" s="4319" t="n">
        <f t="array" ref="J61">IFERROR(G61*I61,0)</f>
        <v>495.8</v>
      </c>
      <c r="K61" s="2946" t="n">
        <v>4.4</v>
      </c>
      <c r="L61" s="2947" t="inlineStr">
        <is>
          <t xml:space="preserve">PRICE CHANGED</t>
        </is>
      </c>
      <c r="M61" s="2948" t="inlineStr">
        <is>
          <t xml:space="preserve">Was $3.70; now $4.40 (1-999 tier). Link LIVE.</t>
        </is>
      </c>
      <c r="N61" s="2949" t="n"/>
      <c r="O61" s="2908" t="n"/>
    </row>
    <row r="62" s="3154" customFormat="1" ht="13.5" customHeight="1">
      <c r="A62" s="2940" t="inlineStr">
        <is>
          <t xml:space="preserve">BA-22</t>
        </is>
      </c>
      <c r="B62" s="2940" t="inlineStr">
        <is>
          <t xml:space="preserve">Hand Dryer</t>
        </is>
      </c>
      <c r="C62" s="2940" t="inlineStr">
        <is>
          <t xml:space="preserve">ABS black V-shaped wall-mounted electric automatic hand dryer; 1500W; sensor-activated; hotel/commercial grade; 1-year warranty; free spare parts</t>
        </is>
      </c>
      <c r="D62" s="2940" t="inlineStr">
        <is>
          <t xml:space="preserve">Modun (Zhejiang) Industrial Co.</t>
        </is>
      </c>
      <c r="E62" s="2941" t="inlineStr">
        <is>
          <t xml:space="preserve">https://www.alibaba.com/product-detail/Modun-Wall-Mounted-Electric-Automatic-Hand_1601258142021.html</t>
        </is>
      </c>
      <c r="F62" s="2940" t="inlineStr">
        <is>
          <t xml:space="preserve">each</t>
        </is>
      </c>
      <c r="G62" s="2942" t="n">
        <f t="array" ref="G62">$B$12</f>
        <v>67</v>
      </c>
      <c r="H62" s="2950" t="inlineStr">
        <is>
          <t xml:space="preserve">$42–52</t>
        </is>
      </c>
      <c r="I62" s="2944" t="n">
        <v>47</v>
      </c>
      <c r="J62" s="4319" t="n">
        <f t="array" ref="J62">IFERROR(G62*I62,0)</f>
        <v>3149</v>
      </c>
      <c r="K62" s="2946" t="n">
        <v>52</v>
      </c>
      <c r="L62" s="2947" t="inlineStr">
        <is>
          <t xml:space="preserve">PRICE CHANGED</t>
        </is>
      </c>
      <c r="M62" s="2948" t="inlineStr">
        <is>
          <t xml:space="preserve">Was $47; now $52 (1-99 tier), $45 (100-299). Link LIVE.</t>
        </is>
      </c>
      <c r="N62" s="2949" t="n"/>
      <c r="O62" s="2908" t="n"/>
    </row>
    <row r="63" s="3154" customFormat="1" ht="13.5" customHeight="1">
      <c r="A63" s="2940" t="inlineStr">
        <is>
          <t xml:space="preserve">BA-24</t>
        </is>
      </c>
      <c r="B63" s="2940" t="inlineStr">
        <is>
          <t xml:space="preserve">Housekeeping Bathroom Cart</t>
        </is>
      </c>
      <c r="C63" s="2940" t="inlineStr">
        <is>
          <t xml:space="preserve">Multifunctional janitorial cleaning trolley; waterproof bag; 3-shelf utility cart; 450 lb capacity; commercial hotel housekeeping</t>
        </is>
      </c>
      <c r="D63" s="2940" t="inlineStr">
        <is>
          <t xml:space="preserve">Yongkang Runding Industry &amp; Trade</t>
        </is>
      </c>
      <c r="E63" s="2941" t="inlineStr">
        <is>
          <t xml:space="preserve">https://www.alibaba.com/product-detail/Multifunctional-Janitorial-Cleaning-Trolley-Waterproof-Bag_1601641950825.html</t>
        </is>
      </c>
      <c r="F63" s="2940" t="inlineStr">
        <is>
          <t xml:space="preserve">each</t>
        </is>
      </c>
      <c r="G63" s="3022" t="n">
        <f t="array" ref="G63">$B$12</f>
        <v>67</v>
      </c>
      <c r="H63" s="2950" t="inlineStr">
        <is>
          <t xml:space="preserve">$22–99</t>
        </is>
      </c>
      <c r="I63" s="2944" t="n">
        <v>112.6</v>
      </c>
      <c r="J63" s="4325" t="n">
        <f t="array" ref="J63">IFERROR(G63*I63,0)</f>
        <v>7544.2</v>
      </c>
      <c r="K63" s="2946" t="n">
        <v>112.6</v>
      </c>
      <c r="L63" s="2947" t="inlineStr">
        <is>
          <t xml:space="preserve">MATCH</t>
        </is>
      </c>
      <c r="M63" s="2948" t="inlineStr">
        <is>
          <t xml:space="preserve">Alibaba $112.60 (10-99 pcs). Link LIVE. Verified 4/27.</t>
        </is>
      </c>
      <c r="N63" s="2949" t="n"/>
      <c r="O63" s="2908" t="n"/>
    </row>
    <row r="64" s="3154" customFormat="1" ht="13.5" customHeight="1">
      <c r="A64" s="2940" t="inlineStr">
        <is>
          <t xml:space="preserve">BA-25</t>
        </is>
      </c>
      <c r="B64" s="2994" t="inlineStr">
        <is>
          <t xml:space="preserve">Towel Hamper Cart</t>
        </is>
      </c>
      <c r="C64" s="2995" t="inlineStr">
        <is>
          <t xml:space="preserve">X-folding hospital/hotel laundry linen trolley cart; room service cart; cleaning service</t>
        </is>
      </c>
      <c r="D64" s="2995" t="inlineStr">
        <is>
          <t xml:space="preserve">Alibaba (generic)</t>
        </is>
      </c>
      <c r="E64" s="2996" t="inlineStr">
        <is>
          <t xml:space="preserve">https://www.alibaba.com/product-detail/X-Folding-Hospital-and-Hotel-Room_62555705024.html</t>
        </is>
      </c>
      <c r="F64" s="2995" t="inlineStr">
        <is>
          <t xml:space="preserve">each</t>
        </is>
      </c>
      <c r="G64" s="3023" t="n">
        <f t="array" ref="G64">$B$12</f>
        <v>67</v>
      </c>
      <c r="H64" s="2984" t="inlineStr">
        <is>
          <t xml:space="preserve">$50–168</t>
        </is>
      </c>
      <c r="I64" s="2944" t="n">
        <v>37</v>
      </c>
      <c r="J64" s="4325" t="n">
        <f t="array" ref="J64">IFERROR(G64*I64,0)</f>
        <v>2479</v>
      </c>
      <c r="K64" s="2946" t="n">
        <v>37</v>
      </c>
      <c r="L64" s="2947" t="inlineStr">
        <is>
          <t xml:space="preserve">MATCH</t>
        </is>
      </c>
      <c r="M64" s="2948" t="inlineStr">
        <is>
          <t xml:space="preserve">Alibaba $37 (1-49 pcs), $34 (50+). Link LIVE. Verified 4/27.</t>
        </is>
      </c>
      <c r="N64" s="2949" t="n"/>
      <c r="O64" s="2908" t="n"/>
    </row>
    <row r="65" s="3154" customFormat="1" ht="13.5" customHeight="1">
      <c r="A65" s="2995" t="inlineStr">
        <is>
          <t xml:space="preserve">BA-27</t>
        </is>
      </c>
      <c r="B65" s="2984" t="inlineStr">
        <is>
          <t xml:space="preserve">Bathroom Door Lock</t>
        </is>
      </c>
      <c r="C65" s="2984" t="inlineStr">
        <is>
          <t xml:space="preserve">Koppalive 901-A solid brass square lever door handle; mortise interior lock set; US standard; contemporary/modern; privacy/passage/invisible lock options; 72x55mm lock body; fits 30-50mm doors; 1-year warranty</t>
        </is>
      </c>
      <c r="D65" s="2984" t="inlineStr">
        <is>
          <t xml:space="preserve">Koppalive (Zhejiang Zhangshi Hardware)</t>
        </is>
      </c>
      <c r="E65" s="3024" t="inlineStr">
        <is>
          <t xml:space="preserve">https://www.alibaba.com/product-detail/Koppalive-Door-Hardware-Square-Solid-Brass_62313844810.html</t>
        </is>
      </c>
      <c r="F65" s="2984" t="inlineStr">
        <is>
          <t xml:space="preserve">each</t>
        </is>
      </c>
      <c r="G65" s="3025" t="n">
        <f t="array" ref="G65">$B$12</f>
        <v>67</v>
      </c>
      <c r="H65" s="2984" t="inlineStr">
        <is>
          <t xml:space="preserve">$40–45</t>
        </is>
      </c>
      <c r="I65" s="2944" t="n">
        <v>42.5</v>
      </c>
      <c r="J65" s="4325" t="n">
        <f t="array" ref="J65">IFERROR(G65*I65,0)</f>
        <v>2847.5</v>
      </c>
      <c r="K65" s="2946" t="n">
        <v>42.5</v>
      </c>
      <c r="L65" s="2947" t="inlineStr">
        <is>
          <t xml:space="preserve">MATCH</t>
        </is>
      </c>
      <c r="M65" s="2948" t="inlineStr">
        <is>
          <t xml:space="preserve">Same as GR-13. $40-$45; sheet $42.50. Link LIVE. Verified 4/25.</t>
        </is>
      </c>
      <c r="N65" s="2949" t="n"/>
      <c r="O65" s="2908" t="n"/>
    </row>
    <row r="66" s="3154" customFormat="1" ht="13.5" customHeight="1">
      <c r="A66" s="2962" t="inlineStr">
        <is>
          <t xml:space="preserve">BA-27A</t>
        </is>
      </c>
      <c r="B66" s="2962" t="inlineStr">
        <is>
          <t xml:space="preserve">Bathroom Door</t>
        </is>
      </c>
      <c r="C66" s="2962" t="inlineStr">
        <is>
          <t xml:space="preserve">JBD commercial grade fire rated solid wood door; 60/90/120 min; intumescent strip + smoke barrier; UL listed; CE certified; prehung; modern finish; 5-year warranty; GC installed; 2'6" wide (non-ADA) / 3' wide (ADA)</t>
        </is>
      </c>
      <c r="D66" s="2962" t="inlineStr">
        <is>
          <t xml:space="preserve">Foshan JBD Home Building Material</t>
        </is>
      </c>
      <c r="E66" s="3026" t="inlineStr">
        <is>
          <t xml:space="preserve">https://www.alibaba.com/product-detail/Commercial-Grade-60-90-120-Minute_1601698199523.html</t>
        </is>
      </c>
      <c r="F66" s="2962" t="inlineStr">
        <is>
          <t xml:space="preserve">ea</t>
        </is>
      </c>
      <c r="G66" s="3004" t="n">
        <f t="array" ref="G66">$B$12</f>
        <v>67</v>
      </c>
      <c r="H66" s="2962" t="inlineStr">
        <is>
          <t xml:space="preserve">$108–128</t>
        </is>
      </c>
      <c r="I66" s="2963" t="n">
        <v>118</v>
      </c>
      <c r="J66" s="4319" t="n">
        <f t="array" ref="J66">IFERROR(G66*I66,0)</f>
        <v>7906</v>
      </c>
      <c r="K66" s="2946" t="n">
        <v>118</v>
      </c>
      <c r="L66" s="2947" t="inlineStr">
        <is>
          <t xml:space="preserve">MATCH</t>
        </is>
      </c>
      <c r="M66" s="2948" t="inlineStr">
        <is>
          <t xml:space="preserve">Same as GR-13A. $118 match. Link LIVE. Verified 4/25.</t>
        </is>
      </c>
      <c r="N66" s="2949" t="n"/>
      <c r="O66" s="2908" t="n"/>
    </row>
    <row r="67" s="3154" customFormat="1" ht="13.5" customHeight="1">
      <c r="A67" s="3008" t="inlineStr">
        <is>
          <t xml:space="preserve">  LOBBY &amp; COMMON AREA (LB)</t>
        </is>
      </c>
      <c r="B67" s="3009" t="n"/>
      <c r="C67" s="3009" t="n"/>
      <c r="D67" s="3009" t="n"/>
      <c r="E67" s="3010" t="n"/>
      <c r="F67" s="3009" t="n"/>
      <c r="G67" s="3009" t="n"/>
      <c r="H67" s="2937" t="n"/>
      <c r="I67" s="2937" t="n"/>
      <c r="J67" s="3011" t="n"/>
      <c r="K67" s="2939" t="n"/>
      <c r="L67" s="2939" t="n"/>
      <c r="M67" s="2939" t="n"/>
      <c r="N67" s="50" t="n"/>
      <c r="O67" s="2908" t="n"/>
    </row>
    <row r="68" s="3154" customFormat="1" ht="13.5" customHeight="1">
      <c r="A68" s="2940" t="inlineStr">
        <is>
          <t xml:space="preserve">LB-03</t>
        </is>
      </c>
      <c r="B68" s="2940" t="inlineStr">
        <is>
          <t xml:space="preserve">Bench</t>
        </is>
      </c>
      <c r="C68" s="2940" t="inlineStr">
        <is>
          <t xml:space="preserve">Custom modern iron park bench; powder-coated; outdoor patio; metal; factory direct; custom color</t>
        </is>
      </c>
      <c r="D68" s="2940" t="inlineStr">
        <is>
          <t xml:space="preserve">Guangzhou Max Metal Product Factory</t>
        </is>
      </c>
      <c r="E68" s="2941" t="inlineStr">
        <is>
          <t xml:space="preserve">https://www.alibaba.com/product-detail/Custom-Modern-Iron-Park-Benches-Leisure_1600619337486.html</t>
        </is>
      </c>
      <c r="F68" s="2940" t="inlineStr">
        <is>
          <t xml:space="preserve">each</t>
        </is>
      </c>
      <c r="G68" s="3022" t="n">
        <v>1</v>
      </c>
      <c r="H68" s="2943" t="inlineStr">
        <is>
          <t xml:space="preserve">$115</t>
        </is>
      </c>
      <c r="I68" s="2979" t="n">
        <v>115</v>
      </c>
      <c r="J68" s="4325" t="n">
        <f t="array" ref="J68">IFERROR(G68*I68,0)</f>
        <v>115</v>
      </c>
      <c r="K68" s="2946" t="n">
        <v>115</v>
      </c>
      <c r="L68" s="2952" t="inlineStr">
        <is>
          <t xml:space="preserve">MATCH</t>
        </is>
      </c>
      <c r="M68" s="2948" t="inlineStr">
        <is>
          <t xml:space="preserve">Reinstated per user. Qty=1. Alibaba $115 match. Link LIVE. Verified 4/25.</t>
        </is>
      </c>
      <c r="N68" s="2949" t="n"/>
      <c r="O68" s="2908" t="n"/>
    </row>
    <row r="69" s="3154" customFormat="1" ht="13.5" customHeight="1">
      <c r="A69" s="2940" t="inlineStr">
        <is>
          <t xml:space="preserve">LB-05</t>
        </is>
      </c>
      <c r="B69" s="2940" t="inlineStr">
        <is>
          <t xml:space="preserve">Drinking Water Fountain</t>
        </is>
      </c>
      <c r="C69" s="2940" t="inlineStr">
        <is>
          <t xml:space="preserve">Wall-mounted sensor-activated drinking water cooler + bottle filling station; 304 stainless steel; cold water; electric; POU; CE certified; 485×455×1083mm; energy-saving</t>
        </is>
      </c>
      <c r="D69" s="2940" t="inlineStr">
        <is>
          <t xml:space="preserve">Guangdong Guangchun Energy Saving Equipment Co.</t>
        </is>
      </c>
      <c r="E69" s="2941" t="inlineStr">
        <is>
          <t xml:space="preserve">https://www.alibaba.com/product-detail/Factory-Supply-Sensor-Activation-Drinking-Water_1601559169857.html</t>
        </is>
      </c>
      <c r="F69" s="2940" t="inlineStr">
        <is>
          <t xml:space="preserve">each</t>
        </is>
      </c>
      <c r="G69" s="3022" t="n">
        <v>1</v>
      </c>
      <c r="H69" s="3027" t="inlineStr">
        <is>
          <t xml:space="preserve">$450-498</t>
        </is>
      </c>
      <c r="I69" s="2963" t="n">
        <v>474</v>
      </c>
      <c r="J69" s="4328" t="n">
        <f t="array" ref="J69">IFERROR(G69*I69,0)</f>
        <v>474</v>
      </c>
      <c r="K69" s="2946" t="n">
        <v>474</v>
      </c>
      <c r="L69" s="2947" t="inlineStr">
        <is>
          <t xml:space="preserve">MATCH</t>
        </is>
      </c>
      <c r="M69" s="2948" t="inlineStr">
        <is>
          <t xml:space="preserve">Alibaba $450-$498; sheet $474 within range. Link LIVE. Verified 4/25.</t>
        </is>
      </c>
      <c r="N69" s="2949" t="n"/>
      <c r="O69" s="2908" t="n"/>
    </row>
    <row r="70" s="3154" customFormat="1" ht="13.5" customHeight="1">
      <c r="A70" s="3029" t="inlineStr">
        <is>
          <t xml:space="preserve">LB-06</t>
        </is>
      </c>
      <c r="B70" s="3029" t="inlineStr">
        <is>
          <t xml:space="preserve">Smart Parcel / Luggage Locker</t>
        </is>
      </c>
      <c r="C70" s="3029" t="inlineStr">
        <is>
          <t xml:space="preserve">Yinlong smart parcel locker; self pick-up express; payment function; non-touch intelligent delivery digital locker</t>
        </is>
      </c>
      <c r="D70" s="3029" t="inlineStr">
        <is>
          <t xml:space="preserve">Luoyang Yinlong Office Furniture</t>
        </is>
      </c>
      <c r="E70" s="3030" t="inlineStr">
        <is>
          <t xml:space="preserve">https://www.alibaba.com/product-detail/Yinlong-Smart-Parcel-Locker-Self-Pick_1601766366133.html</t>
        </is>
      </c>
      <c r="F70" s="3029" t="inlineStr">
        <is>
          <t xml:space="preserve">each</t>
        </is>
      </c>
      <c r="G70" s="3031" t="n">
        <v>2</v>
      </c>
      <c r="H70" s="3032" t="inlineStr">
        <is>
          <t xml:space="preserve">$799 (1-4), $699 (5+)</t>
        </is>
      </c>
      <c r="I70" s="3033" t="n">
        <v>799</v>
      </c>
      <c r="J70" s="4329" t="n">
        <f t="array" ref="J70">IFERROR(G70*I70,0)</f>
        <v>1598</v>
      </c>
      <c r="K70" s="2946" t="n">
        <v>799</v>
      </c>
      <c r="L70" s="2947" t="inlineStr">
        <is>
          <t xml:space="preserve">MATCH</t>
        </is>
      </c>
      <c r="M70" s="2948" t="inlineStr">
        <is>
          <t xml:space="preserve">New link (smart parcel locker). $799 (1-4 tier at 2 units). Verified 4/25.</t>
        </is>
      </c>
      <c r="N70" s="2949" t="n"/>
      <c r="O70" s="2908" t="n"/>
    </row>
    <row r="71" s="3154" customFormat="1" ht="13.5" customHeight="1">
      <c r="A71" s="2940" t="inlineStr">
        <is>
          <t xml:space="preserve">LB-07</t>
        </is>
      </c>
      <c r="B71" s="2940" t="inlineStr">
        <is>
          <t xml:space="preserve">Common Area Table</t>
        </is>
      </c>
      <c r="C71" s="2940" t="inlineStr">
        <is>
          <t xml:space="preserve">Solid wood 6ft/8ft thick top dining table; modern rectangular; oak/pine; custom size; hotel/restaurant use; MOQ 2</t>
        </is>
      </c>
      <c r="D71" s="2940" t="inlineStr">
        <is>
          <t xml:space="preserve">Chongqing Bilido Furniture Co.</t>
        </is>
      </c>
      <c r="E71" s="2941" t="inlineStr">
        <is>
          <t xml:space="preserve">https://www.alibaba.com/product-detail/Solid-Wood-Large-6ft-8ft-Thick_1600734690943.html</t>
        </is>
      </c>
      <c r="F71" s="2940" t="inlineStr">
        <is>
          <t xml:space="preserve">each</t>
        </is>
      </c>
      <c r="G71" s="3022" t="n">
        <v>4</v>
      </c>
      <c r="H71" s="2943" t="inlineStr">
        <is>
          <t xml:space="preserve">$154–606</t>
        </is>
      </c>
      <c r="I71" s="2979" t="n">
        <v>380</v>
      </c>
      <c r="J71" s="4330" t="n">
        <f t="array" ref="J71">IFERROR(G71*I71,0)</f>
        <v>1520</v>
      </c>
      <c r="K71" s="2946" t="n">
        <v>380</v>
      </c>
      <c r="L71" s="2947" t="inlineStr">
        <is>
          <t xml:space="preserve">MATCH</t>
        </is>
      </c>
      <c r="M71" s="2948" t="inlineStr">
        <is>
          <t xml:space="preserve">Alibaba $154.70-$606.17; sheet $380 within range. Link LIVE. Verified 4/25.</t>
        </is>
      </c>
      <c r="N71" s="2949" t="n"/>
      <c r="O71" s="2908" t="n"/>
    </row>
    <row r="72" s="3154" customFormat="1" ht="13.5" customHeight="1">
      <c r="A72" s="2940" t="inlineStr">
        <is>
          <t xml:space="preserve">LB-09</t>
        </is>
      </c>
      <c r="B72" s="2940" t="inlineStr">
        <is>
          <t xml:space="preserve">Entry Door Carpet</t>
        </is>
      </c>
      <c r="C72" s="2940" t="inlineStr">
        <is>
          <t xml:space="preserve">Commercial custom printed nylon logo mat; rubber backing; non-slip; 3-7mm thick; custom Sleep Space branding; CRI + CE certified</t>
        </is>
      </c>
      <c r="D72" s="2940" t="inlineStr">
        <is>
          <t xml:space="preserve">Shanghai Fairmont Industries</t>
        </is>
      </c>
      <c r="E72" s="2941" t="inlineStr">
        <is>
          <t xml:space="preserve">https://www.alibaba.com/product-detail/Commercial-Carpet-Black-Logo-Mat-Custom_1601389033607.html</t>
        </is>
      </c>
      <c r="F72" s="2940" t="inlineStr">
        <is>
          <t xml:space="preserve">each</t>
        </is>
      </c>
      <c r="G72" s="2942" t="n">
        <v>2</v>
      </c>
      <c r="H72" s="2950" t="inlineStr">
        <is>
          <t xml:space="preserve">$490-690</t>
        </is>
      </c>
      <c r="I72" s="2944" t="n">
        <v>590</v>
      </c>
      <c r="J72" s="4319" t="n">
        <f t="array" ref="J72">IFERROR(G72*I72,0)</f>
        <v>1180</v>
      </c>
      <c r="K72" s="2946" t="n">
        <v>6.9</v>
      </c>
      <c r="L72" s="2947" t="inlineStr">
        <is>
          <t xml:space="preserve">PRICE MISMATCH</t>
        </is>
      </c>
      <c r="M72" s="2948" t="inlineStr">
        <is>
          <t xml:space="preserve">Qty updated to 2. Alibaba shows $6.90 (1-4), $5.90 (5-49). Sheet Est$=590. Either wrong link or wrong price. Verified 4/25.</t>
        </is>
      </c>
      <c r="N72" s="2949" t="n"/>
      <c r="O72" s="2908" t="n"/>
    </row>
    <row r="73" s="3154" customFormat="1" ht="13.5" customHeight="1">
      <c r="A73" s="2940" t="inlineStr">
        <is>
          <t xml:space="preserve">LB-10</t>
        </is>
      </c>
      <c r="B73" s="2940" t="inlineStr">
        <is>
          <t xml:space="preserve">Recycling / Trash Bins</t>
        </is>
      </c>
      <c r="C73" s="2940" t="inlineStr">
        <is>
          <t xml:space="preserve">52L stainless steel sorting/recycling bin; open top; galvanized steel inner liner; powder coated; 350×350×750mm; indoor; eco-friendly</t>
        </is>
      </c>
      <c r="D73" s="2940" t="inlineStr">
        <is>
          <t xml:space="preserve">Guangzhou Max Metal Product Factory</t>
        </is>
      </c>
      <c r="E73" s="2941" t="inlineStr">
        <is>
          <t xml:space="preserve">https://www.alibaba.com/product-detail/Shopping-Centres-Sorting-Recycling-Rubbish-Bins_1600941476437.html</t>
        </is>
      </c>
      <c r="F73" s="2940" t="inlineStr">
        <is>
          <t xml:space="preserve">each</t>
        </is>
      </c>
      <c r="G73" s="3022" t="n">
        <v>10</v>
      </c>
      <c r="H73" s="2950" t="inlineStr">
        <is>
          <t xml:space="preserve">$33-45</t>
        </is>
      </c>
      <c r="I73" s="2944" t="n">
        <v>45.1</v>
      </c>
      <c r="J73" s="4325" t="n">
        <f t="array" ref="J73">IFERROR(G73*I73,0)</f>
        <v>451</v>
      </c>
      <c r="K73" s="2946" t="n">
        <v>45.1</v>
      </c>
      <c r="L73" s="2947" t="inlineStr">
        <is>
          <t xml:space="preserve">MATCH</t>
        </is>
      </c>
      <c r="M73" s="2948" t="inlineStr">
        <is>
          <t xml:space="preserve">Alibaba $33-$45.10; sheet $45.10 at top of range. Link LIVE. Verified 4/25.</t>
        </is>
      </c>
      <c r="N73" s="2949" t="n"/>
      <c r="O73" s="2908" t="n"/>
    </row>
    <row r="74" s="3154" customFormat="1" ht="13.5" customHeight="1">
      <c r="A74" s="2940" t="inlineStr">
        <is>
          <t xml:space="preserve">LB-12</t>
        </is>
      </c>
      <c r="B74" s="2940" t="inlineStr">
        <is>
          <t xml:space="preserve">Lobby Coffee Station</t>
        </is>
      </c>
      <c r="C74" s="2940" t="inlineStr">
        <is>
          <t xml:space="preserve">JURA GIGA X8 professional automatic coffee machine; 4.3" touchscreen; dual thermoblock; dual ceramic grinders; P.E.P.; up to 200 cups/day; Smart Connect; I.W.S. RFID water filter; variable dual spout; Swiss Made</t>
        </is>
      </c>
      <c r="D74" s="2940" t="inlineStr">
        <is>
          <t xml:space="preserve">JURA</t>
        </is>
      </c>
      <c r="E74" s="2941" t="inlineStr">
        <is>
          <t xml:space="preserve">https://shopjura.com/giga-x8-professional.html</t>
        </is>
      </c>
      <c r="F74" s="2940" t="inlineStr">
        <is>
          <t xml:space="preserve">each</t>
        </is>
      </c>
      <c r="G74" s="2942" t="n">
        <v>1</v>
      </c>
      <c r="H74" s="2950" t="inlineStr">
        <is>
          <t xml:space="preserve">$9,999</t>
        </is>
      </c>
      <c r="I74" s="2944" t="n">
        <v>9999</v>
      </c>
      <c r="J74" s="4319" t="n">
        <f t="array" ref="J74">IFERROR(G74*I74,0)</f>
        <v>9999</v>
      </c>
      <c r="K74" s="2946" t="n">
        <v>9999</v>
      </c>
      <c r="L74" s="2947" t="inlineStr">
        <is>
          <t xml:space="preserve">MATCH</t>
        </is>
      </c>
      <c r="M74" s="2948" t="inlineStr">
        <is>
          <t xml:space="preserve">shopjura.com; $9,999 confirmed. Verified prior session.</t>
        </is>
      </c>
      <c r="N74" s="2949" t="n"/>
      <c r="O74" s="2908" t="n"/>
    </row>
    <row r="75" s="3154" customFormat="1" ht="13.5" customHeight="1">
      <c r="A75" s="3016" t="inlineStr">
        <is>
          <t xml:space="preserve">LB-13</t>
        </is>
      </c>
      <c r="B75" s="3016" t="inlineStr">
        <is>
          <t xml:space="preserve">Commercial Orange Juicer</t>
        </is>
      </c>
      <c r="C75" s="3016" t="inlineStr">
        <is>
          <t xml:space="preserve">Baokang automatic commercial orange citrus juice extractor; 1200W; 220V; stainless steel; 3+ speed; 400×330×780mm; 55kg; pressure vessel core; CE; 1-year warranty</t>
        </is>
      </c>
      <c r="D75" s="3016" t="inlineStr">
        <is>
          <t xml:space="preserve">Guangzhou Baokang Western Kitchen Equipment Factory</t>
        </is>
      </c>
      <c r="E75" s="3017" t="inlineStr">
        <is>
          <t xml:space="preserve">https://www.alibaba.com/product-detail/Commercial-Automatic-Orange-Citrus-Juice-Extractor_1601602162020.html</t>
        </is>
      </c>
      <c r="F75" s="3016" t="inlineStr">
        <is>
          <t xml:space="preserve">each</t>
        </is>
      </c>
      <c r="G75" s="3018" t="n">
        <v>1</v>
      </c>
      <c r="H75" s="3019" t="inlineStr">
        <is>
          <t xml:space="preserve">$385–410</t>
        </is>
      </c>
      <c r="I75" s="3020" t="n">
        <v>410</v>
      </c>
      <c r="J75" s="4327" t="n">
        <f t="array" ref="J75">IFERROR(G75*I75,0)</f>
        <v>410</v>
      </c>
      <c r="K75" s="2946" t="n">
        <v>410</v>
      </c>
      <c r="L75" s="2947" t="inlineStr">
        <is>
          <t xml:space="preserve">MATCH</t>
        </is>
      </c>
      <c r="M75" s="2948" t="inlineStr">
        <is>
          <t xml:space="preserve">Alibaba $410 exact match (1-9 tier). Link LIVE. Verified 4/25.</t>
        </is>
      </c>
      <c r="N75" s="2949" t="n"/>
      <c r="O75" s="2908" t="n"/>
    </row>
    <row r="76" s="3154" customFormat="1" ht="13.5" customHeight="1">
      <c r="A76" s="3016" t="inlineStr">
        <is>
          <t xml:space="preserve">LB-14</t>
        </is>
      </c>
      <c r="B76" s="3016" t="inlineStr">
        <is>
          <t xml:space="preserve">Nugget Ice Maker</t>
        </is>
      </c>
      <c r="C76" s="3016" t="inlineStr">
        <is>
          <t xml:space="preserve">SKOFO SKF-SCT80JW countertop nugget ice maker; 60kg/day; 5kg bin; stainless steel; 450W; R290 refrigerant; touchpad control; tap water or bottled water input; filter provided; Class A energy; ETL/RoHS/REACH certified; 1-year warranty</t>
        </is>
      </c>
      <c r="D76" s="3016" t="inlineStr">
        <is>
          <t xml:space="preserve">Cixi Jirui Electric Appliance Co. (SKOFO)</t>
        </is>
      </c>
      <c r="E76" s="3017" t="inlineStr">
        <is>
          <t xml:space="preserve">https://www.alibaba.com/product-detail/Hotel-Counter-Top-80kg-Day-Output_1601642126489.html</t>
        </is>
      </c>
      <c r="F76" s="3016" t="inlineStr">
        <is>
          <t xml:space="preserve">each</t>
        </is>
      </c>
      <c r="G76" s="3018" t="n">
        <v>1</v>
      </c>
      <c r="H76" s="3019" t="inlineStr">
        <is>
          <t xml:space="preserve">$725–760</t>
        </is>
      </c>
      <c r="I76" s="3020" t="n">
        <v>760</v>
      </c>
      <c r="J76" s="4327" t="n">
        <f t="array" ref="J76">IFERROR(G76*I76,0)</f>
        <v>760</v>
      </c>
      <c r="K76" s="2946" t="n">
        <v>760</v>
      </c>
      <c r="L76" s="2947" t="inlineStr">
        <is>
          <t xml:space="preserve">MATCH</t>
        </is>
      </c>
      <c r="M76" s="2948" t="inlineStr">
        <is>
          <t xml:space="preserve">Alibaba $760 exact match (1-99 tier). Link LIVE. Verified 4/25.</t>
        </is>
      </c>
      <c r="N76" s="2949" t="n"/>
      <c r="O76" s="2908" t="n"/>
    </row>
    <row r="77" s="3154" customFormat="1" ht="13.5" customHeight="1">
      <c r="A77" s="3016" t="inlineStr">
        <is>
          <t xml:space="preserve">LB-15</t>
        </is>
      </c>
      <c r="B77" s="3016" t="inlineStr">
        <is>
          <t xml:space="preserve">Commercial Waffle Maker</t>
        </is>
      </c>
      <c r="C77" s="3016" t="inlineStr">
        <is>
          <t xml:space="preserve">Rebenet WB-03A Belgian waffle maker; 1000W; 220-240V; timer control; non-stick cast aluminum plate; 18cm diameter; 3cm thick; triangle shape; 20 pcs/hr; 124-230°C; 255×440×320mm; 11kg; CE certified; 1-year warranty</t>
        </is>
      </c>
      <c r="D77" s="3016" t="inlineStr">
        <is>
          <t xml:space="preserve">Guangzhou Rebenet Catering Equipment Mfg.</t>
        </is>
      </c>
      <c r="E77" s="3017" t="inlineStr">
        <is>
          <t xml:space="preserve">https://www.alibaba.com/product-detail/20-Blegian-Waffle-Per-Hour-1000W_1601221781290.html</t>
        </is>
      </c>
      <c r="F77" s="3016" t="inlineStr">
        <is>
          <t xml:space="preserve">each</t>
        </is>
      </c>
      <c r="G77" s="3018" t="n">
        <v>1</v>
      </c>
      <c r="H77" s="3019" t="inlineStr">
        <is>
          <t xml:space="preserve">$149–168</t>
        </is>
      </c>
      <c r="I77" s="3020" t="n">
        <v>168</v>
      </c>
      <c r="J77" s="4327" t="n">
        <f t="array" ref="J77">IFERROR(G77*I77,0)</f>
        <v>168</v>
      </c>
      <c r="K77" s="2946" t="n">
        <v>168</v>
      </c>
      <c r="L77" s="2947" t="inlineStr">
        <is>
          <t xml:space="preserve">MATCH</t>
        </is>
      </c>
      <c r="M77" s="2948" t="inlineStr">
        <is>
          <t xml:space="preserve">Alibaba $168 exact match (5-49 tier). Link LIVE. Verified 4/25.</t>
        </is>
      </c>
      <c r="N77" s="2949" t="n"/>
      <c r="O77" s="2908" t="n"/>
    </row>
    <row r="78" s="3154" customFormat="1" ht="13.5" customHeight="1">
      <c r="A78" s="3036" t="inlineStr">
        <is>
          <t xml:space="preserve">LB-16</t>
        </is>
      </c>
      <c r="B78" s="3036" t="inlineStr">
        <is>
          <t xml:space="preserve">High-Back Accent Lounge Chair</t>
        </is>
      </c>
      <c r="C78" s="3036" t="inlineStr">
        <is>
          <t xml:space="preserve">High-back accent leisure lounge chair; swivel steel base; injection foam; soft comfort design; W782×D804×H1050mm; Foshan Guoshen Furniture</t>
        </is>
      </c>
      <c r="D78" s="3036" t="inlineStr">
        <is>
          <t xml:space="preserve">Foshan Guoshen Furniture Co.</t>
        </is>
      </c>
      <c r="E78" s="3036" t="inlineStr">
        <is>
          <t xml:space="preserve">https://www.alibaba.com/product-detail/High-Back-Accent-Leisure-Lounge-Chair_1601719628602.html</t>
        </is>
      </c>
      <c r="F78" s="3036" t="inlineStr">
        <is>
          <t xml:space="preserve">each</t>
        </is>
      </c>
      <c r="G78" s="3037" t="n">
        <v>4</v>
      </c>
      <c r="H78" s="718" t="inlineStr">
        <is>
          <t xml:space="preserve">$138–152</t>
        </is>
      </c>
      <c r="I78" s="3038" t="n">
        <v>145</v>
      </c>
      <c r="J78" s="4320" t="n">
        <f t="array" ref="J78">IFERROR(G78*I78,0)</f>
        <v>580</v>
      </c>
      <c r="K78" s="2956" t="inlineStr">
        <is>
          <t xml:space="preserve">$138–152</t>
        </is>
      </c>
      <c r="L78" s="2957" t="n"/>
      <c r="M78" s="2957" t="n"/>
      <c r="N78" s="50" t="n"/>
      <c r="O78" s="2908" t="n"/>
    </row>
    <row r="79" s="3154" customFormat="1" ht="13.5" customHeight="1">
      <c r="A79" s="3008" t="inlineStr">
        <is>
          <t xml:space="preserve">  CORRIDOR &amp; EXTERIOR (CO)</t>
        </is>
      </c>
      <c r="B79" s="3009" t="n"/>
      <c r="C79" s="3009" t="n"/>
      <c r="D79" s="3009" t="n"/>
      <c r="E79" s="3039" t="inlineStr">
        <is>
          <t xml:space="preserve">https://www.alibaba.com/product-detail/Daheng-LED-Lawn-Lamp-Aluminum-Body_1601589933011.html</t>
        </is>
      </c>
      <c r="F79" s="3009" t="n"/>
      <c r="G79" s="3009" t="n"/>
      <c r="H79" s="3009" t="n"/>
      <c r="I79" s="2937" t="n"/>
      <c r="J79" s="3011" t="n"/>
      <c r="K79" s="2927" t="n"/>
      <c r="L79" s="2927" t="n"/>
      <c r="M79" s="2927" t="n"/>
      <c r="N79" s="50" t="n"/>
      <c r="O79" s="2908" t="n"/>
    </row>
    <row r="80" s="3154" customFormat="1" ht="13.5" customHeight="1">
      <c r="A80" s="2940" t="inlineStr">
        <is>
          <t xml:space="preserve">CO-01</t>
        </is>
      </c>
      <c r="B80" s="3012" t="inlineStr">
        <is>
          <t xml:space="preserve">Bollards &amp; Exterior Pathway Lights</t>
        </is>
      </c>
      <c r="C80" s="2981" t="inlineStr">
        <is>
          <t xml:space="preserve">LED bollard lawn lamp; aluminum body; IP65; 7W/10W; 100-277V AC; 2700K warm white; CRI 80; 50,000hr; matt black; 3yr warranty</t>
        </is>
      </c>
      <c r="D80" s="2981" t="inlineStr">
        <is>
          <t xml:space="preserve">Zhongshan Daheng Lighting Co.</t>
        </is>
      </c>
      <c r="E80" s="2982" t="inlineStr">
        <is>
          <t xml:space="preserve">https://www.alibaba.com/product-detail/Daheng-LED-Lawn-Lamp-Aluminum-Body_1601589933011.html</t>
        </is>
      </c>
      <c r="F80" s="2981" t="inlineStr">
        <is>
          <t xml:space="preserve">each</t>
        </is>
      </c>
      <c r="G80" s="2983" t="n">
        <v>10</v>
      </c>
      <c r="H80" s="3013" t="inlineStr">
        <is>
          <t xml:space="preserve">$45-60</t>
        </is>
      </c>
      <c r="I80" s="3014" t="n">
        <v>52.5</v>
      </c>
      <c r="J80" s="4319" t="n">
        <f t="array" ref="J80">IFERROR(G80*I80,0)</f>
        <v>525</v>
      </c>
      <c r="K80" s="2946" t="n">
        <v>52.5</v>
      </c>
      <c r="L80" s="2947" t="inlineStr">
        <is>
          <t xml:space="preserve">MATCH</t>
        </is>
      </c>
      <c r="M80" s="2948" t="inlineStr">
        <is>
          <t xml:space="preserve">Alibaba $45-$60; sheet $52.50 within range. Link LIVE. Verified 4/25.</t>
        </is>
      </c>
      <c r="N80" s="2949" t="n"/>
      <c r="O80" s="2908" t="n"/>
    </row>
    <row r="81" s="3154" customFormat="1" ht="13.5" customHeight="1">
      <c r="A81" s="2940" t="inlineStr">
        <is>
          <t xml:space="preserve">CO-02</t>
        </is>
      </c>
      <c r="B81" s="2940" t="inlineStr">
        <is>
          <t xml:space="preserve">Tactile Warning Surfaces</t>
        </is>
      </c>
      <c r="C81" s="2940" t="inlineStr">
        <is>
          <t xml:space="preserve">ADA tactile warning tile; SMC ceramic; 12mm thick; 300×300mm; non-slip; wear-resistant; acid-resistant; red; AS 4586 certified</t>
        </is>
      </c>
      <c r="D81" s="2940" t="inlineStr">
        <is>
          <t xml:space="preserve">Shanghai Dofiberone Composites Co.</t>
        </is>
      </c>
      <c r="E81" s="2941" t="inlineStr">
        <is>
          <t xml:space="preserve">https://www.alibaba.com/product-detail/USA-and-Europe-Standard-12mm-Thick_387547704.html</t>
        </is>
      </c>
      <c r="F81" s="2940" t="inlineStr">
        <is>
          <t xml:space="preserve">each</t>
        </is>
      </c>
      <c r="G81" s="3022" t="n">
        <v>10</v>
      </c>
      <c r="H81" s="2994" t="inlineStr">
        <is>
          <t xml:space="preserve">$6-20</t>
        </is>
      </c>
      <c r="I81" s="2944" t="n">
        <v>13</v>
      </c>
      <c r="J81" s="4325" t="n">
        <f t="array" ref="J81">IFERROR(G81*I81,0)</f>
        <v>130</v>
      </c>
      <c r="K81" s="2946" t="n">
        <v>13</v>
      </c>
      <c r="L81" s="2947" t="inlineStr">
        <is>
          <t xml:space="preserve">MATCH</t>
        </is>
      </c>
      <c r="M81" s="2948" t="inlineStr">
        <is>
          <t xml:space="preserve">Alibaba $6-$20; sheet $13 within range. Link LIVE. Verified 4/25.</t>
        </is>
      </c>
      <c r="N81" s="2949" t="n"/>
      <c r="O81" s="2908" t="n"/>
    </row>
    <row r="82" s="3154" customFormat="1" ht="13.5" customHeight="1">
      <c r="A82" s="2940" t="inlineStr">
        <is>
          <t xml:space="preserve">CO-03</t>
        </is>
      </c>
      <c r="B82" s="2940" t="inlineStr">
        <is>
          <t xml:space="preserve">Privacy Fence</t>
        </is>
      </c>
      <c r="C82" s="2940" t="inlineStr">
        <is>
          <t xml:space="preserve">European-style black welded steel privacy fence; CE/ISO certified; powder-coated; colors: black/green/silver; MOQ 1 sq m</t>
        </is>
      </c>
      <c r="D82" s="2940" t="inlineStr">
        <is>
          <t xml:space="preserve">Hebei Blackgold Metal Products Co. (Verified, 4.8/5, CE)</t>
        </is>
      </c>
      <c r="E82" s="2941" t="inlineStr">
        <is>
          <t xml:space="preserve">https://www.alibaba.com/product-detail/Black-Aluminum-Privacy-Fence-Easy-to_62255491766.html</t>
        </is>
      </c>
      <c r="F82" s="2940" t="inlineStr">
        <is>
          <t xml:space="preserve">sq m</t>
        </is>
      </c>
      <c r="G82" s="3022" t="n">
        <v>200</v>
      </c>
      <c r="H82" s="2950" t="inlineStr">
        <is>
          <t xml:space="preserve">$3.39–$5.58</t>
        </is>
      </c>
      <c r="I82" s="2944" t="n">
        <v>4.49</v>
      </c>
      <c r="J82" s="4325" t="n">
        <f t="array" ref="J82">IFERROR(G82*I82,0)</f>
        <v>898</v>
      </c>
      <c r="K82" s="2946" t="n">
        <v>4.49</v>
      </c>
      <c r="L82" s="2952" t="inlineStr">
        <is>
          <t xml:space="preserve">MINOR</t>
        </is>
      </c>
      <c r="M82" s="2948" t="inlineStr">
        <is>
          <t xml:space="preserve">Alibaba $49/sqm (100-499 MOQ); sheet $4.49. Pricing structure unclear. Link LIVE.</t>
        </is>
      </c>
      <c r="N82" s="2949" t="n"/>
      <c r="O82" s="2908" t="n"/>
    </row>
    <row r="83" s="3154" customFormat="1" ht="13.5" customHeight="1">
      <c r="A83" s="2940" t="inlineStr">
        <is>
          <t xml:space="preserve">CO-04</t>
        </is>
      </c>
      <c r="B83" s="2940" t="inlineStr">
        <is>
          <t xml:space="preserve">Door Handles (common)</t>
        </is>
      </c>
      <c r="C83" s="2940" t="inlineStr">
        <is>
          <t xml:space="preserve">Koppalive 901-A solid brass square lever door handle; mortise interior lock set; US standard; contemporary/modern; privacy/passage/invisible lock options; 72x55mm lock body; fits 30-50mm doors; 1-year warranty</t>
        </is>
      </c>
      <c r="D83" s="2940" t="inlineStr">
        <is>
          <t xml:space="preserve">Koppalive (Zhejiang Zhangshi Hardware)</t>
        </is>
      </c>
      <c r="E83" s="2941" t="inlineStr">
        <is>
          <t xml:space="preserve">https://www.alibaba.com/product-detail/Koppalive-Door-Hardware-Square-Solid-Brass_62313844810.html</t>
        </is>
      </c>
      <c r="F83" s="2940" t="inlineStr">
        <is>
          <t xml:space="preserve">each</t>
        </is>
      </c>
      <c r="G83" s="3022" t="n">
        <v>20</v>
      </c>
      <c r="H83" s="2950" t="inlineStr">
        <is>
          <t xml:space="preserve">$40–45</t>
        </is>
      </c>
      <c r="I83" s="2944" t="n">
        <v>42.5</v>
      </c>
      <c r="J83" s="4325" t="n">
        <f t="array" ref="J83">IFERROR(G83*I83,0)</f>
        <v>850</v>
      </c>
      <c r="K83" s="2946" t="n">
        <v>42.5</v>
      </c>
      <c r="L83" s="2947" t="inlineStr">
        <is>
          <t xml:space="preserve">MATCH</t>
        </is>
      </c>
      <c r="M83" s="2948" t="inlineStr">
        <is>
          <t xml:space="preserve">Same as GR-13. $40-$45; sheet $42.50. Link LIVE. Verified 4/25.</t>
        </is>
      </c>
      <c r="N83" s="2949" t="n"/>
      <c r="O83" s="2908" t="n"/>
    </row>
    <row r="84" s="3154" customFormat="1" ht="13.5" customHeight="1">
      <c r="A84" s="2940" t="inlineStr">
        <is>
          <t xml:space="preserve">CO-06</t>
        </is>
      </c>
      <c r="B84" s="2940" t="inlineStr">
        <is>
          <t xml:space="preserve">Wet Floor Sign</t>
        </is>
      </c>
      <c r="C84" s="2940" t="inlineStr">
        <is>
          <t xml:space="preserve">Nylon cloth 3-sided pop-up tripod wet floor caution cone; customizable; collapsible with storage tube</t>
        </is>
      </c>
      <c r="D84" s="2940" t="inlineStr">
        <is>
          <t xml:space="preserve">Alibaba Supplier</t>
        </is>
      </c>
      <c r="E84" s="2941" t="inlineStr">
        <is>
          <t xml:space="preserve">https://www.alibaba.com/product-detail/Customized-Replacement-Nylon-Cloth-Warning-Slippery_1600555285469.html</t>
        </is>
      </c>
      <c r="F84" s="2940" t="inlineStr">
        <is>
          <t xml:space="preserve">each</t>
        </is>
      </c>
      <c r="G84" s="3022" t="n">
        <v>15</v>
      </c>
      <c r="H84" s="2950" t="inlineStr">
        <is>
          <t xml:space="preserve">$6.50 (500-999), $5.50 (1000+)</t>
        </is>
      </c>
      <c r="I84" s="2944" t="n">
        <v>6.5</v>
      </c>
      <c r="J84" s="4325" t="n">
        <f t="array" ref="J84">IFERROR(G84*I84,0)</f>
        <v>97.5</v>
      </c>
      <c r="K84" s="2946" t="n">
        <v>6.5</v>
      </c>
      <c r="L84" s="2985" t="inlineStr">
        <is>
          <t xml:space="preserve">MATCH</t>
        </is>
      </c>
      <c r="M84" s="2948" t="inlineStr">
        <is>
          <t xml:space="preserve">New link. Qty=21 (one per bathroom). $6.50 (500-999 tier, below MOQ at 21). Verified 4/25.</t>
        </is>
      </c>
      <c r="N84" s="2949" t="n"/>
      <c r="O84" s="2908" t="n"/>
    </row>
    <row r="85" s="3154" customFormat="1" ht="13.5" customHeight="1">
      <c r="A85" s="3040" t="inlineStr">
        <is>
          <t xml:space="preserve">CO-07</t>
        </is>
      </c>
      <c r="B85" s="3041" t="inlineStr">
        <is>
          <t xml:space="preserve">Wall Corner Guards</t>
        </is>
      </c>
      <c r="C85" s="3041" t="inlineStr">
        <is>
          <t xml:space="preserve">L-shape PVC/PE angle corner guard protector; wall &amp; corridor protection; anti-bacterial, water-resistant, impact-resistant, eco-friendly; ISO9001; lifetime warranty; installed by GC</t>
        </is>
      </c>
      <c r="D85" s="3041" t="inlineStr">
        <is>
          <t xml:space="preserve">Tongxiang Guangsheng Plastic Industry Co.</t>
        </is>
      </c>
      <c r="E85" s="3042" t="inlineStr">
        <is>
          <t xml:space="preserve">https://www.alibaba.com/product-detail/L-Shape-Angle-Corner-Guard-Protector_1600460872042.html</t>
        </is>
      </c>
      <c r="F85" s="3041" t="inlineStr">
        <is>
          <t xml:space="preserve">m</t>
        </is>
      </c>
      <c r="G85" s="3043" t="n">
        <v>50</v>
      </c>
      <c r="H85" s="3044" t="inlineStr">
        <is>
          <t xml:space="preserve">$0.20–0.30</t>
        </is>
      </c>
      <c r="I85" s="2963" t="n">
        <v>0.25</v>
      </c>
      <c r="J85" s="4325" t="n">
        <f t="array" ref="J85">IFERROR(G85*I85,0)</f>
        <v>12.5</v>
      </c>
      <c r="K85" s="2946" t="n">
        <v>0.25</v>
      </c>
      <c r="L85" s="2947" t="inlineStr">
        <is>
          <t xml:space="preserve">MATCH</t>
        </is>
      </c>
      <c r="M85" s="2948" t="inlineStr">
        <is>
          <t xml:space="preserve">Alibaba $0.20-$0.30; sheet $0.25 within range. Link LIVE. Verified 4/25.</t>
        </is>
      </c>
      <c r="N85" s="2949" t="n"/>
      <c r="O85" s="2908" t="n"/>
    </row>
    <row r="86" s="3154" customFormat="1" ht="13.5" customHeight="1">
      <c r="A86" s="3008" t="inlineStr">
        <is>
          <t xml:space="preserve">  LAUNDRY — GUEST AMENITY (LA)  —  Free Guest Laundry is a Core Sleep Space Differentiator</t>
        </is>
      </c>
      <c r="B86" s="3009" t="n"/>
      <c r="C86" s="3009" t="n"/>
      <c r="D86" s="3009" t="n"/>
      <c r="E86" s="3039" t="inlineStr">
        <is>
          <t xml:space="preserve">https://www.fergusonhome.com/product/summary/1959964?uid=4636106</t>
        </is>
      </c>
      <c r="F86" s="3009" t="n"/>
      <c r="G86" s="3009" t="n"/>
      <c r="H86" s="3009" t="n"/>
      <c r="I86" s="2937" t="n"/>
      <c r="J86" s="3011" t="n"/>
      <c r="K86" s="2939" t="n"/>
      <c r="L86" s="2939" t="n"/>
      <c r="M86" s="2939" t="n"/>
      <c r="N86" s="50" t="n"/>
      <c r="O86" s="2908" t="n"/>
    </row>
    <row r="87" s="3154" customFormat="1" ht="13.5" customHeight="1">
      <c r="A87" s="2940" t="inlineStr">
        <is>
          <t xml:space="preserve">LA-01</t>
        </is>
      </c>
      <c r="B87" s="3012" t="inlineStr">
        <is>
          <t xml:space="preserve">Stacked Washer/Dryer (guest laundry)</t>
        </is>
      </c>
      <c r="C87" s="2981" t="inlineStr">
        <is>
          <t xml:space="preserve">Electrolux laundry center; 27in wide; 4.5 cu ft washer + 8 cu ft gas dryer; Perfect Steam; Predictive Dry; Energy Star; titanium; 32D×77H</t>
        </is>
      </c>
      <c r="D87" s="2981" t="inlineStr">
        <is>
          <t xml:space="preserve">Electrolux</t>
        </is>
      </c>
      <c r="E87" s="2982" t="inlineStr">
        <is>
          <t xml:space="preserve">https://www.fergusonhome.com/product/summary/1959964?uid=4636106</t>
        </is>
      </c>
      <c r="F87" s="2981" t="inlineStr">
        <is>
          <t xml:space="preserve">each</t>
        </is>
      </c>
      <c r="G87" s="2983" t="n">
        <v>3</v>
      </c>
      <c r="H87" s="3013" t="inlineStr">
        <is>
          <t xml:space="preserve">$1,999</t>
        </is>
      </c>
      <c r="I87" s="3014" t="n">
        <v>1999</v>
      </c>
      <c r="J87" s="4319" t="n">
        <f t="array" ref="J87">IFERROR(G87*I87,0)</f>
        <v>5997</v>
      </c>
      <c r="K87" s="2946" t="n">
        <v>1999</v>
      </c>
      <c r="L87" s="2947" t="inlineStr">
        <is>
          <t xml:space="preserve">MATCH</t>
        </is>
      </c>
      <c r="M87" s="2948" t="inlineStr">
        <is>
          <t xml:space="preserve">fergusonhome.com; $1,999 confirmed. Verified prior session.</t>
        </is>
      </c>
      <c r="N87" s="2949" t="n"/>
      <c r="O87" s="2908" t="n"/>
    </row>
    <row r="88" s="3154" customFormat="1" ht="13.5" customHeight="1">
      <c r="A88" s="2940" t="inlineStr">
        <is>
          <t xml:space="preserve">LA-05</t>
        </is>
      </c>
      <c r="B88" s="2940" t="inlineStr">
        <is>
          <t xml:space="preserve">Guest Ironing Board + Iron</t>
        </is>
      </c>
      <c r="C88" s="2940" t="inlineStr">
        <is>
          <t xml:space="preserve">Iron + ironing board; local purchase; 1 unit for laundry room</t>
        </is>
      </c>
      <c r="D88" s="2940" t="inlineStr">
        <is>
          <t xml:space="preserve">Local Supplier</t>
        </is>
      </c>
      <c r="E88" s="2941" t="inlineStr">
        <is>
          <t xml:space="preserve">Local purchase</t>
        </is>
      </c>
      <c r="F88" s="2940" t="inlineStr">
        <is>
          <t xml:space="preserve">ea</t>
        </is>
      </c>
      <c r="G88" s="2942" t="n">
        <v>1</v>
      </c>
      <c r="H88" s="3045" t="inlineStr">
        <is>
          <t xml:space="preserve">~$65</t>
        </is>
      </c>
      <c r="I88" s="2963" t="n">
        <v>65</v>
      </c>
      <c r="J88" s="4319" t="n">
        <f t="array" ref="J88">IFERROR(G88*I88,0)</f>
        <v>65</v>
      </c>
      <c r="K88" s="2946" t="n">
        <v>65</v>
      </c>
      <c r="L88" s="2985" t="inlineStr">
        <is>
          <t xml:space="preserve">LOCAL EST</t>
        </is>
      </c>
      <c r="M88" s="2948" t="inlineStr">
        <is>
          <t xml:space="preserve">Local purchase estimate. Commercial ironing board ~$30-40 + steam iron ~$25-35 = ~$65 total. Qty=1 for laundry room. Updated 4/25.</t>
        </is>
      </c>
      <c r="N88" s="2949" t="n"/>
      <c r="O88" s="2908" t="n"/>
    </row>
    <row r="89" s="3154" customFormat="1" ht="13.5" customHeight="1">
      <c r="A89" s="3046" t="inlineStr">
        <is>
          <t xml:space="preserve">  BACK OF HOUSE / OPERATIONS (BO)</t>
        </is>
      </c>
      <c r="B89" s="3047" t="n"/>
      <c r="C89" s="3047" t="n"/>
      <c r="D89" s="3047" t="n"/>
      <c r="E89" s="3048" t="inlineStr">
        <is>
          <t xml:space="preserve">https://www.alibaba.com/product-detail/Commercial-Laundry-Equipment-100kg-Washing-Machine_1601114310735.html</t>
        </is>
      </c>
      <c r="F89" s="3047" t="n"/>
      <c r="G89" s="3047" t="n"/>
      <c r="H89" s="2937" t="n"/>
      <c r="I89" s="2937" t="n"/>
      <c r="J89" s="3011" t="n"/>
      <c r="K89" s="2939" t="n"/>
      <c r="L89" s="2939" t="n"/>
      <c r="M89" s="2939" t="n"/>
      <c r="N89" s="50" t="n"/>
      <c r="O89" s="2908" t="n"/>
    </row>
    <row r="90" s="3154" customFormat="1" ht="13.5" customHeight="1">
      <c r="A90" s="3049" t="inlineStr">
        <is>
          <t xml:space="preserve">LA-02</t>
        </is>
      </c>
      <c r="B90" s="3049" t="inlineStr">
        <is>
          <t xml:space="preserve">Industrial Washer (operations)</t>
        </is>
      </c>
      <c r="C90" s="3049" t="inlineStr">
        <is>
          <t xml:space="preserve">ALANNA HG-100 100kg commercial industrial washing machine; fully automatic; touch screen; stainless steel; electric/steam heating; heavy duty; 220V/380V</t>
        </is>
      </c>
      <c r="D90" s="3049" t="inlineStr">
        <is>
          <t xml:space="preserve">Galton Co. (ALANNA)</t>
        </is>
      </c>
      <c r="E90" s="3050" t="inlineStr">
        <is>
          <t xml:space="preserve">https://www.alibaba.com/product-detail/Commercial-Laundry-Equipment-100kg-Washing-Machine_1601114310735.html</t>
        </is>
      </c>
      <c r="F90" s="3049" t="inlineStr">
        <is>
          <t xml:space="preserve">each</t>
        </is>
      </c>
      <c r="G90" s="3051" t="n">
        <v>2</v>
      </c>
      <c r="H90" s="3049" t="inlineStr">
        <is>
          <t xml:space="preserve">$3,285</t>
        </is>
      </c>
      <c r="I90" s="2979" t="n">
        <v>3285</v>
      </c>
      <c r="J90" s="4319" t="n">
        <f t="array" ref="J90">IFERROR(G90*I90,0)</f>
        <v>6570</v>
      </c>
      <c r="K90" s="2946" t="n">
        <v>3285</v>
      </c>
      <c r="L90" s="2947" t="inlineStr">
        <is>
          <t xml:space="preserve">USER OK</t>
        </is>
      </c>
      <c r="M90" s="2948" t="inlineStr">
        <is>
          <t xml:space="preserve">Alibaba shows $8,286 for 100kg machine; sheet $3,285 per user approval (different capacity). Link LIVE.</t>
        </is>
      </c>
      <c r="N90" s="2949" t="n"/>
      <c r="O90" s="2908" t="n"/>
    </row>
    <row r="91" s="3154" customFormat="1" ht="13.5" customHeight="1">
      <c r="A91" s="2940" t="inlineStr">
        <is>
          <t xml:space="preserve">BO-01</t>
        </is>
      </c>
      <c r="B91" s="3012" t="inlineStr">
        <is>
          <t xml:space="preserve">Janitorial Cart</t>
        </is>
      </c>
      <c r="C91" s="2981" t="inlineStr">
        <is>
          <t xml:space="preserve">Vikan HyGo mobile cleaning station; polypropylene/SS/metal; 70lb capacity; 4 swivel casters (2 locking); 2 shelves; lockable; narrow frame; 30.7"L x 20.9"W x 40.6"H; tool brackets hold up to 12 tools; disassemblable</t>
        </is>
      </c>
      <c r="D91" s="2981" t="inlineStr">
        <is>
          <t xml:space="preserve">Vikan</t>
        </is>
      </c>
      <c r="E91" s="2982" t="inlineStr">
        <is>
          <t xml:space="preserve">https://www.mscdirect.com/product/details/87667770</t>
        </is>
      </c>
      <c r="F91" s="2981" t="inlineStr">
        <is>
          <t xml:space="preserve">each</t>
        </is>
      </c>
      <c r="G91" s="2983" t="n">
        <v>2</v>
      </c>
      <c r="H91" s="3013" t="inlineStr">
        <is>
          <t xml:space="preserve">$575.84</t>
        </is>
      </c>
      <c r="I91" s="3052" t="n">
        <v>575.84</v>
      </c>
      <c r="J91" s="4319" t="n">
        <f t="array" ref="J91">IFERROR(G91*I91,0)</f>
        <v>1151.68</v>
      </c>
      <c r="K91" s="2946" t="n">
        <v>575.84</v>
      </c>
      <c r="L91" s="2947" t="inlineStr">
        <is>
          <t xml:space="preserve">MATCH</t>
        </is>
      </c>
      <c r="M91" s="2948" t="inlineStr">
        <is>
          <t xml:space="preserve">mscdirect.com; $575.84 confirmed. Verified prior session.</t>
        </is>
      </c>
      <c r="N91" s="2949" t="n"/>
      <c r="O91" s="2908" t="n"/>
    </row>
    <row r="92" s="3154" customFormat="1" ht="13.5" customHeight="1">
      <c r="A92" s="2940" t="inlineStr">
        <is>
          <t xml:space="preserve">BO-02</t>
        </is>
      </c>
      <c r="B92" s="2940" t="inlineStr">
        <is>
          <t xml:space="preserve">Housekeeping Supply Cart</t>
        </is>
      </c>
      <c r="C92" s="2940" t="inlineStr">
        <is>
          <t xml:space="preserve">Maid's cart; shelves + linen bags + trash bag holder; compact corridor-width</t>
        </is>
      </c>
      <c r="D92" s="2940" t="inlineStr">
        <is>
          <t xml:space="preserve">RFQ — Alibaba (TBD)</t>
        </is>
      </c>
      <c r="E92" s="2941" t="inlineStr">
        <is>
          <t xml:space="preserve">https://www.alibaba.com/showroom/housekeeping-supply-cart.html</t>
        </is>
      </c>
      <c r="F92" s="2940" t="inlineStr">
        <is>
          <t xml:space="preserve">each</t>
        </is>
      </c>
      <c r="G92" s="3022" t="n">
        <v>2</v>
      </c>
      <c r="H92" s="3053" t="n"/>
      <c r="I92" s="2944" t="n"/>
      <c r="J92" s="4319" t="n">
        <f t="array" ref="J92">IFERROR(G92*I92,0)</f>
        <v>0</v>
      </c>
      <c r="K92" s="2951" t="inlineStr">
        <is>
          <t xml:space="preserve">—</t>
        </is>
      </c>
      <c r="L92" s="2987" t="inlineStr">
        <is>
          <t xml:space="preserve">NO PRICE</t>
        </is>
      </c>
      <c r="M92" s="2948" t="inlineStr">
        <is>
          <t xml:space="preserve">Showroom/search link. Need specific product link.</t>
        </is>
      </c>
      <c r="N92" s="2949" t="n"/>
      <c r="O92" s="2908" t="n"/>
    </row>
    <row r="93" s="3154" customFormat="1" ht="13.5" customHeight="1">
      <c r="A93" s="2940" t="inlineStr">
        <is>
          <t xml:space="preserve">BO-03</t>
        </is>
      </c>
      <c r="B93" s="2940" t="inlineStr">
        <is>
          <t xml:space="preserve">Storage Shelving</t>
        </is>
      </c>
      <c r="C93" s="2940" t="inlineStr">
        <is>
          <t xml:space="preserve">Kelida medium duty storage rack; metal; 4-layer; 1500×600×2000mm; 800lb capacity; powder coated; corrosion protected; adjustable; boltless</t>
        </is>
      </c>
      <c r="D93" s="2940" t="inlineStr">
        <is>
          <t xml:space="preserve">Foshan Kelida Shelf Co.</t>
        </is>
      </c>
      <c r="E93" s="2941" t="inlineStr">
        <is>
          <t xml:space="preserve">https://www.alibaba.com/product-detail/Custom-800LBS-Medium-Duty-Adjustable-Storage_1601621153809.html</t>
        </is>
      </c>
      <c r="F93" s="2940" t="inlineStr">
        <is>
          <t xml:space="preserve">each</t>
        </is>
      </c>
      <c r="G93" s="3022" t="n">
        <v>2</v>
      </c>
      <c r="H93" s="2950" t="inlineStr">
        <is>
          <t xml:space="preserve">$5.80-32.60</t>
        </is>
      </c>
      <c r="I93" s="2944" t="n">
        <v>19.2</v>
      </c>
      <c r="J93" s="4325" t="n">
        <f t="array" ref="J93">IFERROR(G93*I93,0)</f>
        <v>38.4</v>
      </c>
      <c r="K93" s="2946" t="n">
        <v>19.2</v>
      </c>
      <c r="L93" s="2947" t="inlineStr">
        <is>
          <t xml:space="preserve">MATCH</t>
        </is>
      </c>
      <c r="M93" s="2948" t="inlineStr">
        <is>
          <t xml:space="preserve">Alibaba $5.80-$32.60; sheet $19.20 within range. Link LIVE. Verified 4/25.</t>
        </is>
      </c>
      <c r="N93" s="2949" t="n"/>
      <c r="O93" s="2908" t="n"/>
    </row>
    <row r="94" s="3154" customFormat="1" ht="13.5" customHeight="1">
      <c r="A94" s="2940" t="inlineStr">
        <is>
          <t xml:space="preserve">BO-04</t>
        </is>
      </c>
      <c r="B94" s="2940" t="inlineStr">
        <is>
          <t xml:space="preserve">Paper Towels (bulk supply)</t>
        </is>
      </c>
      <c r="C94" s="2940" t="inlineStr">
        <is>
          <t xml:space="preserve">TAD hand paper towel; virgin wood pulp; 1-ply; N/Z fold; 220×220mm; natural white; 200 sheets/pack; 20 packs/carton</t>
        </is>
      </c>
      <c r="D94" s="2940" t="inlineStr">
        <is>
          <t xml:space="preserve">Chongqing Donsea Paper Co.</t>
        </is>
      </c>
      <c r="E94" s="2941" t="inlineStr">
        <is>
          <t xml:space="preserve">https://www.alibaba.com/product-detail/TAD-Hygienic-Hand-Santilizer-Paper-Towel_60751204844.html</t>
        </is>
      </c>
      <c r="F94" s="2940" t="inlineStr">
        <is>
          <t xml:space="preserve">pack</t>
        </is>
      </c>
      <c r="G94" s="3022" t="n">
        <v>250</v>
      </c>
      <c r="H94" s="2950" t="inlineStr">
        <is>
          <t xml:space="preserve">$0.90-1.60</t>
        </is>
      </c>
      <c r="I94" s="2944" t="n">
        <v>1.25</v>
      </c>
      <c r="J94" s="4325" t="n">
        <f t="array" ref="J94">IFERROR(G94*I94,0)</f>
        <v>312.5</v>
      </c>
      <c r="K94" s="2946" t="n">
        <v>1.25</v>
      </c>
      <c r="L94" s="2947" t="inlineStr">
        <is>
          <t xml:space="preserve">MATCH</t>
        </is>
      </c>
      <c r="M94" s="2948" t="inlineStr">
        <is>
          <t xml:space="preserve">Alibaba $0.90-$1.60; sheet $1.25 within range. Link LIVE. Verified 4/25.</t>
        </is>
      </c>
      <c r="N94" s="2949" t="n"/>
      <c r="O94" s="2908" t="n"/>
    </row>
    <row r="95" s="3154" customFormat="1" ht="13.5" customHeight="1">
      <c r="A95" s="2940" t="inlineStr">
        <is>
          <t xml:space="preserve">BO-05</t>
        </is>
      </c>
      <c r="B95" s="2940" t="inlineStr">
        <is>
          <t xml:space="preserve">Toilet Paper (bulk supply)</t>
        </is>
      </c>
      <c r="C95" s="2940" t="inlineStr">
        <is>
          <t xml:space="preserve">Bamboo pulp toilet tissue roll; 2-ply; water soluble; natural white; 10×11cm sheet; embossed; standard roll; 70-150g</t>
        </is>
      </c>
      <c r="D95" s="2940" t="inlineStr">
        <is>
          <t xml:space="preserve">Chongqing Donsea Paper Co.</t>
        </is>
      </c>
      <c r="E95" s="2941" t="inlineStr">
        <is>
          <t xml:space="preserve">https://www.alibaba.com/product-detail/Factory-Customized-Hot-Selling-Water-Soluble_1600208872937.html</t>
        </is>
      </c>
      <c r="F95" s="2940" t="inlineStr">
        <is>
          <t xml:space="preserve">roll</t>
        </is>
      </c>
      <c r="G95" s="3022" t="n">
        <v>500</v>
      </c>
      <c r="H95" s="2950" t="inlineStr">
        <is>
          <t xml:space="preserve">$0.10-0.30</t>
        </is>
      </c>
      <c r="I95" s="2944" t="n">
        <v>0.2</v>
      </c>
      <c r="J95" s="4325" t="n">
        <f t="array" ref="J95">IFERROR(G95*I95,0)</f>
        <v>100</v>
      </c>
      <c r="K95" s="2946" t="n">
        <v>0.2</v>
      </c>
      <c r="L95" s="2947" t="inlineStr">
        <is>
          <t xml:space="preserve">MATCH</t>
        </is>
      </c>
      <c r="M95" s="2948" t="inlineStr">
        <is>
          <t xml:space="preserve">Alibaba $0.10-$0.30; sheet $0.20 within range. Link LIVE. Verified 4/25.</t>
        </is>
      </c>
      <c r="N95" s="2949" t="n"/>
      <c r="O95" s="2908" t="n"/>
    </row>
    <row r="96" s="3154" customFormat="1" ht="13.5" customHeight="1">
      <c r="A96" s="3016" t="inlineStr">
        <is>
          <t xml:space="preserve">BO-05A</t>
        </is>
      </c>
      <c r="B96" s="3016" t="inlineStr">
        <is>
          <t xml:space="preserve">Trash Bags (bulk supply)</t>
        </is>
      </c>
      <c r="C96" s="3016" t="inlineStr">
        <is>
          <t xml:space="preserve">FEIMA RB-159 extra strong heavy duty black bin liners; PE; 18×29×34in; 20/25/30mic; heat seal; side gusset; disposable; gravure printing; FDA 21 CFR 177; ISO9001; 20pcs/roll, 30 rolls/carton</t>
        </is>
      </c>
      <c r="D96" s="3016" t="inlineStr">
        <is>
          <t xml:space="preserve">Jiangmen Feima Plastics Industry Co. (FEIMA)</t>
        </is>
      </c>
      <c r="E96" s="3017" t="inlineStr">
        <is>
          <t xml:space="preserve">https://www.alibaba.com/product-detail/Extra-Strong-Heavy-Duty-Black-Bin_1600489419113.html</t>
        </is>
      </c>
      <c r="F96" s="3016" t="inlineStr">
        <is>
          <t xml:space="preserve">pcs</t>
        </is>
      </c>
      <c r="G96" s="3018" t="n">
        <v>50000</v>
      </c>
      <c r="H96" s="3019" t="inlineStr">
        <is>
          <t xml:space="preserve">$0.01</t>
        </is>
      </c>
      <c r="I96" s="3020" t="n">
        <v>0.01</v>
      </c>
      <c r="J96" s="4327" t="n">
        <f t="array" ref="J96">IFERROR(G96*I96,0)</f>
        <v>500</v>
      </c>
      <c r="K96" s="2946" t="n">
        <v>0.01</v>
      </c>
      <c r="L96" s="2947" t="inlineStr">
        <is>
          <t xml:space="preserve">MATCH</t>
        </is>
      </c>
      <c r="M96" s="2948" t="inlineStr">
        <is>
          <t xml:space="preserve">Alibaba $0.01 exact match. Link LIVE. Verified 4/25.</t>
        </is>
      </c>
      <c r="N96" s="2949" t="n"/>
      <c r="O96" s="2908" t="n"/>
    </row>
    <row r="97" s="3154" customFormat="1" ht="13.5" customHeight="1">
      <c r="A97" s="3016" t="inlineStr">
        <is>
          <t xml:space="preserve">BO-05B</t>
        </is>
      </c>
      <c r="B97" s="3016" t="inlineStr">
        <is>
          <t xml:space="preserve">Compostable Trash Bags (13 gal)</t>
        </is>
      </c>
      <c r="C97" s="3016" t="inlineStr">
        <is>
          <t xml:space="preserve">Weifang Defu eco-friendly compostable bin bag; PBAT+PLA+corn starch; 13 gallon; biodegradable; flat top; gravure/flexo printing; custom size/color; BPI/BSCI/ISO/BRC certified</t>
        </is>
      </c>
      <c r="D97" s="3016" t="inlineStr">
        <is>
          <t xml:space="preserve">Weifang Defu New Material Co.</t>
        </is>
      </c>
      <c r="E97" s="3017" t="inlineStr">
        <is>
          <t xml:space="preserve">https://www.alibaba.com/product-detail/Eco-friendly-compostable-kitchen-bin-bag_1601636141204.html</t>
        </is>
      </c>
      <c r="F97" s="3016" t="inlineStr">
        <is>
          <t xml:space="preserve">pcs</t>
        </is>
      </c>
      <c r="G97" s="3018" t="n">
        <v>25000</v>
      </c>
      <c r="H97" s="3054" t="inlineStr">
        <is>
          <t xml:space="preserve">$0.01–0.04</t>
        </is>
      </c>
      <c r="I97" s="3055" t="n">
        <v>0.03</v>
      </c>
      <c r="J97" s="4331" t="n">
        <f t="array" ref="J97">IFERROR(G97*I97,0)</f>
        <v>750</v>
      </c>
      <c r="K97" s="2946" t="n">
        <v>0.04</v>
      </c>
      <c r="L97" s="2947" t="inlineStr">
        <is>
          <t xml:space="preserve">MINOR</t>
        </is>
      </c>
      <c r="M97" s="2948" t="inlineStr">
        <is>
          <t xml:space="preserve">Alibaba $0.04 (100-50K); sheet $0.03. At our qty = $0.04. Link LIVE.</t>
        </is>
      </c>
      <c r="N97" s="2949" t="n"/>
      <c r="O97" s="2908" t="n"/>
    </row>
    <row r="98" s="3154" customFormat="1" ht="13.5" customHeight="1">
      <c r="A98" s="3016" t="inlineStr">
        <is>
          <t xml:space="preserve">BO-05C</t>
        </is>
      </c>
      <c r="B98" s="3016" t="inlineStr">
        <is>
          <t xml:space="preserve">Kraft Paper Belly Band Sleeves (towel/amenity wrap)</t>
        </is>
      </c>
      <c r="C98" s="3016" t="inlineStr">
        <is>
          <t xml:space="preserve">Nanning Fangda custom kraft paper wrap sleeve belly band; paperboard; matt lamination; stamping/embossing available; custom logo print (Sleep Space branding); recyclable; FSC/CEC/REACH certified; MOQ 500pcs</t>
        </is>
      </c>
      <c r="D98" s="3016" t="inlineStr">
        <is>
          <t xml:space="preserve">Nanning Fangda Printing Co.</t>
        </is>
      </c>
      <c r="E98" s="3017" t="inlineStr">
        <is>
          <t xml:space="preserve">https://www.alibaba.com/product-detail/Wholesale-Paper-Wrap-Sleeve-Packaging-Logo_1600728452027.html</t>
        </is>
      </c>
      <c r="F98" s="3016" t="inlineStr">
        <is>
          <t xml:space="preserve">pcs</t>
        </is>
      </c>
      <c r="G98" s="3018" t="n">
        <v>10000</v>
      </c>
      <c r="H98" s="3016" t="inlineStr">
        <is>
          <t xml:space="preserve">$0.02</t>
        </is>
      </c>
      <c r="I98" s="3057" t="n">
        <v>0.02</v>
      </c>
      <c r="J98" s="4332" t="n">
        <f t="array" ref="J98">IFERROR(G98*I98,0)</f>
        <v>200</v>
      </c>
      <c r="K98" s="2946" t="n">
        <v>0.02</v>
      </c>
      <c r="L98" s="2947" t="inlineStr">
        <is>
          <t xml:space="preserve">MATCH</t>
        </is>
      </c>
      <c r="M98" s="2948" t="inlineStr">
        <is>
          <t xml:space="preserve">Alibaba $0.02 at 10K+ tier; sheet $0.02 match. Link LIVE. Verified 4/25.</t>
        </is>
      </c>
      <c r="N98" s="2949" t="n"/>
      <c r="O98" s="2908" t="n"/>
    </row>
    <row r="99" s="3154" customFormat="1" ht="13.5" customHeight="1">
      <c r="A99" s="2940" t="inlineStr">
        <is>
          <t xml:space="preserve">BO-07</t>
        </is>
      </c>
      <c r="B99" s="2994" t="inlineStr">
        <is>
          <t xml:space="preserve">Key Card / RFID Cards</t>
        </is>
      </c>
      <c r="C99" s="2995" t="inlineStr">
        <is>
          <t xml:space="preserve">Mifare 1K RFID key cards; custom Sleep Space branding; programmable; compatible with GR-05 smart lock</t>
        </is>
      </c>
      <c r="D99" s="2995" t="inlineStr">
        <is>
          <t xml:space="preserve">RFQ — Alibaba (TBD)</t>
        </is>
      </c>
      <c r="E99" s="2996" t="inlineStr">
        <is>
          <t xml:space="preserve">https://www.alibaba.com/showroom/hotel-rfid-key-card.html</t>
        </is>
      </c>
      <c r="F99" s="2995" t="inlineStr">
        <is>
          <t xml:space="preserve">per 1000</t>
        </is>
      </c>
      <c r="G99" s="3023" t="n">
        <v>250</v>
      </c>
      <c r="H99" s="2997" t="n"/>
      <c r="I99" s="3059" t="n"/>
      <c r="J99" s="4333" t="n">
        <f t="array" ref="J99">IFERROR(G99*I99,0)</f>
        <v>0</v>
      </c>
      <c r="K99" s="2951" t="inlineStr">
        <is>
          <t xml:space="preserve">—</t>
        </is>
      </c>
      <c r="L99" s="2987" t="inlineStr">
        <is>
          <t xml:space="preserve">NO PRICE</t>
        </is>
      </c>
      <c r="M99" s="2948" t="inlineStr">
        <is>
          <t xml:space="preserve">Showroom/search link, not a product page. Need specific product link.</t>
        </is>
      </c>
      <c r="N99" s="2949" t="n"/>
      <c r="O99" s="2908" t="n"/>
    </row>
    <row r="100" s="3154" customFormat="1" ht="13.5" customHeight="1">
      <c r="A100" s="2995" t="inlineStr">
        <is>
          <t xml:space="preserve">BO-08</t>
        </is>
      </c>
      <c r="B100" s="2984" t="inlineStr">
        <is>
          <t xml:space="preserve">Microfiber Cleaning Cloths</t>
        </is>
      </c>
      <c r="C100" s="2984" t="inlineStr">
        <is>
          <t xml:space="preserve">Absorbent quick-dry microfiber cloth; 250gsm; eco-friendly; machine washable; housekeeping &amp; BOH multi-purpose</t>
        </is>
      </c>
      <c r="D100" s="2984" t="inlineStr">
        <is>
          <t xml:space="preserve">Ningbo Dongsu Plastic Industry Co.</t>
        </is>
      </c>
      <c r="E100" s="3024" t="inlineStr">
        <is>
          <t xml:space="preserve">https://www.alibaba.com/product-detail/Absorbent-Quick-Dry-Microfiber-Cloth-for_1601517969454.html</t>
        </is>
      </c>
      <c r="F100" s="2984" t="inlineStr">
        <is>
          <t xml:space="preserve">each</t>
        </is>
      </c>
      <c r="G100" s="3025" t="n">
        <v>100</v>
      </c>
      <c r="H100" s="2984" t="inlineStr">
        <is>
          <t xml:space="preserve">$0.30–0.45</t>
        </is>
      </c>
      <c r="I100" s="2944" t="n">
        <v>0.38</v>
      </c>
      <c r="J100" s="4325" t="n">
        <f t="array" ref="J100">IFERROR(G100*I100,0)</f>
        <v>38</v>
      </c>
      <c r="K100" s="2946" t="n">
        <v>0.38</v>
      </c>
      <c r="L100" s="2947" t="inlineStr">
        <is>
          <t xml:space="preserve">MATCH</t>
        </is>
      </c>
      <c r="M100" s="2948" t="inlineStr">
        <is>
          <t xml:space="preserve">Alibaba $0.45 (10-149), $0.37 (150-3K); sheet $0.38. Link LIVE. Verified 4/25.</t>
        </is>
      </c>
      <c r="N100" s="2949" t="n"/>
      <c r="O100" s="2908" t="n"/>
    </row>
    <row r="101" s="3154" customFormat="1" ht="13.5" customHeight="1">
      <c r="A101" s="2984" t="inlineStr">
        <is>
          <t xml:space="preserve">BO-09</t>
        </is>
      </c>
      <c r="B101" s="2984" t="inlineStr">
        <is>
          <t xml:space="preserve">Floor Squeegee / Rubber Broom</t>
        </is>
      </c>
      <c r="C101" s="2984" t="inlineStr">
        <is>
          <t xml:space="preserve">Long-handle rubber push broom with squeegee edge; TPR head; eco-friendly; bathroom &amp; corridor floor cleaning; IEC 62321 / RoHS</t>
        </is>
      </c>
      <c r="D101" s="2984" t="inlineStr">
        <is>
          <t xml:space="preserve">Ningbo Dongsu Plastic Industry Co.</t>
        </is>
      </c>
      <c r="E101" s="3024" t="inlineStr">
        <is>
          <t xml:space="preserve">https://www.alibaba.com/product-detail/Long-Push-Rubber-Broom-Cleaner-Rubber_1601517969454.html</t>
        </is>
      </c>
      <c r="F101" s="2984" t="inlineStr">
        <is>
          <t xml:space="preserve">each</t>
        </is>
      </c>
      <c r="G101" s="3025" t="n">
        <v>4</v>
      </c>
      <c r="H101" s="2984" t="inlineStr">
        <is>
          <t xml:space="preserve">$3.10–3.50</t>
        </is>
      </c>
      <c r="I101" s="2944" t="n">
        <v>3.3</v>
      </c>
      <c r="J101" s="4325" t="n">
        <f t="array" ref="J101">IFERROR(G101*I101,0)</f>
        <v>13.2</v>
      </c>
      <c r="K101" s="2946" t="n">
        <v>3.3</v>
      </c>
      <c r="L101" s="2952" t="inlineStr">
        <is>
          <t xml:space="preserve">DUPLICATE</t>
        </is>
      </c>
      <c r="M101" s="2948" t="inlineStr">
        <is>
          <t xml:space="preserve">Same product ID as BO-08. Need separate link for floor squeegee.</t>
        </is>
      </c>
      <c r="N101" s="2949" t="n"/>
      <c r="O101" s="2908" t="n"/>
    </row>
    <row r="102" s="3154" customFormat="1" ht="13.5" customHeight="1">
      <c r="A102" s="2984" t="inlineStr">
        <is>
          <t xml:space="preserve">BO-10</t>
        </is>
      </c>
      <c r="B102" s="2984" t="inlineStr">
        <is>
          <t xml:space="preserve">Window Cleaning Squeegee</t>
        </is>
      </c>
      <c r="C102" s="2984" t="inlineStr">
        <is>
          <t xml:space="preserve">Microfiber EVA window cleaning squeegee; long handle; replaceable cleaning cloth; for floor and glass</t>
        </is>
      </c>
      <c r="D102" s="2984" t="inlineStr">
        <is>
          <t xml:space="preserve">Alibaba Supplier</t>
        </is>
      </c>
      <c r="E102" s="3024" t="inlineStr">
        <is>
          <t xml:space="preserve">https://www.alibaba.com/product-detail/Microfiber-EVA-Window-Cleaning-Squeegee-with_1601737649673.html</t>
        </is>
      </c>
      <c r="F102" s="2984" t="inlineStr">
        <is>
          <t xml:space="preserve">each</t>
        </is>
      </c>
      <c r="G102" s="3025" t="n">
        <v>4</v>
      </c>
      <c r="H102" s="2984" t="inlineStr">
        <is>
          <t xml:space="preserve">$0.50 (600-1199), $0.49 (1200+)</t>
        </is>
      </c>
      <c r="I102" s="2944" t="n">
        <v>0.5</v>
      </c>
      <c r="J102" s="4325" t="n">
        <f t="array" ref="J102">IFERROR(G102*I102,0)</f>
        <v>2</v>
      </c>
      <c r="K102" s="2946" t="n">
        <v>0.5</v>
      </c>
      <c r="L102" s="2985" t="inlineStr">
        <is>
          <t xml:space="preserve">MATCH</t>
        </is>
      </c>
      <c r="M102" s="2948" t="inlineStr">
        <is>
          <t xml:space="preserve">New link. $0.50 (600-1199 tier, below MOQ at 6). Verified 4/25.</t>
        </is>
      </c>
      <c r="N102" s="2949" t="n"/>
      <c r="O102" s="2908" t="n"/>
    </row>
    <row r="103" s="3154" customFormat="1" ht="13.5" customHeight="1">
      <c r="A103" s="2984" t="inlineStr">
        <is>
          <t xml:space="preserve">BO-11</t>
        </is>
      </c>
      <c r="B103" s="2984" t="inlineStr">
        <is>
          <t xml:space="preserve">Microfiber Flat Mop</t>
        </is>
      </c>
      <c r="C103" s="2984" t="inlineStr">
        <is>
          <t xml:space="preserve">Microfiber flat mop; steel handle; sliding wringing mechanism; comes with 4 mop heads; wet &amp; dry use; hard surface &amp; wall cleaning; 10,000+ use cycles; IEC 62321 / RoHS</t>
        </is>
      </c>
      <c r="D103" s="2984" t="inlineStr">
        <is>
          <t xml:space="preserve">Ningbo Dongsu Plastic Industry Co.</t>
        </is>
      </c>
      <c r="E103" s="3024" t="inlineStr">
        <is>
          <t xml:space="preserve">https://www.alibaba.com/product-detail/Microfiber-Mop-Hard-Surface-Floor-Cleaner_1600590690663.html</t>
        </is>
      </c>
      <c r="F103" s="2984" t="inlineStr">
        <is>
          <t xml:space="preserve">each</t>
        </is>
      </c>
      <c r="G103" s="3025" t="n">
        <v>4</v>
      </c>
      <c r="H103" s="2984" t="inlineStr">
        <is>
          <t xml:space="preserve">$6.00–7.20</t>
        </is>
      </c>
      <c r="I103" s="2944" t="n">
        <v>6.6</v>
      </c>
      <c r="J103" s="4325" t="n">
        <f t="array" ref="J103">IFERROR(G103*I103,0)</f>
        <v>26.4</v>
      </c>
      <c r="K103" s="2946" t="n">
        <v>6.6</v>
      </c>
      <c r="L103" s="2947" t="inlineStr">
        <is>
          <t xml:space="preserve">MATCH</t>
        </is>
      </c>
      <c r="M103" s="2948" t="inlineStr">
        <is>
          <t xml:space="preserve">Alibaba $7.20 (500-1499), $6.50 (1500-3K); sheet $6.60 within range. Link LIVE. Verified 4/25.</t>
        </is>
      </c>
      <c r="N103" s="2949" t="n"/>
      <c r="O103" s="2908" t="n"/>
    </row>
    <row r="104" s="3154" customFormat="1" ht="13.5" customHeight="1">
      <c r="A104" s="2984" t="inlineStr">
        <is>
          <t xml:space="preserve">BO-12</t>
        </is>
      </c>
      <c r="B104" s="2984" t="inlineStr">
        <is>
          <t xml:space="preserve">Industrial Dryer (operations)</t>
        </is>
      </c>
      <c r="C104" s="2984" t="inlineStr">
        <is>
          <t xml:space="preserve">ALANNA HG-100 100kg industrial tumble dryer; gas/electric/steam heating; stainless steel 304; fully automatic; computer control; 220V/380V; for hotel linen</t>
        </is>
      </c>
      <c r="D104" s="2984" t="inlineStr">
        <is>
          <t xml:space="preserve">Galton Co. (ALANNA)</t>
        </is>
      </c>
      <c r="E104" s="3024" t="inlineStr">
        <is>
          <t xml:space="preserve">https://www.alibaba.com/product-detail/Hospital-Industrial-Tumble-Dryer-Machine-Commercial_1601124592492.html</t>
        </is>
      </c>
      <c r="F104" s="2984" t="inlineStr">
        <is>
          <t xml:space="preserve">each</t>
        </is>
      </c>
      <c r="G104" s="2921" t="n">
        <v>2</v>
      </c>
      <c r="H104" s="2984" t="inlineStr">
        <is>
          <t xml:space="preserve">$3,285</t>
        </is>
      </c>
      <c r="I104" s="2944" t="n">
        <v>3285</v>
      </c>
      <c r="J104" s="4319" t="n">
        <f t="array" ref="J104">IFERROR(G104*I104,0)</f>
        <v>6570</v>
      </c>
      <c r="K104" s="2946" t="n">
        <v>3285</v>
      </c>
      <c r="L104" s="2947" t="inlineStr">
        <is>
          <t xml:space="preserve">MATCH</t>
        </is>
      </c>
      <c r="M104" s="2948" t="inlineStr">
        <is>
          <t xml:space="preserve">Alibaba $1,100-$3,285; sheet $3,285 at top of range. Link LIVE. Verified 4/25.</t>
        </is>
      </c>
      <c r="N104" s="2949" t="n"/>
      <c r="O104" s="2908" t="n"/>
    </row>
    <row r="105" s="3154" customFormat="1" ht="13.5" customHeight="1">
      <c r="A105" s="2984" t="inlineStr">
        <is>
          <t xml:space="preserve">BO-13</t>
        </is>
      </c>
      <c r="B105" s="2984" t="inlineStr">
        <is>
          <t xml:space="preserve">Flatwork / Linen Iron</t>
        </is>
      </c>
      <c r="C105" s="2984" t="inlineStr">
        <is>
          <t xml:space="preserve">Automatic flatwork ironing machine; sheets + linens; laundry operations</t>
        </is>
      </c>
      <c r="D105" s="2984" t="inlineStr">
        <is>
          <t xml:space="preserve">RFQ — Alibaba (TBD)</t>
        </is>
      </c>
      <c r="E105" s="3024" t="inlineStr">
        <is>
          <t xml:space="preserve">https://www.alibaba.com/product-detail/Automatic-Flatwork-Flat-Iron-Function-Laundry_1601115789776.html</t>
        </is>
      </c>
      <c r="F105" s="2984" t="inlineStr">
        <is>
          <t xml:space="preserve">each</t>
        </is>
      </c>
      <c r="G105" s="3025" t="n">
        <v>1</v>
      </c>
      <c r="H105" s="2921" t="n"/>
      <c r="I105" s="2944" t="n"/>
      <c r="J105" s="4319" t="n">
        <f t="array" ref="J105">IFERROR(G105*I105,0)</f>
        <v>0</v>
      </c>
      <c r="K105" s="2946" t="n">
        <v>3714</v>
      </c>
      <c r="L105" s="2987" t="inlineStr">
        <is>
          <t xml:space="preserve">PRICE FOUND</t>
        </is>
      </c>
      <c r="M105" s="2948" t="inlineStr">
        <is>
          <t xml:space="preserve">Was NO PRICE. Alibaba $3,714 (1-4), $3,514 (5+). Link LIVE. Price now available.</t>
        </is>
      </c>
      <c r="N105" s="2949" t="n"/>
      <c r="O105" s="2908" t="n"/>
    </row>
    <row r="106" s="3154" customFormat="1" ht="13.5" customHeight="1">
      <c r="A106" s="2984" t="inlineStr">
        <is>
          <t xml:space="preserve">BO-15</t>
        </is>
      </c>
      <c r="B106" s="2984" t="inlineStr">
        <is>
          <t xml:space="preserve">Clean Linen Cart</t>
        </is>
      </c>
      <c r="C106" s="2984" t="inlineStr">
        <is>
          <t xml:space="preserve">Rotomolding LLDPE plastic linen truck; 970x670x1770mm; galvanized iron bracket; PU tires; 800kg load bearing; 4 silent wheels; PVC shielding cloth; custom color</t>
        </is>
      </c>
      <c r="D106" s="2984" t="inlineStr">
        <is>
          <t xml:space="preserve">Guangdong Huaruiyi Plastic Products</t>
        </is>
      </c>
      <c r="E106" s="3024" t="inlineStr">
        <is>
          <t xml:space="preserve">https://www.alibaba.com/product-detail/Factory-Rotomolding-Size-Color-Linen-Truck_1601222908029.html</t>
        </is>
      </c>
      <c r="F106" s="2984" t="inlineStr">
        <is>
          <t xml:space="preserve">each</t>
        </is>
      </c>
      <c r="G106" s="2921" t="n">
        <v>2</v>
      </c>
      <c r="H106" s="2984" t="inlineStr">
        <is>
          <t xml:space="preserve">$260–270</t>
        </is>
      </c>
      <c r="I106" s="2944" t="n">
        <v>265</v>
      </c>
      <c r="J106" s="4319" t="n">
        <f t="array" ref="J106">IFERROR(G106*I106,0)</f>
        <v>530</v>
      </c>
      <c r="K106" s="2946" t="n">
        <v>265</v>
      </c>
      <c r="L106" s="2947" t="inlineStr">
        <is>
          <t xml:space="preserve">MATCH</t>
        </is>
      </c>
      <c r="M106" s="2948" t="inlineStr">
        <is>
          <t xml:space="preserve">Alibaba $270 (5-9), $260 (10+); sheet $265 between tiers. Link LIVE. Verified 4/25.</t>
        </is>
      </c>
      <c r="N106" s="2949" t="n"/>
      <c r="O106" s="2908" t="n"/>
    </row>
    <row r="107" s="3154" customFormat="1" ht="13.5" customHeight="1">
      <c r="A107" s="2984" t="inlineStr">
        <is>
          <t xml:space="preserve">BO-16</t>
        </is>
      </c>
      <c r="B107" s="2984" t="inlineStr">
        <is>
          <t xml:space="preserve">Laundry Hamper Bag</t>
        </is>
      </c>
      <c r="C107" s="2984" t="inlineStr">
        <is>
          <t xml:space="preserve">Custom large cotton/nylon foldable; industrial commercial hotel laundry bag; drawstring; with logo strap</t>
        </is>
      </c>
      <c r="D107" s="2984" t="inlineStr">
        <is>
          <t xml:space="preserve">Cangnan Longgang Chuanghui Gift Factory</t>
        </is>
      </c>
      <c r="E107" s="3024" t="inlineStr">
        <is>
          <t xml:space="preserve">https://www.alibaba.com/product-detail/Custom-Large-Cotton-Foldable-Industrial-Commercial_1601008058435.html</t>
        </is>
      </c>
      <c r="F107" s="2984" t="inlineStr">
        <is>
          <t xml:space="preserve">each</t>
        </is>
      </c>
      <c r="G107" s="3025" t="n">
        <v>32</v>
      </c>
      <c r="H107" s="2984" t="inlineStr">
        <is>
          <t xml:space="preserve">$15</t>
        </is>
      </c>
      <c r="I107" s="2944" t="n">
        <v>3.95</v>
      </c>
      <c r="J107" s="4325" t="n">
        <f t="array" ref="J107">IFERROR(G107*I107,0)</f>
        <v>126.4</v>
      </c>
      <c r="K107" s="2946" t="n">
        <v>3.95</v>
      </c>
      <c r="L107" s="2947" t="inlineStr">
        <is>
          <t xml:space="preserve">MATCH</t>
        </is>
      </c>
      <c r="M107" s="2948" t="inlineStr">
        <is>
          <t xml:space="preserve">Alibaba $3.95 (100-1500 pcs). Link LIVE. Verified 4/27. Qty = 1.5/bath × 21 = 32.</t>
        </is>
      </c>
      <c r="N107" s="2949" t="n"/>
      <c r="O107" s="2908" t="n"/>
    </row>
    <row r="108" s="3154" customFormat="1" ht="13.5" customHeight="1">
      <c r="A108" s="2984" t="inlineStr">
        <is>
          <t xml:space="preserve">BO-17</t>
        </is>
      </c>
      <c r="B108" s="2984" t="inlineStr">
        <is>
          <t xml:space="preserve">Commercial Hood Type Dishwasher</t>
        </is>
      </c>
      <c r="C108" s="2984" t="inlineStr">
        <is>
          <t xml:space="preserve">Shanghai Zhenjinyuan HD-60 hood type commercial dishwasher; 304 stainless steel; 700×800×1450mm; 15.8kW; 220V/380V; 50 baskets/hr; 120kg; auto wash; cup/glass/dish compatible; 3-year warranty; free spare parts</t>
        </is>
      </c>
      <c r="D108" s="2984" t="inlineStr">
        <is>
          <t xml:space="preserve">Shanghai Zhenjinyuan Machinery Equipment Co.</t>
        </is>
      </c>
      <c r="E108" s="3024" t="inlineStr">
        <is>
          <t xml:space="preserve">https://www.alibaba.com/product-detail/Commercial-220v-380v-Bar-Coffee-Shop_1601055854351.html</t>
        </is>
      </c>
      <c r="F108" s="2984" t="inlineStr">
        <is>
          <t xml:space="preserve">each</t>
        </is>
      </c>
      <c r="G108" s="2921" t="n">
        <v>1</v>
      </c>
      <c r="H108" s="2984" t="inlineStr">
        <is>
          <t xml:space="preserve">$860–1,390</t>
        </is>
      </c>
      <c r="I108" s="2944" t="n">
        <v>1390</v>
      </c>
      <c r="J108" s="4319" t="n">
        <f t="array" ref="J108">IFERROR(G108*I108,0)</f>
        <v>1390</v>
      </c>
      <c r="K108" s="2946" t="n">
        <v>1390</v>
      </c>
      <c r="L108" s="2947" t="inlineStr">
        <is>
          <t xml:space="preserve">MATCH</t>
        </is>
      </c>
      <c r="M108" s="2948" t="inlineStr">
        <is>
          <t xml:space="preserve">Alibaba $1,390 exact match (1-4 tier). Link LIVE. Verified 4/25.</t>
        </is>
      </c>
      <c r="N108" s="2949" t="n"/>
      <c r="O108" s="2908" t="n"/>
    </row>
    <row r="109" s="3154" customFormat="1" ht="13.5" customHeight="1">
      <c r="A109" s="2984" t="inlineStr">
        <is>
          <t xml:space="preserve">BO-18</t>
        </is>
      </c>
      <c r="B109" s="2984" t="inlineStr">
        <is>
          <t xml:space="preserve">Robotic Floor Scrubber</t>
        </is>
      </c>
      <c r="C109" s="2984" t="inlineStr">
        <is>
          <t xml:space="preserve">Ounitech Q3-G commercial cleaning robot; 4-in-1 vacuum/scrub/mop/dust; LDS SLAM + VSLAM navigation; 15000Pa suction; 8L water tank; 46Ah battery; 2-3.5hr runtime; 400-600 sq ft coverage; auto-charge; auto dirt disposal; elevator-enabled cross-floor; app control; 60dB; 68.5kg; CE certified; 1-year warranty</t>
        </is>
      </c>
      <c r="D109" s="2984" t="inlineStr">
        <is>
          <t xml:space="preserve">Zhejiang Ounitech Robotics Co.</t>
        </is>
      </c>
      <c r="E109" s="3024" t="inlineStr">
        <is>
          <t xml:space="preserve">https://www.alibaba.com/product-detail/Vacuum-Cleaner-with-Automatic-Drainage-Artificial_1601709960516.html</t>
        </is>
      </c>
      <c r="F109" s="2984" t="inlineStr">
        <is>
          <t xml:space="preserve">ea</t>
        </is>
      </c>
      <c r="G109" s="2921" t="n">
        <v>1</v>
      </c>
      <c r="H109" s="2984" t="inlineStr">
        <is>
          <t xml:space="preserve">$9,000–12,000</t>
        </is>
      </c>
      <c r="I109" s="2944" t="n">
        <v>9000</v>
      </c>
      <c r="J109" s="4319" t="n">
        <f t="array" ref="J109">IFERROR(G109*I109,0)</f>
        <v>9000</v>
      </c>
      <c r="K109" s="2946" t="n">
        <v>9000</v>
      </c>
      <c r="L109" s="2947" t="inlineStr">
        <is>
          <t xml:space="preserve">MATCH</t>
        </is>
      </c>
      <c r="M109" s="2948" t="inlineStr">
        <is>
          <t xml:space="preserve">Alibaba $9,000-$12,000; sheet $9,000 at bottom of range. Link LIVE. Verified 4/25.</t>
        </is>
      </c>
      <c r="N109" s="2949" t="n"/>
      <c r="O109" s="2908" t="n"/>
    </row>
    <row r="110" s="3154" customFormat="1" ht="13.5" customHeight="1">
      <c r="A110" s="2984" t="inlineStr">
        <is>
          <t xml:space="preserve">BO-19</t>
        </is>
      </c>
      <c r="B110" s="2984" t="inlineStr">
        <is>
          <t xml:space="preserve">AI Commercial Floor Cleaning Robot</t>
        </is>
      </c>
      <c r="C110" s="2984" t="inlineStr">
        <is>
          <t xml:space="preserve">High-efficiency AI smart all-in-one; waterless cleaning; automatic recharging; commercial floor robotic cleaner</t>
        </is>
      </c>
      <c r="D110" s="2984" t="inlineStr">
        <is>
          <t xml:space="preserve">Alibaba (generic)</t>
        </is>
      </c>
      <c r="E110" s="2998" t="inlineStr">
        <is>
          <t xml:space="preserve">https://www.alibaba.com/product-detail/High-Efficiency-AI-Smart-All-in_1601593649459.html</t>
        </is>
      </c>
      <c r="F110" s="2984" t="inlineStr">
        <is>
          <t xml:space="preserve">each</t>
        </is>
      </c>
      <c r="G110" s="2921" t="n">
        <v>2</v>
      </c>
      <c r="H110" s="2984" t="inlineStr">
        <is>
          <t xml:space="preserve">$488.99</t>
        </is>
      </c>
      <c r="I110" s="2944" t="n">
        <v>7500</v>
      </c>
      <c r="J110" s="4326" t="n">
        <f t="array" ref="J110">IFERROR(G110*I110,0)</f>
        <v>15000</v>
      </c>
      <c r="K110" s="3000" t="n">
        <v>7500</v>
      </c>
      <c r="L110" s="3001" t="inlineStr">
        <is>
          <t xml:space="preserve">MATCH</t>
        </is>
      </c>
      <c r="M110" s="3002" t="inlineStr">
        <is>
          <t xml:space="preserve">Alibaba $7,500-$8,800 (MOQ 1). Link LIVE. Verified 4/27.</t>
        </is>
      </c>
      <c r="N110" s="50" t="n"/>
      <c r="O110" s="2908" t="n"/>
    </row>
    <row r="111" s="3154" customFormat="1" ht="13.5" customHeight="1">
      <c r="A111" s="718" t="inlineStr">
        <is>
          <t xml:space="preserve">BO-20</t>
        </is>
      </c>
      <c r="B111" s="718" t="inlineStr">
        <is>
          <t xml:space="preserve">Window Cleaning Robot</t>
        </is>
      </c>
      <c r="C111" s="718" t="inlineStr">
        <is>
          <t xml:space="preserve">Ideebo cordless battery window cleaning robot; single-piece (no base station); vacuum suction grip; edge detection; microfiber pads; FCC/CE certified; 110-120V US plug for charging; 3 units (2 spares)</t>
        </is>
      </c>
      <c r="D111" s="718" t="inlineStr">
        <is>
          <t xml:space="preserve">Shenzhen Ideebo Technology</t>
        </is>
      </c>
      <c r="E111" s="718" t="inlineStr">
        <is>
          <t xml:space="preserve">https://www.alibaba.com/product-detail/Customized-High-Rise-Residential-Building-Suitable_1601382943738.html</t>
        </is>
      </c>
      <c r="F111" s="718" t="inlineStr">
        <is>
          <t xml:space="preserve">each</t>
        </is>
      </c>
      <c r="G111" s="3061" t="n">
        <v>3</v>
      </c>
      <c r="H111" s="718" t="inlineStr">
        <is>
          <t xml:space="preserve">$47.50</t>
        </is>
      </c>
      <c r="I111" s="3038" t="n">
        <v>47.5</v>
      </c>
      <c r="J111" s="4320" t="n">
        <f t="array" ref="J111">IFERROR(G111*I111,0)</f>
        <v>142.5</v>
      </c>
      <c r="K111" s="738" t="inlineStr">
        <is>
          <t xml:space="preserve">$47.50</t>
        </is>
      </c>
      <c r="L111" s="50" t="n"/>
      <c r="M111" s="50" t="n"/>
      <c r="N111" s="50" t="n"/>
      <c r="O111" s="2908" t="n"/>
    </row>
    <row r="112" s="3154" customFormat="1" ht="13.5" customHeight="1">
      <c r="A112" s="3008" t="inlineStr">
        <is>
          <t xml:space="preserve">  UNIFORMS &amp; EMPLOYEE AMENITIES (UN)</t>
        </is>
      </c>
      <c r="B112" s="3009" t="n"/>
      <c r="C112" s="3009" t="n"/>
      <c r="D112" s="3009" t="n"/>
      <c r="E112" s="3039" t="inlineStr">
        <is>
          <t xml:space="preserve">https://www.alibaba.com/product-detail/Custom-Sublimation-Logo-Blank-Polo-t_1601513349499.html</t>
        </is>
      </c>
      <c r="F112" s="3009" t="n"/>
      <c r="G112" s="3009" t="n"/>
      <c r="H112" s="3009" t="n"/>
      <c r="I112" s="2937" t="n"/>
      <c r="J112" s="3011" t="n"/>
      <c r="K112" s="2927" t="n"/>
      <c r="L112" s="2927" t="n"/>
      <c r="M112" s="2927" t="n"/>
      <c r="N112" s="50" t="n"/>
      <c r="O112" s="2908" t="n"/>
    </row>
    <row r="113" s="3154" customFormat="1" ht="13.5" customHeight="1">
      <c r="A113" s="2940" t="inlineStr">
        <is>
          <t xml:space="preserve">UN-01</t>
        </is>
      </c>
      <c r="B113" s="3012" t="inlineStr">
        <is>
          <t xml:space="preserve">Housekeeping Uniform</t>
        </is>
      </c>
      <c r="C113" s="2981" t="inlineStr">
        <is>
          <t xml:space="preserve">Custom sublimation logo polo shirt; 92% polyester 8% spandex; 180gsm; quick dry; short sleeve; custom embroidery/print; solid color</t>
        </is>
      </c>
      <c r="D113" s="2981" t="inlineStr">
        <is>
          <t xml:space="preserve">Shenzhen Xinyihong Clothing</t>
        </is>
      </c>
      <c r="E113" s="2982" t="inlineStr">
        <is>
          <t xml:space="preserve">https://www.alibaba.com/product-detail/Custom-Sublimation-Logo-Blank-Polo-t_1601513349499.html</t>
        </is>
      </c>
      <c r="F113" s="2981" t="inlineStr">
        <is>
          <t xml:space="preserve">each</t>
        </is>
      </c>
      <c r="G113" s="3015" t="n">
        <v>10</v>
      </c>
      <c r="H113" s="3013" t="inlineStr">
        <is>
          <t xml:space="preserve">$8–10.80</t>
        </is>
      </c>
      <c r="I113" s="3014" t="n">
        <v>9.4</v>
      </c>
      <c r="J113" s="4325" t="n">
        <f t="array" ref="J113">IFERROR(G113*I113,0)</f>
        <v>94</v>
      </c>
      <c r="K113" s="2946" t="n">
        <v>10.8</v>
      </c>
      <c r="L113" s="2947" t="inlineStr">
        <is>
          <t xml:space="preserve">PRICE CHANGED</t>
        </is>
      </c>
      <c r="M113" s="2948" t="inlineStr">
        <is>
          <t xml:space="preserve">Was $9.40; now $10.80 (100-499 tier), $8.00 (500+). Link LIVE.</t>
        </is>
      </c>
      <c r="N113" s="2949" t="n"/>
      <c r="O113" s="2908" t="n"/>
    </row>
    <row r="114" s="3154" customFormat="1" ht="13.5" customHeight="1">
      <c r="A114" s="2940" t="inlineStr">
        <is>
          <t xml:space="preserve">UN-02</t>
        </is>
      </c>
      <c r="B114" s="2940" t="inlineStr">
        <is>
          <t xml:space="preserve">Maintenance / BOH Uniform</t>
        </is>
      </c>
      <c r="C114" s="2940" t="inlineStr">
        <is>
          <t xml:space="preserve">Custom sublimation logo polo shirt; 92% polyester 8% spandex; 180gsm; quick dry; short sleeve; custom embroidery/print; solid color</t>
        </is>
      </c>
      <c r="D114" s="2940" t="inlineStr">
        <is>
          <t xml:space="preserve">Shenzhen Xinyihong Clothing</t>
        </is>
      </c>
      <c r="E114" s="2941" t="inlineStr">
        <is>
          <t xml:space="preserve">https://www.alibaba.com/product-detail/Custom-Sublimation-Logo-Blank-Polo-t_1601513349499.html</t>
        </is>
      </c>
      <c r="F114" s="2940" t="inlineStr">
        <is>
          <t xml:space="preserve">each</t>
        </is>
      </c>
      <c r="G114" s="3022" t="n">
        <v>5</v>
      </c>
      <c r="H114" s="2994" t="inlineStr">
        <is>
          <t xml:space="preserve">$8–10.80</t>
        </is>
      </c>
      <c r="I114" s="2944" t="n">
        <v>9.4</v>
      </c>
      <c r="J114" s="4325" t="n">
        <f t="array" ref="J114">IFERROR(G114*I114,0)</f>
        <v>47</v>
      </c>
      <c r="K114" s="2946" t="n">
        <v>10.8</v>
      </c>
      <c r="L114" s="2947" t="inlineStr">
        <is>
          <t xml:space="preserve">PRICE CHANGED</t>
        </is>
      </c>
      <c r="M114" s="2948" t="inlineStr">
        <is>
          <t xml:space="preserve">Was $9.40; now $10.80 (100-499 tier). Same link as UN-01. Link LIVE.</t>
        </is>
      </c>
      <c r="N114" s="2949" t="n"/>
      <c r="O114" s="2908" t="n"/>
    </row>
    <row r="115" s="3154" customFormat="1" ht="13.5" customHeight="1">
      <c r="A115" s="2940" t="inlineStr">
        <is>
          <t xml:space="preserve">UN-03</t>
        </is>
      </c>
      <c r="B115" s="2940" t="inlineStr">
        <is>
          <t xml:space="preserve">Front Desk / Management Uniform</t>
        </is>
      </c>
      <c r="C115" s="2940" t="inlineStr">
        <is>
          <t xml:space="preserve">Custom sublimation logo polo shirt; 92% polyester 8% spandex; 180gsm; quick dry; short sleeve; custom embroidery/print; solid color</t>
        </is>
      </c>
      <c r="D115" s="2940" t="inlineStr">
        <is>
          <t xml:space="preserve">Shenzhen Xinyihong Clothing</t>
        </is>
      </c>
      <c r="E115" s="2941" t="inlineStr">
        <is>
          <t xml:space="preserve">https://www.alibaba.com/product-detail/Custom-Sublimation-Logo-Blank-Polo-t_1601513349499.html</t>
        </is>
      </c>
      <c r="F115" s="2940" t="inlineStr">
        <is>
          <t xml:space="preserve">each</t>
        </is>
      </c>
      <c r="G115" s="3022" t="n">
        <v>5</v>
      </c>
      <c r="H115" s="2950" t="inlineStr">
        <is>
          <t xml:space="preserve">$8–10.80</t>
        </is>
      </c>
      <c r="I115" s="2944" t="n">
        <v>9.4</v>
      </c>
      <c r="J115" s="4325" t="n">
        <f t="array" ref="J115">IFERROR(G115*I115,0)</f>
        <v>47</v>
      </c>
      <c r="K115" s="2946" t="n">
        <v>10.8</v>
      </c>
      <c r="L115" s="2947" t="inlineStr">
        <is>
          <t xml:space="preserve">PRICE CHANGED</t>
        </is>
      </c>
      <c r="M115" s="2948" t="inlineStr">
        <is>
          <t xml:space="preserve">Was $9.40; now $10.80 (100-499 tier). Same link as UN-01. Link LIVE.</t>
        </is>
      </c>
      <c r="N115" s="2949" t="n"/>
      <c r="O115" s="2908" t="n"/>
    </row>
    <row r="116" s="3154" customFormat="1" ht="13.5" customHeight="1">
      <c r="A116" s="2940" t="inlineStr">
        <is>
          <t xml:space="preserve">UN-04</t>
        </is>
      </c>
      <c r="B116" s="2940" t="inlineStr">
        <is>
          <t xml:space="preserve">Employee Lockers (18-door unit)</t>
        </is>
      </c>
      <c r="C116" s="2940" t="inlineStr">
        <is>
          <t xml:space="preserve">18-door metal locker storage cabinet; steel; locking; gym/school style</t>
        </is>
      </c>
      <c r="D116" s="2940" t="inlineStr">
        <is>
          <t xml:space="preserve">Alibaba (generic)</t>
        </is>
      </c>
      <c r="E116" s="2941" t="inlineStr">
        <is>
          <t xml:space="preserve">https://www.alibaba.com/product-detail/18-Door-Metal-Locker-Storage-Cabinet_1601698028882.html</t>
        </is>
      </c>
      <c r="F116" s="2940" t="inlineStr">
        <is>
          <t xml:space="preserve">each</t>
        </is>
      </c>
      <c r="G116" s="3022" t="n">
        <v>1</v>
      </c>
      <c r="H116" s="2950" t="inlineStr">
        <is>
          <t xml:space="preserve">$65–70</t>
        </is>
      </c>
      <c r="I116" s="2944" t="n">
        <v>65</v>
      </c>
      <c r="J116" s="4325" t="n">
        <f t="array" ref="J116">IFERROR(G116*I116,0)</f>
        <v>65</v>
      </c>
      <c r="K116" s="2946" t="n">
        <v>65</v>
      </c>
      <c r="L116" s="2947" t="inlineStr">
        <is>
          <t xml:space="preserve">MATCH</t>
        </is>
      </c>
      <c r="M116" s="2948" t="inlineStr">
        <is>
          <t xml:space="preserve">Alibaba $65 (2-49 pcs). Link LIVE. Verified 4/27. 18 compartments per unit.</t>
        </is>
      </c>
      <c r="N116" s="2949" t="n"/>
      <c r="O116" s="2908" t="n"/>
    </row>
    <row r="117" s="3154" customFormat="1" ht="13.5" customHeight="1">
      <c r="A117" s="2940" t="inlineStr">
        <is>
          <t xml:space="preserve">UN-05</t>
        </is>
      </c>
      <c r="B117" s="2940" t="inlineStr">
        <is>
          <t xml:space="preserve">Staff Break Room Table &amp; Chairs</t>
        </is>
      </c>
      <c r="C117" s="2940" t="inlineStr">
        <is>
          <t xml:space="preserve">Solid wood dining table + chairs set; modern rectangular; oak/pine; custom size; hotel/apartment use</t>
        </is>
      </c>
      <c r="D117" s="2940" t="inlineStr">
        <is>
          <t xml:space="preserve">Chongqing Bilido Furniture Co.</t>
        </is>
      </c>
      <c r="E117" s="2941" t="inlineStr">
        <is>
          <t xml:space="preserve">https://www.alibaba.com/product-detail/Solid-Wood-Large-6ft-8ft-Thick_1600734690943.html</t>
        </is>
      </c>
      <c r="F117" s="2940" t="inlineStr">
        <is>
          <t xml:space="preserve">each</t>
        </is>
      </c>
      <c r="G117" s="3022" t="n">
        <v>1</v>
      </c>
      <c r="H117" s="2950" t="inlineStr">
        <is>
          <t xml:space="preserve">$154–606</t>
        </is>
      </c>
      <c r="I117" s="2944" t="n">
        <v>380</v>
      </c>
      <c r="J117" s="4325" t="n">
        <f t="array" ref="J117">IFERROR(G117*I117,0)</f>
        <v>380</v>
      </c>
      <c r="K117" s="2946" t="n">
        <v>380</v>
      </c>
      <c r="L117" s="2947" t="inlineStr">
        <is>
          <t xml:space="preserve">MATCH</t>
        </is>
      </c>
      <c r="M117" s="2948" t="inlineStr">
        <is>
          <t xml:space="preserve">Same as LB-07. $154.70-$606.17; sheet $380 within range. Link LIVE. Verified 4/25.</t>
        </is>
      </c>
      <c r="N117" s="2949" t="n"/>
      <c r="O117" s="2908" t="n"/>
    </row>
    <row r="118" s="3154" customFormat="1" ht="13.5" customHeight="1">
      <c r="A118" s="2940" t="inlineStr">
        <is>
          <t xml:space="preserve">UN-06</t>
        </is>
      </c>
      <c r="B118" s="3045" t="inlineStr">
        <is>
          <t xml:space="preserve">Staff PPE (consumable)</t>
        </is>
      </c>
      <c r="C118" s="3062" t="inlineStr">
        <is>
          <t xml:space="preserve">Cat 3 white disposable microporous coverall; anti-static; waterproof; breathable; elastic hood/waist/wrists/ankles; 65gsm; for plumbing &amp; dirty work</t>
        </is>
      </c>
      <c r="D118" s="3062" t="inlineStr">
        <is>
          <t xml:space="preserve">Hubei Vastprotect Manufacturing</t>
        </is>
      </c>
      <c r="E118" s="3063" t="inlineStr">
        <is>
          <t xml:space="preserve">https://www.alibaba.com/product-detail/Category-3-White-Fluid-Resistant-Breathable_1600630650602.html</t>
        </is>
      </c>
      <c r="F118" s="3062" t="inlineStr">
        <is>
          <t xml:space="preserve">each</t>
        </is>
      </c>
      <c r="G118" s="3064" t="n">
        <v>10</v>
      </c>
      <c r="H118" s="2962" t="inlineStr">
        <is>
          <t xml:space="preserve">$0.50–0.75</t>
        </is>
      </c>
      <c r="I118" s="2963" t="n">
        <v>0.63</v>
      </c>
      <c r="J118" s="4319" t="n">
        <f t="array" ref="J118">IFERROR(G118*I118,0)</f>
        <v>6.3</v>
      </c>
      <c r="K118" s="2946" t="n">
        <v>0.63</v>
      </c>
      <c r="L118" s="2947" t="inlineStr">
        <is>
          <t xml:space="preserve">MATCH</t>
        </is>
      </c>
      <c r="M118" s="2948" t="inlineStr">
        <is>
          <t xml:space="preserve">Alibaba $0.75 (5K-100K); sheet $0.63 close. Link LIVE. Verified 4/25.</t>
        </is>
      </c>
      <c r="N118" s="2949" t="n"/>
      <c r="O118" s="2908" t="n"/>
    </row>
    <row r="119" s="3154" customFormat="1" ht="13.5" customHeight="1">
      <c r="A119" s="3046" t="inlineStr">
        <is>
          <t xml:space="preserve">  BUILDING, STRUCTURE &amp; MEP (ME)</t>
        </is>
      </c>
      <c r="B119" s="2937" t="n"/>
      <c r="C119" s="2937" t="n"/>
      <c r="D119" s="2937" t="n"/>
      <c r="E119" s="3065" t="n"/>
      <c r="F119" s="2937" t="n"/>
      <c r="G119" s="2937" t="n"/>
      <c r="H119" s="2937" t="n"/>
      <c r="I119" s="2937" t="n"/>
      <c r="J119" s="3011" t="n"/>
      <c r="K119" s="2957" t="n"/>
      <c r="L119" s="2957" t="n"/>
      <c r="M119" s="2957" t="n"/>
      <c r="N119" s="50" t="n"/>
      <c r="O119" s="2908" t="n"/>
    </row>
    <row r="120" s="3154" customFormat="1" ht="13.5" customHeight="1">
      <c r="A120" s="3008" t="inlineStr">
        <is>
          <t xml:space="preserve">  TECHNOLOGY &amp; SMART CONTROLS (TC)  —  Tuya App Integration</t>
        </is>
      </c>
      <c r="B120" s="3009" t="n"/>
      <c r="C120" s="3009" t="n"/>
      <c r="D120" s="3009" t="n"/>
      <c r="E120" s="3039" t="inlineStr">
        <is>
          <t xml:space="preserve">https://www.alibaba.com/product-detail/Freestanding-Stainless-Steel-Automatic-Speed-Gate_1601498755657.html</t>
        </is>
      </c>
      <c r="F120" s="3009" t="n"/>
      <c r="G120" s="3009" t="n"/>
      <c r="H120" s="3009" t="n"/>
      <c r="I120" s="2937" t="n"/>
      <c r="J120" s="3066" t="n"/>
      <c r="K120" s="2927" t="n"/>
      <c r="L120" s="2927" t="n"/>
      <c r="M120" s="2927" t="n"/>
      <c r="N120" s="50" t="n"/>
      <c r="O120" s="2908" t="n"/>
    </row>
    <row r="121" s="3154" customFormat="1" ht="13.5" customHeight="1">
      <c r="A121" s="3029" t="inlineStr">
        <is>
          <t xml:space="preserve">TC-01</t>
        </is>
      </c>
      <c r="B121" s="3067" t="inlineStr">
        <is>
          <t xml:space="preserve">Access Control System</t>
        </is>
      </c>
      <c r="C121" s="3068" t="inlineStr">
        <is>
          <t xml:space="preserve">Freestanding stainless steel automatic speed gate; tempered glass wings; anti-tailgating; 2-way; RFID/QR/face recognition; IP54; brushless motor; TCP/IP; 304 SS; 1400×140×1000mm</t>
        </is>
      </c>
      <c r="D121" s="3068" t="inlineStr">
        <is>
          <t xml:space="preserve">Henan Jiewei Intelligent Technology</t>
        </is>
      </c>
      <c r="E121" s="3069" t="inlineStr">
        <is>
          <t xml:space="preserve">https://www.alibaba.com/product-detail/Freestanding-Stainless-Steel-Automatic-Speed-Gate_1601498755657.html</t>
        </is>
      </c>
      <c r="F121" s="3068" t="inlineStr">
        <is>
          <t xml:space="preserve">each</t>
        </is>
      </c>
      <c r="G121" s="3070" t="n">
        <v>3</v>
      </c>
      <c r="H121" s="3071" t="inlineStr">
        <is>
          <t xml:space="preserve">$260–300</t>
        </is>
      </c>
      <c r="I121" s="3072" t="n">
        <v>280</v>
      </c>
      <c r="J121" s="4329" t="n">
        <f t="array" ref="J121">IFERROR(G121*I121,0)</f>
        <v>840</v>
      </c>
      <c r="K121" s="2946" t="n">
        <v>300</v>
      </c>
      <c r="L121" s="2947" t="inlineStr">
        <is>
          <t xml:space="preserve">MINOR</t>
        </is>
      </c>
      <c r="M121" s="2948" t="inlineStr">
        <is>
          <t xml:space="preserve">Alibaba $300 (1-19), $280 (20-39); sheet $280. At 2 units = $300 tier. Link LIVE.</t>
        </is>
      </c>
      <c r="N121" s="2949" t="n"/>
      <c r="O121" s="2908" t="n"/>
    </row>
    <row r="122" s="3154" customFormat="1" ht="13.5" customHeight="1">
      <c r="A122" s="2965" t="inlineStr">
        <is>
          <t xml:space="preserve">TC-02</t>
        </is>
      </c>
      <c r="B122" s="2965" t="inlineStr">
        <is>
          <t xml:space="preserve">HVAC Temp &amp; Air Quality Panel</t>
        </is>
      </c>
      <c r="C122" s="2965" t="inlineStr">
        <is>
          <t xml:space="preserve">4-inch Android smart home central control panel; touch screen; WiFi; app/voice control; Zigbee gateway; ABS; wall-mounted; Tuya/Smart Life compatible</t>
        </is>
      </c>
      <c r="D122" s="2965" t="inlineStr">
        <is>
          <t xml:space="preserve">Shenzhen X-Focus (AISpeaker)</t>
        </is>
      </c>
      <c r="E122" s="2966" t="inlineStr">
        <is>
          <t xml:space="preserve">https://www.alibaba.com/product-detail/4-Inch-Electric-Android-Smart-Home_1601601949476.html</t>
        </is>
      </c>
      <c r="F122" s="2965" t="inlineStr">
        <is>
          <t xml:space="preserve">each</t>
        </is>
      </c>
      <c r="G122" s="2967" t="n"/>
      <c r="H122" s="3073" t="inlineStr">
        <is>
          <t xml:space="preserve">$99–115</t>
        </is>
      </c>
      <c r="I122" s="2969" t="n">
        <v>107</v>
      </c>
      <c r="J122" s="4322" t="n">
        <f t="array" ref="J122">IFERROR(G122*I122,0)</f>
        <v>0</v>
      </c>
      <c r="K122" s="2971" t="n">
        <v>115</v>
      </c>
      <c r="L122" s="2972" t="inlineStr">
        <is>
          <t xml:space="preserve">PRICE CHANGED</t>
        </is>
      </c>
      <c r="M122" s="2973" t="inlineStr">
        <is>
          <t xml:space="preserve">Was $107; now $115 (1-99 tier), $110 (100-499). Link LIVE.</t>
        </is>
      </c>
      <c r="N122" s="2974" t="inlineStr">
        <is>
          <t xml:space="preserve">Aliya Liu (Shenzhen X-Focus)</t>
        </is>
      </c>
      <c r="O122" s="2975" t="inlineStr">
        <is>
          <t xml:space="preserve">Sent 20:22</t>
        </is>
      </c>
    </row>
    <row r="123" s="3154" customFormat="1" ht="13.5" customHeight="1">
      <c r="A123" s="2965" t="inlineStr">
        <is>
          <t xml:space="preserve">TC-03</t>
        </is>
      </c>
      <c r="B123" s="2965" t="inlineStr">
        <is>
          <t xml:space="preserve">Smart Light Switch (Tuya Zigbee)</t>
        </is>
      </c>
      <c r="C123" s="2965" t="inlineStr">
        <is>
          <t xml:space="preserve">Milfra 3-way 15A smart WiFi dimmer light switch; Tuya/Smart Life app; stepless dimming; voice control (Alexa/Google); fireproof PC; ETL certified; 100–250V; US standard</t>
        </is>
      </c>
      <c r="D123" s="2965" t="inlineStr">
        <is>
          <t xml:space="preserve">Shenzhen Hidin Tech (Milfra)</t>
        </is>
      </c>
      <c r="E123" s="2966" t="inlineStr">
        <is>
          <t xml:space="preserve">https://www.alibaba.com/product-detail/Milfra-3-Way-15A-Smart-Wall_60799232765.html</t>
        </is>
      </c>
      <c r="F123" s="2965" t="inlineStr">
        <is>
          <t xml:space="preserve">each</t>
        </is>
      </c>
      <c r="G123" s="2967" t="n"/>
      <c r="H123" s="2968" t="inlineStr">
        <is>
          <t xml:space="preserve">$4–26.70</t>
        </is>
      </c>
      <c r="I123" s="2969" t="n">
        <v>8.9</v>
      </c>
      <c r="J123" s="4322" t="n">
        <f t="array" ref="J123">IFERROR(G123*I123,0)</f>
        <v>0</v>
      </c>
      <c r="K123" s="2971" t="n">
        <v>8.9</v>
      </c>
      <c r="L123" s="2972" t="inlineStr">
        <is>
          <t xml:space="preserve">MATCH</t>
        </is>
      </c>
      <c r="M123" s="2973" t="inlineStr">
        <is>
          <t xml:space="preserve">Alibaba $8.90; sheet $8.90 exact match. Link LIVE. Verified 4/25.</t>
        </is>
      </c>
      <c r="N123" s="2974" t="inlineStr">
        <is>
          <t xml:space="preserve">Arya Hu (Shenzhen Hidin Tech)</t>
        </is>
      </c>
      <c r="O123" s="2975" t="inlineStr">
        <is>
          <t xml:space="preserve">Sent 20:23; replied (asked clarifying)</t>
        </is>
      </c>
    </row>
    <row r="124" s="3154" customFormat="1" ht="13.5" customHeight="1">
      <c r="A124" s="2965" t="inlineStr">
        <is>
          <t xml:space="preserve">TC-04</t>
        </is>
      </c>
      <c r="B124" s="2965" t="inlineStr">
        <is>
          <t xml:space="preserve">16CH 4K POE NVR + Camera Kit</t>
        </is>
      </c>
      <c r="C124" s="2965" t="inlineStr">
        <is>
          <t xml:space="preserve">4K Tuya POE network system; 8MP waterproof; night vision; two-way audio; AI security IP camera; 16CH P2P NVR video kit; includes 16 cameras + NVR + PoE</t>
        </is>
      </c>
      <c r="D124" s="2965" t="inlineStr">
        <is>
          <t xml:space="preserve">KDM (Alibaba)</t>
        </is>
      </c>
      <c r="E124" s="2966" t="inlineStr">
        <is>
          <t xml:space="preserve">https://www.alibaba.com/product-detail/4K-Tuya-POE-Network-System-8MP_1601523721501.html</t>
        </is>
      </c>
      <c r="F124" s="2965" t="inlineStr">
        <is>
          <t xml:space="preserve">kit</t>
        </is>
      </c>
      <c r="G124" s="3074" t="n">
        <v>1</v>
      </c>
      <c r="H124" s="2968" t="inlineStr">
        <is>
          <t xml:space="preserve">$124-438 (4CH-16CH); 16CH ~$438</t>
        </is>
      </c>
      <c r="I124" s="2969" t="n">
        <v>438</v>
      </c>
      <c r="J124" s="4334" t="n">
        <f t="array" ref="J124">IFERROR(G124*I124,0)</f>
        <v>438</v>
      </c>
      <c r="K124" s="2971" t="n">
        <v>438</v>
      </c>
      <c r="L124" s="2972" t="inlineStr">
        <is>
          <t xml:space="preserve">MATCH</t>
        </is>
      </c>
      <c r="M124" s="2973" t="inlineStr">
        <is>
          <t xml:space="preserve">New link. 16CH 4K Tuya POE NVR kit with 16 cameras. $438 (16-cam config, top of $124-438 range). Includes PoE NVR — TC-06 PoE switch no longer needed. MOQ 5. Verified 4/25.</t>
        </is>
      </c>
      <c r="N124" s="2974" t="inlineStr">
        <is>
          <t xml:space="preserve">Shirley Liu (Shenzhen Kadymay)</t>
        </is>
      </c>
      <c r="O124" s="2975" t="inlineStr">
        <is>
          <t xml:space="preserve">Sent 20:26</t>
        </is>
      </c>
    </row>
    <row r="125" s="3154" customFormat="1" ht="13.5" customHeight="1">
      <c r="A125" s="3076" t="inlineStr">
        <is>
          <t xml:space="preserve">TC-05</t>
        </is>
      </c>
      <c r="B125" s="3077" t="inlineStr">
        <is>
          <t xml:space="preserve">UHF RFID Integrated Reader (Bathroom Towel Tracking)</t>
        </is>
      </c>
      <c r="C125" s="3077" t="inlineStr">
        <is>
          <t xml:space="preserve">Vanch VI-IR61 all-in-one UHF RFID reader; 860-960MHz; built-in antenna; ABS enclosure; RS485/RS232/RJ45/USB; LED + buzzer; ISO 18000-6C; 1 per shower bathroom; NOTE: power via PoE over existing ethernet — confirm PoE support with Vanch, else add PoE splitter (~$10/ea); piggybacks on Tuya smart device network infrastructure</t>
        </is>
      </c>
      <c r="D125" s="3077" t="inlineStr">
        <is>
          <t xml:space="preserve">Shenzhen Vanch Intelligent Technology Co.</t>
        </is>
      </c>
      <c r="E125" s="3078" t="inlineStr">
        <is>
          <t xml:space="preserve">https://www.alibaba.com/product-detail/Vanch-All-in-One-Industrial-RFID_1601172402365.html</t>
        </is>
      </c>
      <c r="F125" s="3077" t="inlineStr">
        <is>
          <t xml:space="preserve">each</t>
        </is>
      </c>
      <c r="G125" s="3079" t="n"/>
      <c r="H125" s="3080" t="inlineStr">
        <is>
          <t xml:space="preserve">$140</t>
        </is>
      </c>
      <c r="I125" s="3081" t="n">
        <v>140</v>
      </c>
      <c r="J125" s="4335" t="n">
        <f t="array" ref="J125">IFERROR(G125*I125,0)</f>
        <v>0</v>
      </c>
      <c r="K125" s="2971" t="n">
        <v>160</v>
      </c>
      <c r="L125" s="2972" t="inlineStr">
        <is>
          <t xml:space="preserve">PRICE CHANGED</t>
        </is>
      </c>
      <c r="M125" s="2973" t="inlineStr">
        <is>
          <t xml:space="preserve">Was $140; now $160 (1-39 tier), $150 (40+). Link LIVE.</t>
        </is>
      </c>
      <c r="N125" s="2974" t="inlineStr">
        <is>
          <t xml:space="preserve">Shirley Lau (Shenzhen Vanch)</t>
        </is>
      </c>
      <c r="O125" s="2975" t="inlineStr">
        <is>
          <t xml:space="preserve">Sent 20:28; SKIP — RFID not Tuya, revisit later</t>
        </is>
      </c>
    </row>
    <row r="126" s="3154" customFormat="1" ht="13.5" customHeight="1">
      <c r="A126" s="3083" t="inlineStr">
        <is>
          <t xml:space="preserve">TC-06</t>
        </is>
      </c>
      <c r="B126" s="3084" t="inlineStr">
        <is>
          <t xml:space="preserve">PoE Network Switch (per-floor RFID power + data)</t>
        </is>
      </c>
      <c r="C126" s="3084" t="inlineStr">
        <is>
          <t xml:space="preserve">PoE network switch; 8-16 port; provides power + data to bathroom RFID readers (TC-05) over single ethernet cable; eliminates separate power runs; 1 per floor; local purchase or RFQ</t>
        </is>
      </c>
      <c r="D126" s="3084" t="inlineStr">
        <is>
          <t xml:space="preserve">Local / RFQ</t>
        </is>
      </c>
      <c r="E126" s="3085" t="inlineStr">
        <is>
          <t xml:space="preserve">https://www.alibaba.com/showroom/smoke-co-detector.html</t>
        </is>
      </c>
      <c r="F126" s="3084" t="inlineStr">
        <is>
          <t xml:space="preserve">each</t>
        </is>
      </c>
      <c r="G126" s="3086" t="n">
        <v>0</v>
      </c>
      <c r="H126" s="3084" t="inlineStr">
        <is>
          <t xml:space="preserve">$50–100</t>
        </is>
      </c>
      <c r="I126" s="3087" t="n">
        <v>0</v>
      </c>
      <c r="J126" s="4336" t="n">
        <f t="array" ref="J126">IFERROR(G126*I126,0)</f>
        <v>0</v>
      </c>
      <c r="K126" s="2946" t="n">
        <v>75</v>
      </c>
      <c r="L126" s="2985" t="inlineStr">
        <is>
          <t xml:space="preserve">REMOVED</t>
        </is>
      </c>
      <c r="M126" s="2948" t="inlineStr">
        <is>
          <t xml:space="preserve">PoE included in TC-04 16CH NVR kit. No separate switch needed. Removed 4/25.</t>
        </is>
      </c>
      <c r="N126" s="2949" t="n"/>
      <c r="O126" s="2908" t="n"/>
    </row>
    <row r="127" s="3154" customFormat="1" ht="21.75" customHeight="1">
      <c r="A127" s="3089" t="inlineStr">
        <is>
          <t xml:space="preserve">TC-07</t>
        </is>
      </c>
      <c r="B127" s="3080" t="inlineStr">
        <is>
          <t xml:space="preserve">Motion / Presence Detector (Tuya WiFi)</t>
        </is>
      </c>
      <c r="C127" s="3080" t="inlineStr">
        <is>
          <t xml:space="preserve">RSH 24G radar millimeter wave; human presence sensor; 130° 6m range; Tuya smart WiFi; with light sensor; occupancy-based HVAC/lighting automation</t>
        </is>
      </c>
      <c r="D127" s="3080" t="inlineStr">
        <is>
          <t xml:space="preserve">RSH Technology Co., Ltd.</t>
        </is>
      </c>
      <c r="E127" s="3090" t="inlineStr">
        <is>
          <t xml:space="preserve">https://www.alibaba.com/product-detail/RSH-24G-Radar-Millimeter-Wave-Human_1601300936434.html</t>
        </is>
      </c>
      <c r="F127" s="3080" t="inlineStr">
        <is>
          <t xml:space="preserve">each</t>
        </is>
      </c>
      <c r="G127" s="3091" t="n">
        <f>$B$8</f>
        <v>100</v>
      </c>
      <c r="H127" s="3080" t="inlineStr">
        <is>
          <t xml:space="preserve">$14.50</t>
        </is>
      </c>
      <c r="I127" s="3081" t="n">
        <v>14.5</v>
      </c>
      <c r="J127" s="4337" t="n">
        <f t="array" ref="J127">IFERROR(G127*I127,0)</f>
        <v>1450</v>
      </c>
      <c r="K127" s="3093" t="n">
        <v>14.5</v>
      </c>
      <c r="L127" s="3094" t="inlineStr">
        <is>
          <t xml:space="preserve">MATCH</t>
        </is>
      </c>
      <c r="M127" s="3095" t="inlineStr">
        <is>
          <t xml:space="preserve">Alibaba $14.50 (2-199 pcs), $14 (200+). RSH Tech 18yr verified, 218 reviews. Link LIVE. Verified 4/28.</t>
        </is>
      </c>
      <c r="N127" s="3096" t="inlineStr">
        <is>
          <t xml:space="preserve">LeBron Liang (RSH Technology)</t>
        </is>
      </c>
      <c r="O127" s="2975" t="inlineStr">
        <is>
          <t xml:space="preserve">Sent 20:29; replied</t>
        </is>
      </c>
    </row>
    <row r="128" s="3154" customFormat="1" ht="13.5" customHeight="1">
      <c r="A128" s="3097" t="inlineStr">
        <is>
          <t xml:space="preserve">TC-08</t>
        </is>
      </c>
      <c r="B128" s="704" t="inlineStr">
        <is>
          <t xml:space="preserve">BLE Beacon Tag (Asset/Personnel Tracking)</t>
        </is>
      </c>
      <c r="C128" s="704" t="inlineStr">
        <is>
          <t xml:space="preserve">K8 waterproof BLE 5.0 beacon; IP63; iBeacon+Eddystone; CR2477 battery ~2yr; for cleaning carts, staff badges, laundry hampers, robots; Tuya-compatible via BLE gateway</t>
        </is>
      </c>
      <c r="D128" s="704" t="inlineStr">
        <is>
          <t xml:space="preserve">Alibaba (Shenzhen Minew)</t>
        </is>
      </c>
      <c r="E128" s="704" t="inlineStr">
        <is>
          <t xml:space="preserve">https://www.alibaba.com/product-detail/K8-waterproof-asset-tracking-ble-5_1600834188048.html</t>
        </is>
      </c>
      <c r="F128" s="704" t="inlineStr">
        <is>
          <t xml:space="preserve">each</t>
        </is>
      </c>
      <c r="G128" s="3098" t="n">
        <v>25</v>
      </c>
      <c r="H128" s="704" t="inlineStr">
        <is>
          <t xml:space="preserve">$5.28–8.00</t>
        </is>
      </c>
      <c r="I128" s="3098" t="n">
        <v>6.5</v>
      </c>
      <c r="J128" s="4338" t="n">
        <f t="array" ref="J128">IFERROR(G128*I128,0)</f>
        <v>162.5</v>
      </c>
      <c r="K128" s="704" t="inlineStr">
        <is>
          <t xml:space="preserve">$5.28–8.00</t>
        </is>
      </c>
      <c r="L128" s="3098" t="n"/>
      <c r="M128" s="3098" t="n"/>
      <c r="N128" s="81" t="n"/>
      <c r="O128" s="2908" t="n"/>
    </row>
    <row r="129" s="3154" customFormat="1" ht="13.5" customHeight="1">
      <c r="A129" s="3097" t="inlineStr">
        <is>
          <t xml:space="preserve">TC-09</t>
        </is>
      </c>
      <c r="B129" s="704" t="inlineStr">
        <is>
          <t xml:space="preserve">BLE Gateway (Indoor Positioning Receiver)</t>
        </is>
      </c>
      <c r="C129" s="704" t="inlineStr">
        <is>
          <t xml:space="preserve">Moko IoT WiFi+BLE gateway; scans BLE beacons and reports RSSI to cloud; wall/ceiling mount; Tuya-compatible; 2 per floor for triangulation coverage</t>
        </is>
      </c>
      <c r="D129" s="704" t="inlineStr">
        <is>
          <t xml:space="preserve">Moko Technology (Shenzhen)</t>
        </is>
      </c>
      <c r="E129" s="704" t="inlineStr">
        <is>
          <t xml:space="preserve">https://www.alibaba.com/product-detail/Moko-IOT-ble-beacon-data-receiver_1600082737163.html</t>
        </is>
      </c>
      <c r="F129" s="704" t="inlineStr">
        <is>
          <t xml:space="preserve">each</t>
        </is>
      </c>
      <c r="G129" s="3098" t="n">
        <v>4</v>
      </c>
      <c r="H129" s="704" t="inlineStr">
        <is>
          <t xml:space="preserve">$35–55</t>
        </is>
      </c>
      <c r="I129" s="3098" t="n">
        <v>45</v>
      </c>
      <c r="J129" s="4338" t="n">
        <f t="array" ref="J129">IFERROR(G129*I129,0)</f>
        <v>180</v>
      </c>
      <c r="K129" s="704" t="inlineStr">
        <is>
          <t xml:space="preserve">$35–55</t>
        </is>
      </c>
      <c r="L129" s="3098" t="n"/>
      <c r="M129" s="3098" t="n"/>
      <c r="N129" s="81" t="n"/>
      <c r="O129" s="2908" t="n"/>
    </row>
    <row r="130" s="3154" customFormat="1" ht="13.5" customHeight="1">
      <c r="A130" s="3008" t="inlineStr">
        <is>
          <t xml:space="preserve">  LIFE SAFETY &amp; CODE COMPLIANCE (LS)  —  GC / MEP Coordination Required</t>
        </is>
      </c>
      <c r="B130" s="3009" t="n"/>
      <c r="C130" s="3009" t="n"/>
      <c r="D130" s="3009" t="n"/>
      <c r="E130" s="3039" t="inlineStr">
        <is>
          <t xml:space="preserve">https://www.alibaba.com/showroom/smoke-co-detector.html</t>
        </is>
      </c>
      <c r="F130" s="3009" t="n"/>
      <c r="G130" s="3009" t="n"/>
      <c r="H130" s="2937" t="n"/>
      <c r="I130" s="2937" t="n"/>
      <c r="J130" s="3100" t="n"/>
      <c r="K130" s="3101" t="n"/>
      <c r="L130" s="3101" t="n"/>
      <c r="M130" s="3101" t="n"/>
      <c r="N130" s="50" t="n"/>
      <c r="O130" s="2908" t="n"/>
    </row>
    <row r="131" s="3154" customFormat="1" ht="13.5" customHeight="1">
      <c r="A131" s="2940" t="inlineStr">
        <is>
          <t xml:space="preserve">LS-08</t>
        </is>
      </c>
      <c r="B131" s="2940" t="inlineStr">
        <is>
          <t xml:space="preserve">AED — Automated External Defibrillator</t>
        </is>
      </c>
      <c r="C131" s="2940" t="inlineStr">
        <is>
          <t xml:space="preserve">Philips HeartStart OnSite AED; 8-yr warranty; adult smart pads; lithium battery (4-yr); carrying case; premium wall cabinet; AED sign; CPR responder kit; inspection tag; maintenance support</t>
        </is>
      </c>
      <c r="D131" s="2940" t="inlineStr">
        <is>
          <t xml:space="preserve">American AED (Philips)</t>
        </is>
      </c>
      <c r="E131" s="2941" t="inlineStr">
        <is>
          <t xml:space="preserve">https://americanaed.com/aed-solutions/community-churches</t>
        </is>
      </c>
      <c r="F131" s="2940" t="inlineStr">
        <is>
          <t xml:space="preserve">each</t>
        </is>
      </c>
      <c r="G131" s="2942" t="n">
        <v>1</v>
      </c>
      <c r="H131" s="2943" t="inlineStr">
        <is>
          <t xml:space="preserve">$1,549</t>
        </is>
      </c>
      <c r="I131" s="2979" t="n">
        <v>1549</v>
      </c>
      <c r="J131" s="4319" t="n">
        <f t="array" ref="J131">IFERROR(G131*I131,0)</f>
        <v>1549</v>
      </c>
      <c r="K131" s="2946" t="n">
        <v>1549</v>
      </c>
      <c r="L131" s="2947" t="inlineStr">
        <is>
          <t xml:space="preserve">MATCH</t>
        </is>
      </c>
      <c r="M131" s="2948" t="inlineStr">
        <is>
          <t xml:space="preserve">americanaed.com; $1,549 confirmed. Verified prior session.</t>
        </is>
      </c>
      <c r="N131" s="2949" t="n"/>
      <c r="O131" s="2908" t="n"/>
    </row>
    <row r="132" s="3154" customFormat="1" ht="13.5" customHeight="1">
      <c r="A132" s="2940" t="inlineStr">
        <is>
          <t xml:space="preserve">LS-09</t>
        </is>
      </c>
      <c r="B132" s="2940" t="inlineStr">
        <is>
          <t xml:space="preserve">First Aid Kit</t>
        </is>
      </c>
      <c r="C132" s="2940" t="inlineStr">
        <is>
          <t xml:space="preserve">Commercial-grade wall-mount first aid cabinet; OSHA compliant; restockable</t>
        </is>
      </c>
      <c r="D132" s="2940" t="inlineStr">
        <is>
          <t xml:space="preserve">Local supplier</t>
        </is>
      </c>
      <c r="E132" s="2941" t="inlineStr">
        <is>
          <t xml:space="preserve">https://americanaed.com/aed-solutions/community-churches</t>
        </is>
      </c>
      <c r="F132" s="2940" t="inlineStr">
        <is>
          <t xml:space="preserve">each</t>
        </is>
      </c>
      <c r="G132" s="3022" t="n">
        <v>3</v>
      </c>
      <c r="H132" s="2986" t="n"/>
      <c r="I132" s="2944" t="n"/>
      <c r="J132" s="4319" t="n">
        <f t="array" ref="J132">IFERROR(G132*I132,0)</f>
        <v>0</v>
      </c>
      <c r="K132" s="2951" t="inlineStr">
        <is>
          <t xml:space="preserve">—</t>
        </is>
      </c>
      <c r="L132" s="2987" t="inlineStr">
        <is>
          <t xml:space="preserve">NO PRICE</t>
        </is>
      </c>
      <c r="M132" s="2948" t="inlineStr">
        <is>
          <t xml:space="preserve">Same link as LS-08 (AED page). Need specific first aid kit product.</t>
        </is>
      </c>
      <c r="N132" s="2949" t="n"/>
      <c r="O132" s="2908" t="n"/>
    </row>
    <row r="133" s="3154" customFormat="1" ht="13.5" customHeight="1">
      <c r="A133" s="2940" t="inlineStr">
        <is>
          <t xml:space="preserve">LS-10</t>
        </is>
      </c>
      <c r="B133" s="2940" t="inlineStr">
        <is>
          <t xml:space="preserve">ADA Signage Package</t>
        </is>
      </c>
      <c r="C133" s="2940" t="inlineStr">
        <is>
          <t xml:space="preserve">ADA-compliant tactile room ID, restroom, and accessibility signs; Braille + raised text</t>
        </is>
      </c>
      <c r="D133" s="2940" t="inlineStr">
        <is>
          <t xml:space="preserve">Local supplier</t>
        </is>
      </c>
      <c r="E133" s="2941" t="inlineStr">
        <is>
          <t xml:space="preserve">https://americanaed.com/aed-solutions/community-churches</t>
        </is>
      </c>
      <c r="F133" s="2940" t="inlineStr">
        <is>
          <t xml:space="preserve">each</t>
        </is>
      </c>
      <c r="G133" s="3022" t="n">
        <v>1</v>
      </c>
      <c r="H133" s="3102" t="n"/>
      <c r="I133" s="2963" t="n"/>
      <c r="J133" s="4321" t="n">
        <f t="array" ref="J133">IFERROR(G133*I133,0)</f>
        <v>0</v>
      </c>
      <c r="K133" s="2951" t="inlineStr">
        <is>
          <t xml:space="preserve">—</t>
        </is>
      </c>
      <c r="L133" s="2987" t="inlineStr">
        <is>
          <t xml:space="preserve">NO PRICE</t>
        </is>
      </c>
      <c r="M133" s="2948" t="inlineStr">
        <is>
          <t xml:space="preserve">Same link as LS-08. Need specific ADA signage product.</t>
        </is>
      </c>
      <c r="N133" s="2949" t="n"/>
      <c r="O133" s="2908" t="n"/>
    </row>
    <row r="134" s="3154" customFormat="1" ht="13.5" customHeight="1">
      <c r="A134" s="2965" t="inlineStr">
        <is>
          <t xml:space="preserve">LS-12</t>
        </is>
      </c>
      <c r="B134" s="3073" t="inlineStr">
        <is>
          <t xml:space="preserve">Smart Smoke Detector (Tuya WiFi)</t>
        </is>
      </c>
      <c r="C134" s="3103" t="inlineStr">
        <is>
          <t xml:space="preserve">Tuya WiFi interconnected smart wireless cigarette smoke detector; 10-year battery; hotel-grade; new generation technology</t>
        </is>
      </c>
      <c r="D134" s="3103" t="inlineStr">
        <is>
          <t xml:space="preserve">Alibaba Supplier</t>
        </is>
      </c>
      <c r="E134" s="3104" t="inlineStr">
        <is>
          <t xml:space="preserve">https://www.alibaba.com/product-detail/10-Years-Battery-Powered-Hotel-Smart_1600862542572.html</t>
        </is>
      </c>
      <c r="F134" s="3103" t="inlineStr">
        <is>
          <t xml:space="preserve">each</t>
        </is>
      </c>
      <c r="G134" s="3105" t="n">
        <f>$B$8</f>
        <v>100</v>
      </c>
      <c r="H134" s="3106" t="inlineStr">
        <is>
          <t xml:space="preserve">$12.96 (1-63), $12.65 (64-1260), $12.34 (1261+)</t>
        </is>
      </c>
      <c r="I134" s="2969" t="n">
        <v>12.65</v>
      </c>
      <c r="J134" s="4322" t="n">
        <f t="array" ref="J134">IFERROR(G134*I134,0)</f>
        <v>1265</v>
      </c>
      <c r="K134" s="2971" t="n">
        <v>12.65</v>
      </c>
      <c r="L134" s="2972" t="inlineStr">
        <is>
          <t xml:space="preserve">MATCH</t>
        </is>
      </c>
      <c r="M134" s="2973" t="inlineStr">
        <is>
          <t xml:space="preserve">100-key update: one detector per guest room; 64-1260 tier remains $12.65.</t>
        </is>
      </c>
      <c r="N134" s="2974" t="inlineStr">
        <is>
          <t xml:space="preserve">Rona Luo (Shenzhen Ariza Electronic)</t>
        </is>
      </c>
      <c r="O134" s="2975" t="inlineStr">
        <is>
          <t xml:space="preserve">Sent 20:31</t>
        </is>
      </c>
    </row>
    <row r="135" s="3154" customFormat="1" ht="13.5" customHeight="1">
      <c r="A135" s="2935" t="inlineStr">
        <is>
          <t xml:space="preserve">  BRAND SIGNAGE (SG)</t>
        </is>
      </c>
      <c r="B135" s="3009" t="n"/>
      <c r="C135" s="3009" t="n"/>
      <c r="D135" s="3009" t="n"/>
      <c r="E135" s="3039" t="inlineStr">
        <is>
          <t xml:space="preserve">https://www.alibaba.com/product-detail/Building-Signs-Exterior-Outdoor-Large-Illuminated_1601504918239.html</t>
        </is>
      </c>
      <c r="F135" s="3009" t="n"/>
      <c r="G135" s="3009" t="n"/>
      <c r="H135" s="2937" t="n"/>
      <c r="I135" s="2937" t="n"/>
      <c r="J135" s="3100" t="n"/>
      <c r="K135" s="2939" t="n"/>
      <c r="L135" s="2939" t="n"/>
      <c r="M135" s="2939" t="n"/>
      <c r="N135" s="50" t="n"/>
      <c r="O135" s="2908" t="n"/>
    </row>
    <row r="136" s="3154" customFormat="1" ht="13.5" customHeight="1">
      <c r="A136" s="2940" t="inlineStr">
        <is>
          <t xml:space="preserve">SG-01</t>
        </is>
      </c>
      <c r="B136" s="2940" t="inlineStr">
        <is>
          <t xml:space="preserve">Exterior Illuminated Brand Sign</t>
        </is>
      </c>
      <c r="C136" s="2940" t="inlineStr">
        <is>
          <t xml:space="preserve">Large illuminated LED building sign; Sleep Space branding; custom fabrication; outdoor-rated</t>
        </is>
      </c>
      <c r="D136" s="2940" t="inlineStr">
        <is>
          <t xml:space="preserve">RFQ — Alibaba (TBD)</t>
        </is>
      </c>
      <c r="E136" s="2941" t="inlineStr">
        <is>
          <t xml:space="preserve">https://www.alibaba.com/product-detail/Building-Signs-Exterior-Outdoor-Large-Illuminated_1601504918239.html</t>
        </is>
      </c>
      <c r="F136" s="2940" t="inlineStr">
        <is>
          <t xml:space="preserve">each</t>
        </is>
      </c>
      <c r="G136" s="2942" t="n">
        <v>1</v>
      </c>
      <c r="H136" s="3107" t="inlineStr">
        <is>
          <t xml:space="preserve">RFQ — est ~$3,500</t>
        </is>
      </c>
      <c r="I136" s="2979" t="n">
        <v>3500</v>
      </c>
      <c r="J136" s="4319" t="n">
        <f t="array" ref="J136">IFERROR(G136*I136,0)</f>
        <v>3500</v>
      </c>
      <c r="K136" s="2946" t="n">
        <v>120</v>
      </c>
      <c r="L136" s="2987" t="inlineStr">
        <is>
          <t xml:space="preserve">RFQ</t>
        </is>
      </c>
      <c r="M136" s="2948" t="inlineStr">
        <is>
          <t xml:space="preserve">Alibaba generic $120 (1-99). Custom illuminated hotel building sign est ~$3,500. Needs RFQ for Sleep Space branding. Verified 4/25.</t>
        </is>
      </c>
      <c r="N136" s="2949" t="n"/>
      <c r="O136" s="2908" t="n"/>
    </row>
    <row r="137" s="3154" customFormat="1" ht="13.5" customHeight="1">
      <c r="A137" s="2940" t="inlineStr">
        <is>
          <t xml:space="preserve">SG-02</t>
        </is>
      </c>
      <c r="B137" s="3012" t="inlineStr">
        <is>
          <t xml:space="preserve">Interior Wayfinding Signs</t>
        </is>
      </c>
      <c r="C137" s="2981" t="inlineStr">
        <is>
          <t xml:space="preserve">Factory custom hotel room number signs; metal; one-stop service quality assurance; door sign for hotel room</t>
        </is>
      </c>
      <c r="D137" s="2981" t="inlineStr">
        <is>
          <t xml:space="preserve">Alibaba Supplier</t>
        </is>
      </c>
      <c r="E137" s="2982" t="inlineStr">
        <is>
          <t xml:space="preserve">https://www.alibaba.com/product-detail/Factory-Customization-Hotel-Rooms-Number-Sines_1601703097541.html</t>
        </is>
      </c>
      <c r="F137" s="2981" t="inlineStr">
        <is>
          <t xml:space="preserve">each</t>
        </is>
      </c>
      <c r="G137" s="3015" t="n">
        <v>20</v>
      </c>
      <c r="H137" s="3013" t="inlineStr">
        <is>
          <t xml:space="preserve">$16.12 (1-19), $12.22 (20-49), $9.11 (50+)</t>
        </is>
      </c>
      <c r="I137" s="3052" t="n">
        <v>9.109999999999999</v>
      </c>
      <c r="J137" s="4325" t="n">
        <f t="array" ref="J137">IFERROR(G137*I137,0)</f>
        <v>182.2</v>
      </c>
      <c r="K137" s="2946" t="n">
        <v>9.109999999999999</v>
      </c>
      <c r="L137" s="2947" t="inlineStr">
        <is>
          <t xml:space="preserve">MATCH</t>
        </is>
      </c>
      <c r="M137" s="2948" t="inlineStr">
        <is>
          <t xml:space="preserve">New link. $9.11 (50+ tier). Same supplier for wayfinding signs. Verified 4/25.</t>
        </is>
      </c>
      <c r="N137" s="2949" t="n"/>
      <c r="O137" s="2908" t="n"/>
    </row>
    <row r="138" s="3154" customFormat="1" ht="13.5" customHeight="1">
      <c r="A138" s="2953" t="inlineStr">
        <is>
          <t xml:space="preserve">BA-23</t>
        </is>
      </c>
      <c r="B138" s="2953" t="inlineStr">
        <is>
          <t xml:space="preserve">Shower Non-Slip Floor Mat</t>
        </is>
      </c>
      <c r="C138" s="2953" t="inlineStr">
        <is>
          <t xml:space="preserve">Anti-bacterial PVC non-slip mat; drain holes; cuttable; quick drying footmat for bathroom/bathtub/shower</t>
        </is>
      </c>
      <c r="D138" s="2953" t="inlineStr">
        <is>
          <t xml:space="preserve">Alibaba Supplier</t>
        </is>
      </c>
      <c r="E138" s="2953" t="inlineStr">
        <is>
          <t xml:space="preserve">https://www.alibaba.com/product-detail/Anti-Bacterial-PVC-Non-Slip-with_1601172318551.html</t>
        </is>
      </c>
      <c r="F138" s="2953" t="inlineStr">
        <is>
          <t xml:space="preserve">each</t>
        </is>
      </c>
      <c r="G138" s="2954" t="n">
        <f t="array" ref="G138">$B$12</f>
        <v>67</v>
      </c>
      <c r="H138" s="2953" t="inlineStr">
        <is>
          <t xml:space="preserve">$2.90 (100-499), $2.75 (500-2999), $2.55 (3K+)</t>
        </is>
      </c>
      <c r="I138" s="692" t="n">
        <v>2.9</v>
      </c>
      <c r="J138" s="4320" t="n">
        <f t="array" ref="J138">IFERROR(G138*I138,0)</f>
        <v>194.29999999999998</v>
      </c>
      <c r="K138" s="3108" t="n">
        <v>2.9</v>
      </c>
      <c r="L138" s="2956" t="inlineStr">
        <is>
          <t xml:space="preserve">MATCH</t>
        </is>
      </c>
      <c r="M138" s="2956" t="inlineStr">
        <is>
          <t xml:space="preserve">New item. PVC non-slip shower mat. $2.90 (100-499 tier, below MOQ at 21). Verified 4/25.</t>
        </is>
      </c>
      <c r="N138" s="50" t="n"/>
      <c r="O138" s="2908" t="n"/>
    </row>
    <row r="139" s="3154" customFormat="1" ht="13.5" customHeight="1">
      <c r="A139" s="738" t="inlineStr">
        <is>
          <t xml:space="preserve">SG-03</t>
        </is>
      </c>
      <c r="B139" s="738" t="inlineStr">
        <is>
          <t xml:space="preserve">LED Display Outdoor Sign</t>
        </is>
      </c>
      <c r="C139" s="738" t="inlineStr">
        <is>
          <t xml:space="preserve">LED screen display outdoor panel; P5/P8/P10; high brightness; 960×960; full color waterproof LED video wall</t>
        </is>
      </c>
      <c r="D139" s="738" t="inlineStr">
        <is>
          <t xml:space="preserve">Alibaba Supplier</t>
        </is>
      </c>
      <c r="E139" s="738" t="inlineStr">
        <is>
          <t xml:space="preserve">https://www.alibaba.com/product-detail/Led-Screen-Led-Display-Outdoor-Led_1600756695414.html</t>
        </is>
      </c>
      <c r="F139" s="738" t="inlineStr">
        <is>
          <t xml:space="preserve">each</t>
        </is>
      </c>
      <c r="G139" s="693" t="n">
        <v>1</v>
      </c>
      <c r="H139" s="738" t="inlineStr">
        <is>
          <t xml:space="preserve">$350 (1-99), $280 (100-499), $200 (500+)</t>
        </is>
      </c>
      <c r="I139" s="692" t="n">
        <v>350</v>
      </c>
      <c r="J139" s="4320" t="n">
        <f t="array" ref="J139">IFERROR(G139*I139,0)</f>
        <v>350</v>
      </c>
      <c r="K139" s="692" t="n">
        <v>350</v>
      </c>
      <c r="L139" s="738" t="inlineStr">
        <is>
          <t xml:space="preserve">RFQ</t>
        </is>
      </c>
      <c r="M139" s="738" t="inlineStr">
        <is>
          <t xml:space="preserve">New item. LED display $350 (1-99). Needs RFQ for custom Sleep Space size/spec. Verified 4/25.</t>
        </is>
      </c>
      <c r="N139" s="50" t="n"/>
      <c r="O139" s="2908" t="n"/>
    </row>
    <row r="140" s="3154" customFormat="1" ht="13.5" customHeight="1">
      <c r="A140" s="738" t="inlineStr">
        <is>
          <t xml:space="preserve">SG-04</t>
        </is>
      </c>
      <c r="B140" s="738" t="inlineStr">
        <is>
          <t xml:space="preserve">Pylon / Totem Sign</t>
        </is>
      </c>
      <c r="C140" s="738" t="inlineStr">
        <is>
          <t xml:space="preserve">Custom company advertising LED pylon sign; outdoor gas station style totem sign; illuminated; manufacturer direct</t>
        </is>
      </c>
      <c r="D140" s="738" t="inlineStr">
        <is>
          <t xml:space="preserve">Alibaba Supplier</t>
        </is>
      </c>
      <c r="E140" s="738" t="inlineStr">
        <is>
          <t xml:space="preserve">https://www.alibaba.com/product-detail/Custom-Company-Advertising-Led-Pylon-Signs_1600572593836.html</t>
        </is>
      </c>
      <c r="F140" s="738" t="inlineStr">
        <is>
          <t xml:space="preserve">each</t>
        </is>
      </c>
      <c r="G140" s="693" t="n">
        <v>1</v>
      </c>
      <c r="H140" s="738" t="inlineStr">
        <is>
          <t xml:space="preserve">$1,200 (1-49), $800 (50-499)</t>
        </is>
      </c>
      <c r="I140" s="692" t="n">
        <v>1200</v>
      </c>
      <c r="J140" s="4320" t="n">
        <f t="array" ref="J140">IFERROR(G140*I140,0)</f>
        <v>1200</v>
      </c>
      <c r="K140" s="692" t="n">
        <v>1200</v>
      </c>
      <c r="L140" s="738" t="inlineStr">
        <is>
          <t xml:space="preserve">RFQ</t>
        </is>
      </c>
      <c r="M140" s="738" t="inlineStr">
        <is>
          <t xml:space="preserve">New item. Pylon sign $1,200 (1-49). Needs RFQ for custom Sleep Space branding. Verified 4/25.</t>
        </is>
      </c>
      <c r="N140" s="50" t="n"/>
      <c r="O140" s="2908" t="n"/>
    </row>
    <row r="141" s="3154" customFormat="1" ht="13.5" customHeight="1">
      <c r="A141" s="3109" t="inlineStr">
        <is>
          <t xml:space="preserve">AM-05</t>
        </is>
      </c>
      <c r="B141" s="3109" t="inlineStr">
        <is>
          <t xml:space="preserve">Bevi Countertop Water Dispenser</t>
        </is>
      </c>
      <c r="C141" s="3109" t="inlineStr">
        <is>
          <t xml:space="preserve">Smart countertop water dispenser — still / sparkling / flavored / electrolyte; touchless dispensing; cuts single-use plastic bottle waste. Lobby + breakfast area.</t>
        </is>
      </c>
      <c r="D141" s="3109" t="inlineStr">
        <is>
          <t xml:space="preserve">Bevi</t>
        </is>
      </c>
      <c r="E141" s="3109" t="inlineStr">
        <is>
          <t xml:space="preserve">https://bevi.co/water-dispensers/countertop-water-dispensers/</t>
        </is>
      </c>
      <c r="F141" s="3109" t="inlineStr">
        <is>
          <t xml:space="preserve">each</t>
        </is>
      </c>
      <c r="G141" s="3110" t="n">
        <v>2</v>
      </c>
      <c r="H141" s="3109" t="inlineStr">
        <is>
          <t xml:space="preserve">Bevi is subscription/lease (~$50-100/mo) — quote required</t>
        </is>
      </c>
      <c r="I141" s="3111" t="n">
        <v>1200</v>
      </c>
      <c r="J141" s="4339" t="n">
        <f t="array" ref="J141">IFERROR(G141*I141,0)</f>
        <v>2400</v>
      </c>
      <c r="K141" s="692" t="n">
        <v>1200</v>
      </c>
      <c r="L141" s="738" t="inlineStr">
        <is>
          <t xml:space="preserve">RFQ</t>
        </is>
      </c>
      <c r="M141" s="738" t="inlineStr">
        <is>
          <t xml:space="preserve">Bevi countertop dispenser. Pricing is subscription-based; $1,200/unit placeholder pending quote. Qty 2 = lobby + breakfast area.</t>
        </is>
      </c>
      <c r="N141" s="50" t="n"/>
      <c r="O141" s="2908" t="n"/>
    </row>
    <row r="142" s="3154" customFormat="1" ht="13.5" customHeight="1">
      <c r="A142" s="3113" t="n"/>
      <c r="B142" s="3114" t="inlineStr">
        <is>
          <t xml:space="preserve">ESTIMATED PROCUREMENT TOTAL</t>
        </is>
      </c>
      <c r="C142" s="3115" t="n"/>
      <c r="D142" s="3115" t="n"/>
      <c r="E142" s="3115" t="n"/>
      <c r="F142" s="3115" t="n"/>
      <c r="G142" s="3115" t="n"/>
      <c r="H142" s="3115" t="n"/>
      <c r="I142" s="3115" t="n"/>
      <c r="J142" s="4340" t="n">
        <f t="array" ref="J142">SUM(J17:J141)</f>
        <v>229997.72999999998</v>
      </c>
      <c r="K142" s="81" t="n"/>
      <c r="L142" s="50" t="n"/>
      <c r="M142" s="50" t="n"/>
      <c r="N142" s="50" t="n"/>
      <c r="O142" s="2908" t="n"/>
    </row>
    <row r="143" s="3154" customFormat="1" ht="13.5" customHeight="1">
      <c r="A143" s="3117" t="inlineStr">
        <is>
          <t xml:space="preserve">  Legend:</t>
        </is>
      </c>
      <c r="B143" s="3118" t="n"/>
      <c r="C143" s="3118" t="n"/>
      <c r="D143" s="3118" t="n"/>
      <c r="E143" s="3119" t="inlineStr">
        <is>
          <t xml:space="preserve">https://www.alibaba.com/product-detail/Building-Signs-Exterior-Outdoor-Large-Illuminated_1601504918239.html</t>
        </is>
      </c>
      <c r="F143" s="3118" t="n"/>
      <c r="G143" s="3118" t="n"/>
      <c r="H143" s="3118" t="n"/>
      <c r="I143" s="3120" t="n"/>
      <c r="J143" s="3121" t="n"/>
      <c r="K143" s="50" t="n"/>
      <c r="L143" s="50" t="n"/>
      <c r="M143" s="50" t="n"/>
      <c r="N143" s="50" t="n"/>
      <c r="O143" s="2908" t="n"/>
    </row>
    <row r="144" s="3154" customFormat="1" ht="13.5" customHeight="1">
      <c r="A144" s="3122" t="inlineStr">
        <is>
          <t xml:space="preserve">  Light Blue = GC / Local Contractor Scope</t>
        </is>
      </c>
      <c r="B144" s="3123" t="inlineStr">
        <is>
          <t xml:space="preserve">RFQ / missing-price allowance ($150/item average)</t>
        </is>
      </c>
      <c r="C144" s="50" t="n"/>
      <c r="D144" s="50" t="n"/>
      <c r="E144" s="50" t="n"/>
      <c r="F144" s="50" t="n"/>
      <c r="G144" s="2908" t="n"/>
      <c r="H144" s="85" t="n"/>
      <c r="I144" s="3124" t="n"/>
      <c r="J144" s="4341" t="n">
        <f t="array" ref="J144">COUNTBLANK(I17:I141)*150</f>
        <v>2400</v>
      </c>
      <c r="K144" s="50" t="n"/>
      <c r="L144" s="50" t="n"/>
      <c r="M144" s="50" t="n"/>
      <c r="N144" s="50" t="n"/>
      <c r="O144" s="2908" t="n"/>
    </row>
    <row r="145" s="3154" customFormat="1" ht="15" customHeight="1">
      <c r="A145" s="3126" t="inlineStr">
        <is>
          <t xml:space="preserve">  Light Orange = Tuya Smart Home Integration</t>
        </is>
      </c>
      <c r="B145" s="3127" t="inlineStr">
        <is>
          <t xml:space="preserve">Freight + Tariff allowance (~15%)</t>
        </is>
      </c>
      <c r="C145" s="50" t="n"/>
      <c r="D145" s="50" t="n"/>
      <c r="E145" s="50" t="n"/>
      <c r="F145" s="50" t="n"/>
      <c r="G145" s="2908" t="n"/>
      <c r="H145" s="85" t="n"/>
      <c r="I145" s="3128" t="n"/>
      <c r="J145" s="4342" t="n">
        <f t="array" ref="J145">(J142+J144)*0.15</f>
        <v>34859.659499999994</v>
      </c>
      <c r="K145" s="81" t="n"/>
      <c r="L145" s="50" t="n"/>
      <c r="M145" s="50" t="n"/>
      <c r="N145" s="50" t="n"/>
      <c r="O145" s="2908" t="n"/>
    </row>
    <row r="146" s="3154" customFormat="1" ht="15" customHeight="1">
      <c r="A146" s="2915" t="inlineStr">
        <is>
          <t xml:space="preserve">  RFQ — Alibaba (TBD) = supplier to be selected at RFQ</t>
        </is>
      </c>
      <c r="B146" s="2776" t="inlineStr">
        <is>
          <t xml:space="preserve">FF&amp;E Contingency (~5%)</t>
        </is>
      </c>
      <c r="C146" s="50" t="n"/>
      <c r="D146" s="50" t="n"/>
      <c r="E146" s="50" t="n"/>
      <c r="F146" s="50" t="n"/>
      <c r="G146" s="2908" t="n"/>
      <c r="H146" s="50" t="n"/>
      <c r="I146" s="2917" t="n"/>
      <c r="J146" s="4343" t="n">
        <f t="array" ref="J146">(J142+J144+J145)*0.05</f>
        <v>13362.869475</v>
      </c>
      <c r="K146" s="50" t="n"/>
      <c r="L146" s="50" t="n"/>
      <c r="M146" s="50" t="n"/>
      <c r="N146" s="50" t="n"/>
      <c r="O146" s="2908" t="n"/>
    </row>
    <row r="147" s="3154" customFormat="1" ht="15" customHeight="1">
      <c r="A147" s="3131" t="n"/>
      <c r="B147" s="3132" t="inlineStr">
        <is>
          <t xml:space="preserve">FF&amp;E ALL-IN (procurement + freight + contingency)</t>
        </is>
      </c>
      <c r="C147" s="2920" t="n"/>
      <c r="D147" s="2912" t="n"/>
      <c r="E147" s="2921" t="n"/>
      <c r="F147" s="2912" t="n"/>
      <c r="G147" s="2912" t="n"/>
      <c r="H147" s="2912" t="n"/>
      <c r="I147" s="3131" t="n"/>
      <c r="J147" s="4344" t="n">
        <f t="array" ref="J147">J142+J144+J145+J146</f>
        <v>271720.200000000011642</v>
      </c>
      <c r="K147" s="81" t="n"/>
      <c r="L147" s="50" t="n"/>
      <c r="M147" s="50" t="n"/>
      <c r="N147" s="50" t="n"/>
      <c r="O147" s="2908" t="n"/>
    </row>
    <row r="148" s="3154" customFormat="1" ht="15" customHeight="1">
      <c r="A148" s="2912" t="n"/>
      <c r="B148" s="2315" t="inlineStr">
        <is>
          <t xml:space="preserve">Per Key ($/key)</t>
        </is>
      </c>
      <c r="C148" s="50" t="n"/>
      <c r="D148" s="50" t="n"/>
      <c r="E148" s="50" t="n"/>
      <c r="F148" s="50" t="n"/>
      <c r="G148" s="2908" t="n"/>
      <c r="H148" s="50" t="n"/>
      <c r="I148" s="2912" t="n"/>
      <c r="J148" s="4345" t="n">
        <f t="array" ref="J148">J147/B8</f>
        <v>2717.202000000000226</v>
      </c>
      <c r="K148" s="50" t="n"/>
      <c r="L148" s="50" t="n"/>
      <c r="M148" s="50" t="n"/>
      <c r="N148" s="50" t="n"/>
      <c r="O148" s="2908" t="n"/>
    </row>
    <row r="149" s="3154" customFormat="1" ht="60" customHeight="1">
      <c r="A149" s="2912" t="n"/>
      <c r="B149" s="50" t="n"/>
      <c r="C149" s="50" t="n"/>
      <c r="D149" s="50" t="n"/>
      <c r="E149" s="50" t="n"/>
      <c r="F149" s="50" t="n"/>
      <c r="G149" s="2908" t="n"/>
      <c r="H149" s="50" t="n"/>
      <c r="I149" s="2912" t="n"/>
      <c r="J149" s="50" t="n"/>
      <c r="K149" s="50" t="n"/>
      <c r="L149" s="50" t="n"/>
      <c r="M149" s="50" t="n"/>
      <c r="N149" s="50" t="n"/>
      <c r="O149" s="2908" t="n"/>
    </row>
    <row r="150" s="3154" customFormat="1" ht="60" customHeight="1">
      <c r="A150" s="2912" t="n"/>
      <c r="B150" s="113" t="inlineStr">
        <is>
          <t xml:space="preserve">ESTIMATED PROCUREMENT TOTAL</t>
        </is>
      </c>
      <c r="C150" s="50" t="n"/>
      <c r="D150" s="50" t="n"/>
      <c r="E150" s="50" t="n"/>
      <c r="F150" s="50" t="n"/>
      <c r="G150" s="2908" t="n"/>
      <c r="H150" s="50" t="n"/>
      <c r="I150" s="2912" t="n"/>
      <c r="J150" s="4346" t="n">
        <f t="array" ref="J150">J142</f>
        <v>229997.72999999998</v>
      </c>
      <c r="K150" s="50" t="n"/>
      <c r="L150" s="50" t="n"/>
      <c r="M150" s="50" t="n"/>
      <c r="N150" s="50" t="n"/>
      <c r="O150" s="2908" t="n"/>
    </row>
    <row r="151" s="3154" customFormat="1" ht="15" customHeight="1">
      <c r="A151" s="2912" t="n"/>
      <c r="B151" s="113" t="inlineStr">
        <is>
          <t xml:space="preserve">Per Key ($/key)</t>
        </is>
      </c>
      <c r="C151" s="50" t="n"/>
      <c r="D151" s="50" t="n"/>
      <c r="E151" s="50" t="n"/>
      <c r="F151" s="50" t="n"/>
      <c r="G151" s="2908" t="n"/>
      <c r="H151" s="50" t="n"/>
      <c r="I151" s="2912" t="n"/>
      <c r="J151" s="4346" t="n">
        <f t="array" ref="J151">J147/B8</f>
        <v>2806.2025897500002</v>
      </c>
      <c r="K151" s="50" t="n"/>
      <c r="L151" s="50" t="n"/>
      <c r="M151" s="50" t="n"/>
      <c r="N151" s="50" t="n"/>
      <c r="O151" s="2908" t="n"/>
    </row>
    <row r="152" s="3154" customFormat="1" ht="15" customHeight="1">
      <c r="A152" s="2912" t="n"/>
      <c r="B152" s="113" t="inlineStr">
        <is>
          <t xml:space="preserve">Per Bathroom ($/bath)</t>
        </is>
      </c>
      <c r="C152" s="50" t="n"/>
      <c r="D152" s="50" t="n"/>
      <c r="E152" s="50" t="n"/>
      <c r="F152" s="50" t="n"/>
      <c r="G152" s="2908" t="n"/>
      <c r="H152" s="50" t="n"/>
      <c r="I152" s="2912" t="n"/>
      <c r="J152" s="4346" t="n">
        <f t="array" ref="J152">J147/B12</f>
        <v>4188.362074253731</v>
      </c>
      <c r="K152" s="50" t="n"/>
      <c r="L152" s="50" t="n"/>
      <c r="M152" s="50" t="n"/>
      <c r="N152" s="50" t="n"/>
      <c r="O152" s="2908" t="n"/>
    </row>
    <row r="153" s="3154" customFormat="1" ht="15" customHeight="1">
      <c r="A153" s="2912" t="n"/>
      <c r="B153" s="50" t="n"/>
      <c r="C153" s="50" t="n"/>
      <c r="D153" s="50" t="n"/>
      <c r="E153" s="50" t="n"/>
      <c r="F153" s="50" t="n"/>
      <c r="G153" s="2908" t="n"/>
      <c r="H153" s="50" t="n"/>
      <c r="I153" s="2912" t="n"/>
      <c r="J153" s="50" t="n"/>
      <c r="K153" s="50" t="n"/>
      <c r="L153" s="50" t="n"/>
      <c r="M153" s="50" t="n"/>
      <c r="N153" s="50" t="n"/>
      <c r="O153" s="2908" t="n"/>
    </row>
    <row r="154" s="3154" customFormat="1" ht="15" customHeight="1">
      <c r="A154" s="50" t="n"/>
      <c r="B154" s="111" t="inlineStr">
        <is>
          <t xml:space="preserve">NOTE: Qty column now uses formulas tied to room counts ($B$8 Total Rooms, $B$12 Total Bathrooms). Change EP or Economy room counts at B6/B7 and quantities/totals recalculate. Multipliers applied for linens/towels (2-3 per room).</t>
        </is>
      </c>
      <c r="C154" s="50" t="n"/>
      <c r="D154" s="50" t="n"/>
      <c r="E154" s="50" t="n"/>
      <c r="F154" s="50" t="n"/>
      <c r="G154" s="2908" t="n"/>
      <c r="H154" s="50" t="n"/>
      <c r="I154" s="50" t="n"/>
      <c r="J154" s="50" t="n"/>
      <c r="K154" s="50" t="n"/>
      <c r="L154" s="50" t="n"/>
      <c r="M154" s="50" t="n"/>
      <c r="N154" s="50" t="n"/>
      <c r="O154" s="2908" t="n"/>
    </row>
  </sheetData>
  <mergeCells>
    <mergeCell ref="A4:H4"/>
    <mergeCell ref="A2:H2"/>
    <mergeCell ref="A16:H16"/>
    <mergeCell ref="A1:H1"/>
  </mergeCells>
  <conditionalFormatting sqref="J17:J39 J41:J66 J68:J78 J80:J85 J87:J88 J90:J111 J113:J118 J121:J129 J131:J134 J136:J142">
    <cfRule type="cellIs" dxfId="0" priority="1" stopIfTrue="1" operator="lessThan">
      <formula>0</formula>
    </cfRule>
  </conditionalFormatting>
  <pageMargins left="0.7" right="0.7" top="0.75" bottom="0.75" header="0.3" footer="0.3"/>
</worksheet>
</file>

<file path=xl/worksheets/sheet37.xml><?xml version="1.0" encoding="utf-8"?>
<worksheet xmlns="http://schemas.openxmlformats.org/spreadsheetml/2006/main">
  <sheetViews>
    <sheetView showGridLines="0" workbookViewId="0"/>
  </sheetViews>
  <sheetFormatPr baseColWidth="8" defaultColWidth="8.666669845581055" defaultRowHeight="15"/>
  <cols>
    <col min="1" max="1" width="3" style="3136" customWidth="1"/>
    <col min="2" max="2" width="40" style="3136" customWidth="1"/>
    <col min="3" max="4" width="17" style="3136" customWidth="1"/>
    <col min="5" max="5" width="15" style="3136" customWidth="1"/>
    <col min="6" max="6" width="50" style="3136" customWidth="1"/>
    <col min="7" max="16384" width="8.671879768371582" style="3136" customWidth="1"/>
  </cols>
  <sheetData>
    <row r="1" s="3154" customFormat="1" ht="25.5" customHeight="1">
      <c r="A1" s="3201" t="inlineStr">
        <is>
          <t xml:space="preserve">CREW ROOM SCENARIO — bunk inventory for work crews</t>
        </is>
      </c>
      <c r="B1" s="3202" t="n"/>
      <c r="C1" s="3202" t="n"/>
      <c r="D1" s="3202" t="n"/>
      <c r="E1" s="3202" t="n"/>
      <c r="F1" s="3203" t="n"/>
    </row>
    <row r="2" s="3154" customFormat="1" ht="15" customHeight="1">
      <c r="A2" s="123" t="inlineStr">
        <is>
          <t xml:space="preserve">Standalone - what ~10% of the 100-key site as 4-bunk crew rooms does to revenue</t>
        </is>
      </c>
      <c r="B2" s="3204" t="n"/>
      <c r="C2" s="3204" t="n"/>
      <c r="D2" s="3204" t="n"/>
      <c r="E2" s="3204" t="n"/>
      <c r="F2" s="3205" t="n"/>
    </row>
    <row r="3" s="3154" customFormat="1" ht="14.600000381469727" customHeight="1">
      <c r="A3" s="125" t="n"/>
      <c r="B3" s="125" t="n"/>
      <c r="C3" s="125" t="n"/>
      <c r="D3" s="125" t="n"/>
      <c r="E3" s="125" t="n"/>
      <c r="F3" s="125" t="n"/>
    </row>
    <row r="4" s="3154" customFormat="1" ht="15" customHeight="1">
      <c r="A4" s="4347" t="inlineStr">
        <is>
          <t xml:space="preserve">ASSUMPTIONS (edit the yellow cells)</t>
        </is>
      </c>
      <c r="F4" s="3162" t="n"/>
    </row>
    <row r="5" s="3154" customFormat="1" ht="15" customHeight="1">
      <c r="A5" s="129" t="n"/>
      <c r="B5" s="3141" t="inlineStr">
        <is>
          <t xml:space="preserve">Total rooms on site</t>
        </is>
      </c>
      <c r="C5" s="4385" t="n">
        <f>'Assumptions'!J7</f>
        <v>100</v>
      </c>
      <c r="D5" s="3143" t="n"/>
      <c r="E5" s="129" t="n"/>
      <c r="F5" s="3144" t="inlineStr">
        <is>
          <t xml:space="preserve">from Assumptions tab</t>
        </is>
      </c>
    </row>
    <row r="6" s="3154" customFormat="1" ht="15" customHeight="1">
      <c r="A6" s="1167" t="n"/>
      <c r="B6" s="3145" t="inlineStr">
        <is>
          <t xml:space="preserve">Crew rooms (4-bunk)</t>
        </is>
      </c>
      <c r="C6" s="3142" t="n">
        <v>10</v>
      </c>
      <c r="D6" s="3146" t="n"/>
      <c r="E6" s="1167" t="n"/>
      <c r="F6" s="2892" t="inlineStr">
        <is>
          <t xml:space="preserve">~10% of inventory</t>
        </is>
      </c>
    </row>
    <row r="7" s="3154" customFormat="1" ht="15" customHeight="1">
      <c r="A7" s="1167" t="n"/>
      <c r="B7" s="3145" t="inlineStr">
        <is>
          <t xml:space="preserve">Standard rooms (full bed)</t>
        </is>
      </c>
      <c r="C7" s="3142" t="n">
        <f t="array" ref="C7">C5-C6</f>
        <v>90</v>
      </c>
      <c r="D7" s="3146" t="n"/>
      <c r="E7" s="1167" t="n"/>
      <c r="F7" s="2892" t="inlineStr">
        <is>
          <t xml:space="preserve">remainder</t>
        </is>
      </c>
    </row>
    <row r="8" s="3154" customFormat="1" ht="15" customHeight="1">
      <c r="A8" s="1167" t="n"/>
      <c r="B8" s="3145" t="inlineStr">
        <is>
          <t xml:space="preserve">Standard room ADR</t>
        </is>
      </c>
      <c r="C8" s="4386" t="n">
        <f>'Assumptions'!F32</f>
        <v>74</v>
      </c>
      <c r="D8" s="3146" t="n"/>
      <c r="E8" s="1167" t="n"/>
      <c r="F8" s="2892" t="inlineStr">
        <is>
          <t xml:space="preserve">matches 100-key blended ADR</t>
        </is>
      </c>
    </row>
    <row r="9" s="3154" customFormat="1" ht="15" customHeight="1">
      <c r="A9" s="1167" t="n"/>
      <c r="B9" s="3145" t="inlineStr">
        <is>
          <t xml:space="preserve">Crew room ADR (whole room, sleeps 4)</t>
        </is>
      </c>
      <c r="C9" s="4348" t="n">
        <v>115</v>
      </c>
      <c r="D9" s="3146" t="n"/>
      <c r="E9" s="1167" t="n"/>
      <c r="F9" s="2892" t="inlineStr">
        <is>
          <t xml:space="preserve">approx $29/bed</t>
        </is>
      </c>
    </row>
    <row r="10" s="3154" customFormat="1" ht="15" customHeight="1">
      <c r="A10" s="1167" t="n"/>
      <c r="B10" s="3145" t="inlineStr">
        <is>
          <t xml:space="preserve">Stabilized occupancy</t>
        </is>
      </c>
      <c r="C10" s="4349" t="n">
        <v>0.55</v>
      </c>
      <c r="D10" s="3146" t="n"/>
      <c r="E10" s="1167" t="n"/>
      <c r="F10" s="2892" t="inlineStr">
        <is>
          <t xml:space="preserve">Year-1 stabilized</t>
        </is>
      </c>
    </row>
    <row r="11" s="3154" customFormat="1" ht="15" customHeight="1">
      <c r="A11" s="1167" t="n"/>
      <c r="B11" s="3145" t="inlineStr">
        <is>
          <t xml:space="preserve">Days per year</t>
        </is>
      </c>
      <c r="C11" s="3142" t="n">
        <v>365</v>
      </c>
      <c r="D11" s="3146" t="n"/>
      <c r="E11" s="1167" t="n"/>
      <c r="F11" s="3149" t="n"/>
    </row>
    <row r="12" s="3154" customFormat="1" ht="15" customHeight="1">
      <c r="A12" s="1167" t="n"/>
      <c r="B12" s="3145" t="inlineStr">
        <is>
          <t xml:space="preserve">Extra cleaning $ / occupied crew night</t>
        </is>
      </c>
      <c r="C12" s="4348" t="n">
        <v>8</v>
      </c>
      <c r="D12" s="3146" t="n"/>
      <c r="E12" s="1167" t="n"/>
      <c r="F12" s="2892" t="inlineStr">
        <is>
          <t xml:space="preserve">4 beds of linens vs 1</t>
        </is>
      </c>
    </row>
    <row r="13" s="3154" customFormat="1" ht="14.600000381469727" customHeight="1">
      <c r="A13" s="125" t="n"/>
      <c r="B13" s="125" t="n"/>
      <c r="C13" s="137" t="n"/>
      <c r="D13" s="125" t="n"/>
      <c r="E13" s="125" t="n"/>
      <c r="F13" s="125" t="n"/>
    </row>
    <row r="14" s="3154" customFormat="1" ht="15" customHeight="1">
      <c r="A14" s="4347" t="inlineStr">
        <is>
          <t xml:space="preserve">REVENUE — BASE vs CREW SCENARIO (Year 1)</t>
        </is>
      </c>
      <c r="F14" s="3162" t="n"/>
    </row>
    <row r="15" s="3154" customFormat="1" ht="15" customHeight="1">
      <c r="A15" s="140" t="n"/>
      <c r="B15" s="133" t="inlineStr">
        <is>
          <t xml:space="preserve">Line</t>
        </is>
      </c>
      <c r="C15" s="133" t="inlineStr">
        <is>
          <t xml:space="preserve">Base (all standard)</t>
        </is>
      </c>
      <c r="D15" s="133" t="inlineStr">
        <is>
          <t xml:space="preserve">Crew Scenario</t>
        </is>
      </c>
      <c r="E15" s="133" t="inlineStr">
        <is>
          <t xml:space="preserve">Difference</t>
        </is>
      </c>
      <c r="F15" s="3143" t="n"/>
    </row>
    <row r="16" s="3154" customFormat="1" ht="15" customHeight="1">
      <c r="A16" s="132" t="n"/>
      <c r="B16" s="134" t="inlineStr">
        <is>
          <t xml:space="preserve">Standard room revenue</t>
        </is>
      </c>
      <c r="C16" s="3207" t="n">
        <f t="array" ref="C16">C5*C11*C10*C8</f>
        <v>1485550</v>
      </c>
      <c r="D16" s="3207" t="n">
        <f t="array" ref="D16">C7*C11*C10*C8</f>
        <v>1336995</v>
      </c>
      <c r="E16" s="3207" t="n">
        <f t="array" ref="E16">D16-C16</f>
        <v>-148555</v>
      </c>
      <c r="F16" s="3146" t="n"/>
    </row>
    <row r="17" s="3154" customFormat="1" ht="15" customHeight="1">
      <c r="A17" s="132" t="n"/>
      <c r="B17" s="134" t="inlineStr">
        <is>
          <t xml:space="preserve">Crew room revenue</t>
        </is>
      </c>
      <c r="C17" s="3207" t="n">
        <v>0</v>
      </c>
      <c r="D17" s="3207" t="n">
        <f t="array" ref="D17">C6*C11*C10*C9</f>
        <v>230862.50000000003</v>
      </c>
      <c r="E17" s="3207" t="n">
        <f t="array" ref="E17">D17-C17</f>
        <v>230862.50000000003</v>
      </c>
      <c r="F17" s="3146" t="n"/>
    </row>
    <row r="18" s="3154" customFormat="1" ht="15" customHeight="1">
      <c r="A18" s="132" t="n"/>
      <c r="B18" s="2884" t="inlineStr">
        <is>
          <t xml:space="preserve">Total room revenue</t>
        </is>
      </c>
      <c r="C18" s="4350" t="n">
        <f t="array" ref="C18">C16+C17</f>
        <v>1485550</v>
      </c>
      <c r="D18" s="4350" t="n">
        <f t="array" ref="D18">D16+D17</f>
        <v>1567857.5</v>
      </c>
      <c r="E18" s="4350" t="n">
        <f t="array" ref="E18">D18-C18</f>
        <v>82307.5</v>
      </c>
      <c r="F18" s="3146" t="n"/>
    </row>
    <row r="19" s="3154" customFormat="1" ht="15" customHeight="1">
      <c r="A19" s="132" t="n"/>
      <c r="B19" s="134" t="inlineStr">
        <is>
          <t xml:space="preserve">Extra crew-room cleaning cost</t>
        </is>
      </c>
      <c r="C19" s="3207" t="n">
        <v>0</v>
      </c>
      <c r="D19" s="3207" t="n">
        <f t="array" ref="D19">-C6*C11*C10*C12</f>
        <v>-16060.000000000002</v>
      </c>
      <c r="E19" s="3207" t="n">
        <f t="array" ref="E19">D19-C19</f>
        <v>-16060.000000000002</v>
      </c>
      <c r="F19" s="3146" t="n"/>
    </row>
    <row r="20" s="3154" customFormat="1" ht="15" customHeight="1">
      <c r="A20" s="132" t="n"/>
      <c r="B20" s="2884" t="inlineStr">
        <is>
          <t xml:space="preserve">Net room contribution</t>
        </is>
      </c>
      <c r="C20" s="4350" t="n">
        <f t="array" ref="C20">C18+C19</f>
        <v>1485550</v>
      </c>
      <c r="D20" s="4350" t="n">
        <f t="array" ref="D20">D18+D19</f>
        <v>1551797.5</v>
      </c>
      <c r="E20" s="4350" t="n">
        <f t="array" ref="E20">D20-C20</f>
        <v>66247.5</v>
      </c>
      <c r="F20" s="3146" t="n"/>
    </row>
    <row r="21" s="3154" customFormat="1" ht="14.600000381469727" customHeight="1">
      <c r="A21" s="125" t="n"/>
      <c r="B21" s="137" t="n"/>
      <c r="C21" s="137" t="n"/>
      <c r="D21" s="137" t="n"/>
      <c r="E21" s="137" t="n"/>
      <c r="F21" s="125" t="n"/>
    </row>
    <row r="22" s="3154" customFormat="1" ht="15" customHeight="1">
      <c r="A22" s="4347" t="inlineStr">
        <is>
          <t xml:space="preserve">BOTTOM LINE</t>
        </is>
      </c>
      <c r="F22" s="3162" t="n"/>
    </row>
    <row r="23" s="3154" customFormat="1" ht="15" customHeight="1">
      <c r="A23" s="129" t="n"/>
      <c r="B23" s="3151" t="inlineStr">
        <is>
          <t xml:space="preserve">Incremental room revenue / year</t>
        </is>
      </c>
      <c r="C23" s="4351" t="n">
        <f t="array" ref="C23">D18-C18</f>
        <v>82307.5</v>
      </c>
      <c r="D23" s="3143" t="n"/>
      <c r="E23" s="129" t="n"/>
      <c r="F23" s="129" t="n"/>
    </row>
    <row r="24" s="3154" customFormat="1" ht="15" customHeight="1">
      <c r="A24" s="1167" t="n"/>
      <c r="B24" s="3153" t="inlineStr">
        <is>
          <t xml:space="preserve">Incremental net contribution / year</t>
        </is>
      </c>
      <c r="C24" s="4351" t="n">
        <f t="array" ref="C24">D20-C20</f>
        <v>66247.5</v>
      </c>
      <c r="D24" s="3146" t="n"/>
      <c r="E24" s="1167" t="n"/>
      <c r="F24" s="1167" t="n"/>
    </row>
    <row r="25" s="3154" customFormat="1" ht="15" customHeight="1">
      <c r="A25" s="1167" t="n"/>
      <c r="B25" s="3153" t="inlineStr">
        <is>
          <t xml:space="preserve">Incremental net over 10-yr hold (no growth)</t>
        </is>
      </c>
      <c r="C25" s="4351" t="n">
        <f t="array" ref="C25">(D20-C20)*10</f>
        <v>662475</v>
      </c>
      <c r="D25" s="3146" t="n"/>
      <c r="E25" s="1167" t="n"/>
      <c r="F25" s="1167" t="n"/>
    </row>
    <row r="26" s="3154" customFormat="1" ht="15" customHeight="1">
      <c r="A26" s="1167" t="n"/>
      <c r="B26" s="3153" t="inlineStr">
        <is>
          <t xml:space="preserve">One-time extra FF&amp;E (10 rms bunk beds, est.)</t>
        </is>
      </c>
      <c r="C26" s="4351" t="n">
        <v>-12000</v>
      </c>
      <c r="D26" s="3146" t="n"/>
      <c r="E26" s="1167" t="n"/>
      <c r="F26" s="1167" t="n"/>
    </row>
    <row r="27" s="3154" customFormat="1" ht="14.600000381469727" customHeight="1">
      <c r="A27" s="1167" t="n"/>
      <c r="B27" s="1167" t="n"/>
      <c r="C27" s="2887" t="n"/>
      <c r="D27" s="1167" t="n"/>
      <c r="E27" s="1167" t="n"/>
      <c r="F27" s="1167" t="n"/>
    </row>
    <row r="28" s="3154" customFormat="1" ht="14.600000381469727" customHeight="1">
      <c r="A28" s="1167" t="n"/>
      <c r="B28" s="1167" t="n"/>
      <c r="C28" s="1167" t="n"/>
      <c r="D28" s="1167" t="n"/>
      <c r="E28" s="1167" t="n"/>
      <c r="F28" s="1167" t="n"/>
    </row>
    <row r="29" s="3154" customFormat="1" ht="15" customHeight="1">
      <c r="A29" s="113" t="inlineStr">
        <is>
          <t xml:space="preserve">NOTES</t>
        </is>
      </c>
      <c r="B29" s="1167" t="n"/>
      <c r="C29" s="1167" t="n"/>
      <c r="D29" s="1167" t="n"/>
      <c r="E29" s="1167" t="n"/>
      <c r="F29" s="1167" t="n"/>
    </row>
    <row r="30" s="3154" customFormat="1" ht="15" customHeight="1">
      <c r="A30" s="1167" t="n"/>
      <c r="B30" s="149" t="inlineStr">
        <is>
          <t xml:space="preserve">• Standalone scenario — does NOT feed the main Pro Forma. Edit the yellow cells to test.</t>
        </is>
      </c>
      <c r="C30" s="3159" t="n"/>
      <c r="D30" s="3159" t="n"/>
      <c r="E30" s="3159" t="n"/>
      <c r="F30" s="3160" t="n"/>
    </row>
    <row r="31" s="3154" customFormat="1" ht="15" customHeight="1">
      <c r="A31" s="1167" t="n"/>
      <c r="B31" s="149" t="inlineStr">
        <is>
          <t xml:space="preserve">• Crew ADR $115 = whole-room rate for up to 4 workers. Adjust to your market.</t>
        </is>
      </c>
      <c r="C31" s="3159" t="n"/>
      <c r="D31" s="3159" t="n"/>
      <c r="E31" s="3159" t="n"/>
      <c r="F31" s="3160" t="n"/>
    </row>
    <row r="32" s="3154" customFormat="1" ht="15" customHeight="1">
      <c r="A32" s="1167" t="n"/>
      <c r="B32" s="149" t="inlineStr">
        <is>
          <t xml:space="preserve">• Keep crew rooms a minority (10-15%) — different guest, cleaning, fire egress.</t>
        </is>
      </c>
      <c r="C32" s="3159" t="n"/>
      <c r="D32" s="3159" t="n"/>
      <c r="E32" s="3159" t="n"/>
      <c r="F32" s="3160" t="n"/>
    </row>
    <row r="33" s="3154" customFormat="1" ht="15" customHeight="1">
      <c r="A33" s="1167" t="n"/>
      <c r="B33" s="149" t="inlineStr">
        <is>
          <t xml:space="preserve">• Near a stadium / job site, crew rooms may run higher than 55% occupancy — upside not modeled.</t>
        </is>
      </c>
      <c r="C33" s="3159" t="n"/>
      <c r="D33" s="3159" t="n"/>
      <c r="E33" s="3159" t="n"/>
      <c r="F33" s="3160" t="n"/>
    </row>
    <row r="34" s="3154" customFormat="1" ht="15" customHeight="1">
      <c r="A34" s="1167" t="n"/>
      <c r="B34" s="149" t="inlineStr">
        <is>
          <t xml:space="preserve">• Bunk rooms need STC sound rating + egress review; keep ADA met on the standard rooms.</t>
        </is>
      </c>
      <c r="C34" s="3159" t="n"/>
      <c r="D34" s="3159" t="n"/>
      <c r="E34" s="3159" t="n"/>
      <c r="F34" s="3160" t="n"/>
    </row>
  </sheetData>
  <mergeCells>
    <mergeCell ref="B30:F30"/>
    <mergeCell ref="A2:F2"/>
    <mergeCell ref="A14:F14"/>
    <mergeCell ref="B34:F34"/>
    <mergeCell ref="B33:F33"/>
    <mergeCell ref="A1:F1"/>
    <mergeCell ref="A22:F22"/>
    <mergeCell ref="B31:F31"/>
    <mergeCell ref="A4:F4"/>
    <mergeCell ref="B32:F32"/>
  </mergeCells>
  <pageMargins left="0.7" right="0.7" top="0.75" bottom="0.75" header="0.3" footer="0.3"/>
</worksheet>
</file>

<file path=xl/worksheets/sheet4.xml><?xml version="1.0" encoding="utf-8"?>
<worksheet xmlns="http://schemas.openxmlformats.org/spreadsheetml/2006/main" xmlns:r="http://schemas.openxmlformats.org/officeDocument/2006/relationships">
  <sheetViews>
    <sheetView showGridLines="0" workbookViewId="0"/>
  </sheetViews>
  <sheetFormatPr baseColWidth="8" defaultColWidth="8.666669845581055" defaultRowHeight="15"/>
  <cols>
    <col min="1" max="1" width="13.85159969329834" style="3136" customWidth="1"/>
    <col min="2" max="2" width="30" style="3136" customWidth="1"/>
    <col min="3" max="3" width="27.171899795532227" style="3136" customWidth="1"/>
    <col min="4" max="4" width="7.671879768371582" style="3136" customWidth="1"/>
    <col min="5" max="5" width="139.6719970703125" style="3136" customWidth="1"/>
    <col min="6" max="6" width="15.5" style="3136" customWidth="1"/>
    <col min="7" max="7" width="16.5" style="3136" customWidth="1"/>
    <col min="8" max="8" width="16.171899795532227" style="3136" customWidth="1"/>
    <col min="9" max="9" width="11.35159969329834" style="3136" customWidth="1"/>
    <col min="10" max="10" width="14.171899795532227" style="3136" customWidth="1"/>
    <col min="11" max="11" width="13.5" style="3136" customWidth="1"/>
    <col min="12" max="12" width="9.171879768371582" style="3136" customWidth="1"/>
    <col min="13" max="13" width="19.671899795532227" style="3136" customWidth="1"/>
    <col min="14" max="14" width="9.171879768371582" style="3136" customWidth="1"/>
    <col min="15" max="15" width="18.351600646972656" style="3136" customWidth="1"/>
    <col min="16" max="16" width="11.171899795532227" style="3136" customWidth="1"/>
    <col min="17" max="17" width="9.171879768371582" style="3136" customWidth="1"/>
    <col min="18" max="30" width="8.671879768371582" style="3136" customWidth="1"/>
    <col min="31" max="16384" width="8.671879768371582" style="3136" customWidth="1"/>
  </cols>
  <sheetData>
    <row r="1" s="3154" customFormat="1" ht="15" customHeight="1">
      <c r="A1" s="1167" t="n"/>
      <c r="B1" s="1167" t="n"/>
      <c r="C1" s="1167" t="n"/>
      <c r="D1" s="1167" t="n"/>
      <c r="E1" s="1167" t="n"/>
      <c r="F1" s="1167" t="n"/>
      <c r="G1" s="1167" t="n"/>
      <c r="H1" s="1167" t="n"/>
      <c r="I1" s="1167" t="n"/>
      <c r="J1" s="1167" t="n"/>
      <c r="K1" s="1167" t="n"/>
      <c r="L1" s="1167" t="n"/>
      <c r="M1" s="1167" t="n"/>
      <c r="N1" s="1167" t="n"/>
      <c r="O1" s="1167" t="n"/>
      <c r="P1" s="1167" t="n"/>
      <c r="Q1" s="1167" t="n"/>
      <c r="R1" s="1168" t="n"/>
      <c r="S1" s="1168" t="n"/>
      <c r="T1" s="1168" t="n"/>
      <c r="U1" s="1168" t="n"/>
      <c r="V1" s="1168" t="n"/>
      <c r="W1" s="1168" t="n"/>
      <c r="X1" s="1168" t="n"/>
      <c r="Y1" s="1168" t="n"/>
      <c r="Z1" s="1168" t="n"/>
      <c r="AA1" s="1168" t="n"/>
      <c r="AB1" s="1168" t="n"/>
      <c r="AC1" s="1168" t="n"/>
      <c r="AD1" s="1168" t="n"/>
    </row>
    <row r="2" s="3154" customFormat="1" ht="15" customHeight="1">
      <c r="A2" s="1167" t="n"/>
      <c r="B2" s="1167" t="n"/>
      <c r="C2" s="1167" t="n"/>
      <c r="D2" s="1167" t="n"/>
      <c r="E2" s="1167" t="n"/>
      <c r="F2" s="1167" t="n"/>
      <c r="G2" s="1167" t="n"/>
      <c r="H2" s="1167" t="n"/>
      <c r="I2" s="1167" t="n"/>
      <c r="J2" s="1167" t="n"/>
      <c r="K2" s="1167" t="n"/>
      <c r="L2" s="1167" t="n"/>
      <c r="M2" s="1167" t="n"/>
      <c r="N2" s="1167" t="n"/>
      <c r="O2" s="1167" t="n"/>
      <c r="P2" s="1167" t="n"/>
      <c r="Q2" s="1167" t="n"/>
      <c r="R2" s="1168" t="n"/>
      <c r="S2" s="1168" t="n"/>
      <c r="T2" s="1168" t="n"/>
      <c r="U2" s="1168" t="n"/>
      <c r="V2" s="1168" t="n"/>
      <c r="W2" s="1168" t="n"/>
      <c r="X2" s="1168" t="n"/>
      <c r="Y2" s="1168" t="n"/>
      <c r="Z2" s="1168" t="n"/>
      <c r="AA2" s="1168" t="n"/>
      <c r="AB2" s="1168" t="n"/>
      <c r="AC2" s="1168" t="n"/>
      <c r="AD2" s="1168" t="n"/>
    </row>
    <row r="3" s="3154" customFormat="1" ht="13.5" customHeight="1">
      <c r="A3" s="1167" t="n"/>
      <c r="B3" s="1167" t="n"/>
      <c r="C3" s="1167" t="n"/>
      <c r="D3" s="1167" t="n"/>
      <c r="E3" s="1167" t="n"/>
      <c r="F3" s="642" t="n"/>
      <c r="G3" s="642" t="n"/>
      <c r="H3" s="642" t="n"/>
      <c r="I3" s="642" t="n"/>
      <c r="J3" s="1167" t="n"/>
      <c r="K3" s="1167" t="n"/>
      <c r="L3" s="1167" t="n"/>
      <c r="M3" s="1167" t="n"/>
      <c r="N3" s="1167" t="n"/>
      <c r="O3" s="1167" t="n"/>
      <c r="P3" s="1167" t="n"/>
      <c r="Q3" s="1167" t="n"/>
      <c r="R3" s="1168" t="n"/>
      <c r="S3" s="1168" t="n"/>
      <c r="T3" s="1168" t="n"/>
      <c r="U3" s="1168" t="n"/>
      <c r="V3" s="1168" t="n"/>
      <c r="W3" s="1168" t="n"/>
      <c r="X3" s="1168" t="n"/>
      <c r="Y3" s="1168" t="n"/>
      <c r="Z3" s="1168" t="n"/>
      <c r="AA3" s="1168" t="n"/>
      <c r="AB3" s="1168" t="n"/>
      <c r="AC3" s="1168" t="n"/>
      <c r="AD3" s="1168" t="n"/>
    </row>
    <row r="4" s="3154" customFormat="1" ht="13.5" customHeight="1">
      <c r="A4" s="1167" t="n"/>
      <c r="B4" s="1167" t="n"/>
      <c r="C4" s="1167" t="n"/>
      <c r="D4" s="1167" t="n"/>
      <c r="E4" s="825" t="inlineStr">
        <is>
          <t xml:space="preserve">New Build/ Construction</t>
        </is>
      </c>
      <c r="F4" s="826" t="inlineStr">
        <is>
          <t xml:space="preserve">Notes</t>
        </is>
      </c>
      <c r="G4" s="3424" t="n"/>
      <c r="H4" s="3424" t="n"/>
      <c r="I4" s="3425" t="n"/>
      <c r="J4" s="793" t="n"/>
      <c r="K4" s="1167" t="n"/>
      <c r="L4" s="1167" t="n"/>
      <c r="M4" s="1167" t="n"/>
      <c r="N4" s="1167" t="n"/>
      <c r="O4" s="1167" t="n"/>
      <c r="P4" s="1167" t="n"/>
      <c r="Q4" s="1167" t="n"/>
      <c r="R4" s="1168" t="n"/>
      <c r="S4" s="1168" t="n"/>
      <c r="T4" s="1168" t="n"/>
      <c r="U4" s="1168" t="n"/>
      <c r="V4" s="1168" t="n"/>
      <c r="W4" s="1168" t="n"/>
      <c r="X4" s="1168" t="n"/>
      <c r="Y4" s="1168" t="n"/>
      <c r="Z4" s="1168" t="n"/>
      <c r="AA4" s="1168" t="n"/>
      <c r="AB4" s="1168" t="n"/>
      <c r="AC4" s="1168" t="n"/>
      <c r="AD4" s="1168" t="n"/>
    </row>
    <row r="5" s="3154" customFormat="1" ht="12.75" customHeight="1">
      <c r="A5" s="1167" t="n"/>
      <c r="B5" s="1167" t="n"/>
      <c r="C5" s="1167" t="n"/>
      <c r="D5" s="1167" t="n"/>
      <c r="E5" s="64" t="inlineStr">
        <is>
          <t xml:space="preserve">Austin, TX — Generic Sleep Space Hotel</t>
        </is>
      </c>
      <c r="F5" s="828" t="n"/>
      <c r="G5" s="828" t="n"/>
      <c r="H5" s="828" t="n"/>
      <c r="I5" s="828" t="n"/>
      <c r="J5" s="1167" t="n"/>
      <c r="K5" s="1167" t="n"/>
      <c r="L5" s="1167" t="n"/>
      <c r="M5" s="1167" t="n"/>
      <c r="N5" s="1167" t="n"/>
      <c r="O5" s="1167" t="n"/>
      <c r="P5" s="1167" t="n"/>
      <c r="Q5" s="1167" t="n"/>
      <c r="R5" s="1168" t="n"/>
      <c r="S5" s="1168" t="n"/>
      <c r="T5" s="1168" t="n"/>
      <c r="U5" s="1168" t="n"/>
      <c r="V5" s="1168" t="n"/>
      <c r="W5" s="1168" t="n"/>
      <c r="X5" s="1168" t="n"/>
      <c r="Y5" s="1168" t="n"/>
      <c r="Z5" s="1168" t="n"/>
      <c r="AA5" s="1168" t="n"/>
      <c r="AB5" s="1168" t="n"/>
      <c r="AC5" s="1168" t="n"/>
      <c r="AD5" s="1168" t="n"/>
    </row>
    <row r="6" s="3154" customFormat="1" ht="12.75" customHeight="1">
      <c r="A6" s="1167" t="n"/>
      <c r="B6" s="1167" t="n"/>
      <c r="C6" s="1167" t="n"/>
      <c r="D6" s="1167" t="n"/>
      <c r="E6" s="64" t="inlineStr">
        <is>
          <t xml:space="preserve">Deal Structure Overview</t>
        </is>
      </c>
      <c r="F6" s="643" t="n"/>
      <c r="G6" s="643" t="n"/>
      <c r="H6" s="643" t="n"/>
      <c r="I6" s="643" t="n"/>
      <c r="J6" s="1167" t="n"/>
      <c r="K6" s="1167" t="n"/>
      <c r="L6" s="1167" t="n"/>
      <c r="M6" s="1167" t="n"/>
      <c r="N6" s="1167" t="n"/>
      <c r="O6" s="1167" t="n"/>
      <c r="P6" s="1167" t="n"/>
      <c r="Q6" s="1167" t="n"/>
      <c r="R6" s="1168" t="n"/>
      <c r="S6" s="1168" t="n"/>
      <c r="T6" s="1168" t="n"/>
      <c r="U6" s="1168" t="n"/>
      <c r="V6" s="1168" t="n"/>
      <c r="W6" s="1168" t="n"/>
      <c r="X6" s="1168" t="n"/>
      <c r="Y6" s="1168" t="n"/>
      <c r="Z6" s="1168" t="n"/>
      <c r="AA6" s="1168" t="n"/>
      <c r="AB6" s="1168" t="n"/>
      <c r="AC6" s="1168" t="n"/>
      <c r="AD6" s="1168" t="n"/>
    </row>
    <row r="7" s="3154" customFormat="1" ht="12.75" customHeight="1">
      <c r="A7" s="1167" t="n"/>
      <c r="B7" s="101" t="n"/>
      <c r="C7" s="101" t="n"/>
      <c r="D7" s="101" t="n"/>
      <c r="E7" s="64" t="inlineStr">
        <is>
          <t>CitizenM by Marriott 2026 FDD</t>
        </is>
      </c>
      <c r="F7" s="643" t="inlineStr">
        <is>
          <t>Item 7 normalized to 100 keys; excludes not determinable/varies categories.</t>
        </is>
      </c>
      <c r="G7" s="643" t="n"/>
      <c r="H7" s="643" t="n"/>
      <c r="I7" s="643" t="n"/>
      <c r="J7" s="1167" t="n"/>
      <c r="K7" s="1167" t="n"/>
      <c r="L7" s="1167" t="n"/>
      <c r="M7" s="1167" t="n"/>
      <c r="N7" s="1167" t="n"/>
      <c r="O7" s="1167" t="n"/>
      <c r="P7" s="1167" t="n"/>
      <c r="Q7" s="1167" t="n"/>
      <c r="R7" s="1168" t="n"/>
      <c r="S7" s="1168" t="n"/>
      <c r="T7" s="1168" t="n"/>
      <c r="U7" s="1168" t="n"/>
      <c r="V7" s="1168" t="n"/>
      <c r="W7" s="1168" t="n"/>
      <c r="X7" s="1168" t="n"/>
      <c r="Y7" s="1168" t="n"/>
      <c r="Z7" s="1168" t="n"/>
      <c r="AA7" s="1168" t="n"/>
      <c r="AB7" s="1168" t="n"/>
      <c r="AC7" s="1168" t="n"/>
      <c r="AD7" s="1168" t="n"/>
    </row>
    <row r="8" s="3154" customFormat="1" ht="12.75" customHeight="1">
      <c r="A8" s="1167" t="n"/>
      <c r="B8" s="829" t="n"/>
      <c r="C8" s="829" t="n"/>
      <c r="D8" s="829" t="n"/>
      <c r="E8" s="72" t="inlineStr">
        <is>
          <t xml:space="preserve">Austin, TX</t>
        </is>
      </c>
      <c r="F8" s="643" t="n"/>
      <c r="G8" s="643" t="n"/>
      <c r="H8" s="643" t="n"/>
      <c r="I8" s="643" t="n"/>
      <c r="J8" s="1167" t="n"/>
      <c r="K8" s="1167" t="n"/>
      <c r="L8" s="1167" t="n"/>
      <c r="M8" s="1167" t="n"/>
      <c r="N8" s="1167" t="n"/>
      <c r="O8" s="1167" t="n"/>
      <c r="P8" s="1167" t="n"/>
      <c r="Q8" s="1167" t="n"/>
      <c r="R8" s="1168" t="n"/>
      <c r="S8" s="1168" t="n"/>
      <c r="T8" s="1168" t="n"/>
      <c r="U8" s="1168" t="n"/>
      <c r="V8" s="1168" t="n"/>
      <c r="W8" s="1168" t="n"/>
      <c r="X8" s="1168" t="n"/>
      <c r="Y8" s="1168" t="n"/>
      <c r="Z8" s="1168" t="n"/>
      <c r="AA8" s="1168" t="n"/>
      <c r="AB8" s="1168" t="n"/>
      <c r="AC8" s="1168" t="n"/>
      <c r="AD8" s="1168" t="n"/>
    </row>
    <row r="9" s="3154" customFormat="1" ht="13.5" customHeight="1">
      <c r="A9" s="675" t="n"/>
      <c r="B9" s="830" t="n"/>
      <c r="C9" s="830" t="n"/>
      <c r="D9" s="831" t="n"/>
      <c r="E9" s="832" t="n"/>
      <c r="F9" s="666" t="n"/>
      <c r="G9" s="1167" t="n"/>
      <c r="H9" s="1167" t="n"/>
      <c r="I9" s="1167" t="n"/>
      <c r="J9" s="1167" t="n"/>
      <c r="K9" s="1167" t="n"/>
      <c r="L9" s="1167" t="n"/>
      <c r="M9" s="1167" t="n"/>
      <c r="N9" s="1167" t="n"/>
      <c r="O9" s="1167" t="n"/>
      <c r="P9" s="1167" t="n"/>
      <c r="Q9" s="1167" t="n"/>
      <c r="R9" s="1168" t="n"/>
      <c r="S9" s="1168" t="n"/>
      <c r="T9" s="1168" t="n"/>
      <c r="U9" s="1168" t="n"/>
      <c r="V9" s="1168" t="n"/>
      <c r="W9" s="1168" t="n"/>
      <c r="X9" s="1168" t="n"/>
      <c r="Y9" s="1168" t="n"/>
      <c r="Z9" s="1168" t="n"/>
      <c r="AA9" s="1168" t="n"/>
      <c r="AB9" s="1168" t="n"/>
      <c r="AC9" s="1168" t="n"/>
      <c r="AD9" s="1168" t="n"/>
    </row>
    <row r="10" s="3154" customFormat="1" ht="13.5" customHeight="1">
      <c r="A10" s="833" t="n"/>
      <c r="B10" s="3426" t="n">
        <f>SUM(B11:B12)</f>
        <v>1</v>
      </c>
      <c r="C10" s="3426" t="n">
        <f t="array" ref="C10">'Assumptions'!C75</f>
        <v>100</v>
      </c>
      <c r="D10" s="3427" t="n"/>
      <c r="E10" s="57" t="inlineStr">
        <is>
          <t xml:space="preserve">Rooms</t>
        </is>
      </c>
      <c r="F10" s="1167" t="n"/>
      <c r="G10" s="1167" t="n"/>
      <c r="H10" s="3428" t="n"/>
      <c r="I10" s="1167" t="n"/>
      <c r="J10" s="3428" t="n"/>
      <c r="K10" s="837" t="n"/>
      <c r="L10" s="1167" t="n"/>
      <c r="M10" s="3428" t="n"/>
      <c r="N10" s="1167" t="n"/>
      <c r="O10" s="3428" t="n"/>
      <c r="P10" s="1167" t="n"/>
      <c r="Q10" s="1167" t="n"/>
      <c r="R10" s="1168" t="n"/>
      <c r="S10" s="1168" t="n"/>
      <c r="T10" s="1168" t="n"/>
      <c r="U10" s="1168" t="n"/>
      <c r="V10" s="1168" t="n"/>
      <c r="W10" s="1168" t="n"/>
      <c r="X10" s="1168" t="n"/>
      <c r="Y10" s="1168" t="n"/>
      <c r="Z10" s="1168" t="n"/>
      <c r="AA10" s="1168" t="n"/>
      <c r="AB10" s="1168" t="n"/>
      <c r="AC10" s="1168" t="n"/>
      <c r="AD10" s="1168" t="n"/>
    </row>
    <row r="11" s="3154" customFormat="1" ht="13.5" customHeight="1">
      <c r="A11" s="838" t="inlineStr">
        <is>
          <t xml:space="preserve">Economy Plus</t>
        </is>
      </c>
      <c r="B11" s="4366" t="n">
        <f>'Assumptions'!C72/'Assumptions'!C75</f>
        <v>0.5</v>
      </c>
      <c r="C11" s="4367" t="n">
        <f>'Assumptions'!C72</f>
        <v>50</v>
      </c>
      <c r="D11" s="3429" t="n"/>
      <c r="E11" s="643" t="n"/>
      <c r="F11" s="1167" t="n"/>
      <c r="G11" s="1167" t="n"/>
      <c r="H11" s="3428" t="n"/>
      <c r="I11" s="1167" t="n"/>
      <c r="J11" s="3428" t="n"/>
      <c r="K11" s="837" t="n"/>
      <c r="L11" s="1167" t="n"/>
      <c r="M11" s="3428" t="n"/>
      <c r="N11" s="1167" t="n"/>
      <c r="O11" s="3428" t="n"/>
      <c r="P11" s="1167" t="n"/>
      <c r="Q11" s="1167" t="n"/>
      <c r="R11" s="1168" t="n"/>
      <c r="S11" s="1168" t="n"/>
      <c r="T11" s="1168" t="n"/>
      <c r="U11" s="1168" t="n"/>
      <c r="V11" s="1168" t="n"/>
      <c r="W11" s="1168" t="n"/>
      <c r="X11" s="1168" t="n"/>
      <c r="Y11" s="1168" t="n"/>
      <c r="Z11" s="1168" t="n"/>
      <c r="AA11" s="1168" t="n"/>
      <c r="AB11" s="1168" t="n"/>
      <c r="AC11" s="1168" t="n"/>
      <c r="AD11" s="1168" t="n"/>
    </row>
    <row r="12" s="3154" customFormat="1" ht="13.5" customHeight="1">
      <c r="A12" s="838" t="inlineStr">
        <is>
          <t xml:space="preserve">Economy</t>
        </is>
      </c>
      <c r="B12" s="4368" t="n">
        <f>'Assumptions'!C73/'Assumptions'!C75</f>
        <v>0.5</v>
      </c>
      <c r="C12" s="4369" t="n">
        <f>'Assumptions'!C73</f>
        <v>50</v>
      </c>
      <c r="D12" s="3429" t="n"/>
      <c r="E12" s="64" t="inlineStr">
        <is>
          <t xml:space="preserve"/>
        </is>
      </c>
      <c r="F12" s="1167" t="n"/>
      <c r="G12" s="1167" t="n"/>
      <c r="H12" s="3428" t="n"/>
      <c r="I12" s="1167" t="n"/>
      <c r="J12" s="3428" t="n"/>
      <c r="K12" s="837" t="n"/>
      <c r="L12" s="1167" t="n"/>
      <c r="M12" s="3428" t="n"/>
      <c r="N12" s="1167" t="n"/>
      <c r="O12" s="3428" t="n"/>
      <c r="P12" s="1167" t="n"/>
      <c r="Q12" s="1167" t="n"/>
      <c r="R12" s="1168" t="n"/>
      <c r="S12" s="1168" t="n"/>
      <c r="T12" s="1168" t="n"/>
      <c r="U12" s="1168" t="n"/>
      <c r="V12" s="1168" t="n"/>
      <c r="W12" s="1168" t="n"/>
      <c r="X12" s="1168" t="n"/>
      <c r="Y12" s="1168" t="n"/>
      <c r="Z12" s="1168" t="n"/>
      <c r="AA12" s="1168" t="n"/>
      <c r="AB12" s="1168" t="n"/>
      <c r="AC12" s="1168" t="n"/>
      <c r="AD12" s="1168" t="n"/>
    </row>
    <row r="13" s="3154" customFormat="1" ht="16.5" customHeight="1">
      <c r="A13" s="833" t="n"/>
      <c r="B13" s="843" t="n">
        <f t="array" ref="B13">SUM(B11:B12)</f>
        <v>1</v>
      </c>
      <c r="C13" s="3431" t="n">
        <f t="array" ref="C13">'Assumptions'!C75</f>
        <v>100</v>
      </c>
      <c r="D13" s="3429" t="n"/>
      <c r="E13" s="738" t="inlineStr">
        <is>
          <t xml:space="preserve">New Construction</t>
        </is>
      </c>
      <c r="F13" s="1167" t="n"/>
      <c r="G13" s="1167" t="n"/>
      <c r="H13" s="1167" t="n"/>
      <c r="I13" s="1167" t="n"/>
      <c r="J13" s="1167" t="n"/>
      <c r="K13" s="1167" t="n"/>
      <c r="L13" s="1167" t="n"/>
      <c r="M13" s="1167" t="n"/>
      <c r="N13" s="1167" t="n"/>
      <c r="O13" s="1167" t="n"/>
      <c r="P13" s="1167" t="n"/>
      <c r="Q13" s="1167" t="n"/>
      <c r="R13" s="1168" t="n"/>
      <c r="S13" s="1168" t="n"/>
      <c r="T13" s="1168" t="n"/>
      <c r="U13" s="1168" t="n"/>
      <c r="V13" s="1168" t="n"/>
      <c r="W13" s="1168" t="n"/>
      <c r="X13" s="1168" t="n"/>
      <c r="Y13" s="1168" t="n"/>
      <c r="Z13" s="1168" t="n"/>
      <c r="AA13" s="1168" t="n"/>
      <c r="AB13" s="1168" t="n"/>
      <c r="AC13" s="1168" t="n"/>
      <c r="AD13" s="1168" t="n"/>
    </row>
    <row r="14" s="3154" customFormat="1" ht="15" customHeight="1">
      <c r="A14" s="1167" t="inlineStr">
        <is>
          <t xml:space="preserve">Laundry On Site</t>
        </is>
      </c>
      <c r="B14" s="652" t="inlineStr">
        <is>
          <t xml:space="preserve">Yes</t>
        </is>
      </c>
      <c r="C14" s="652" t="n"/>
      <c r="D14" s="1167" t="n"/>
      <c r="E14" s="64" t="inlineStr">
        <is>
          <t xml:space="preserve">Approx. four-story / 100-key program / 17,034 GSF</t>
        </is>
      </c>
      <c r="F14" s="1167" t="n"/>
      <c r="G14" s="1167" t="n"/>
      <c r="H14" s="1167" t="n"/>
      <c r="I14" s="1167" t="n"/>
      <c r="J14" s="1167" t="n"/>
      <c r="K14" s="1167" t="n"/>
      <c r="L14" s="1167" t="n"/>
      <c r="M14" s="1167" t="n"/>
      <c r="N14" s="1167" t="n"/>
      <c r="O14" s="1167" t="n"/>
      <c r="P14" s="1167" t="n"/>
      <c r="Q14" s="1167" t="n"/>
      <c r="R14" s="1168" t="n"/>
      <c r="S14" s="1168" t="n"/>
      <c r="T14" s="1168" t="n"/>
      <c r="U14" s="1168" t="n"/>
      <c r="V14" s="1168" t="n"/>
      <c r="W14" s="1168" t="n"/>
      <c r="X14" s="1168" t="n"/>
      <c r="Y14" s="1168" t="n"/>
      <c r="Z14" s="1168" t="n"/>
      <c r="AA14" s="1168" t="n"/>
      <c r="AB14" s="1168" t="n"/>
      <c r="AC14" s="1168" t="n"/>
      <c r="AD14" s="1168" t="n"/>
    </row>
    <row r="15" s="3154" customFormat="1" ht="12.75" customHeight="1">
      <c r="A15" s="1167" t="n"/>
      <c r="B15" s="1167" t="n"/>
      <c r="C15" s="1167" t="n"/>
      <c r="D15" s="1167" t="n"/>
      <c r="E15" s="64" t="inlineStr">
        <is>
          <t xml:space="preserve">Elevator - Yes</t>
        </is>
      </c>
      <c r="F15" s="1167" t="n"/>
      <c r="G15" s="1167" t="n"/>
      <c r="H15" s="1167" t="n"/>
      <c r="I15" s="1167" t="n"/>
      <c r="J15" s="1167" t="n"/>
      <c r="K15" s="1167" t="n"/>
      <c r="L15" s="1167" t="n"/>
      <c r="M15" s="1167" t="n"/>
      <c r="N15" s="1167" t="n"/>
      <c r="O15" s="1167" t="n"/>
      <c r="P15" s="1167" t="n"/>
      <c r="Q15" s="1167" t="n"/>
      <c r="R15" s="1168" t="n"/>
      <c r="S15" s="1168" t="n"/>
      <c r="T15" s="1168" t="n"/>
      <c r="U15" s="1168" t="n"/>
      <c r="V15" s="1168" t="n"/>
      <c r="W15" s="1168" t="n"/>
      <c r="X15" s="1168" t="n"/>
      <c r="Y15" s="1168" t="n"/>
      <c r="Z15" s="1168" t="n"/>
      <c r="AA15" s="1168" t="n"/>
      <c r="AB15" s="1168" t="n"/>
      <c r="AC15" s="1168" t="n"/>
      <c r="AD15" s="1168" t="n"/>
    </row>
    <row r="16" s="3154" customFormat="1" ht="12.75" customHeight="1">
      <c r="A16" s="1167" t="n"/>
      <c r="B16" s="1167" t="n"/>
      <c r="C16" s="1167" t="n"/>
      <c r="D16" s="1167" t="n"/>
      <c r="E16" s="845" t="inlineStr">
        <is>
          <t xml:space="preserve">Outdoor/ Indoor Pool- NA</t>
        </is>
      </c>
      <c r="F16" s="1167" t="n"/>
      <c r="G16" s="1167" t="n"/>
      <c r="H16" s="1167" t="n"/>
      <c r="I16" s="1167" t="n"/>
      <c r="J16" s="1167" t="n"/>
      <c r="K16" s="1167" t="n"/>
      <c r="L16" s="1167" t="n"/>
      <c r="M16" s="1167" t="n"/>
      <c r="N16" s="1167" t="n"/>
      <c r="O16" s="1167" t="n"/>
      <c r="P16" s="1167" t="n"/>
      <c r="Q16" s="1167" t="n"/>
      <c r="R16" s="1168" t="n"/>
      <c r="S16" s="1168" t="n"/>
      <c r="T16" s="1168" t="n"/>
      <c r="U16" s="1168" t="n"/>
      <c r="V16" s="1168" t="n"/>
      <c r="W16" s="1168" t="n"/>
      <c r="X16" s="1168" t="n"/>
      <c r="Y16" s="1168" t="n"/>
      <c r="Z16" s="1168" t="n"/>
      <c r="AA16" s="1168" t="n"/>
      <c r="AB16" s="1168" t="n"/>
      <c r="AC16" s="1168" t="n"/>
      <c r="AD16" s="1168" t="n"/>
    </row>
    <row r="17" s="3154" customFormat="1" ht="12.75" customHeight="1">
      <c r="A17" s="1167" t="n"/>
      <c r="B17" s="1167" t="n"/>
      <c r="C17" s="1167" t="n"/>
      <c r="D17" s="1167" t="n"/>
      <c r="E17" s="64" t="inlineStr">
        <is>
          <t xml:space="preserve">Estimated Franchise fee- $50,000</t>
        </is>
      </c>
      <c r="F17" s="1167" t="n"/>
      <c r="G17" s="1167" t="n"/>
      <c r="H17" s="1167" t="n"/>
      <c r="I17" s="1167" t="n"/>
      <c r="J17" s="1167" t="n"/>
      <c r="K17" s="1167" t="n"/>
      <c r="L17" s="1167" t="n"/>
      <c r="M17" s="1167" t="n"/>
      <c r="N17" s="1167" t="n"/>
      <c r="O17" s="3428" t="n"/>
      <c r="P17" s="1167" t="n"/>
      <c r="Q17" s="1167" t="n"/>
      <c r="R17" s="1168" t="n"/>
      <c r="S17" s="1168" t="n"/>
      <c r="T17" s="1168" t="n"/>
      <c r="U17" s="1168" t="n"/>
      <c r="V17" s="1168" t="n"/>
      <c r="W17" s="1168" t="n"/>
      <c r="X17" s="1168" t="n"/>
      <c r="Y17" s="1168" t="n"/>
      <c r="Z17" s="1168" t="n"/>
      <c r="AA17" s="1168" t="n"/>
      <c r="AB17" s="1168" t="n"/>
      <c r="AC17" s="1168" t="n"/>
      <c r="AD17" s="1168" t="n"/>
    </row>
    <row r="18" s="3154" customFormat="1" ht="15" customHeight="1">
      <c r="A18" s="1167" t="n"/>
      <c r="B18" s="1167" t="n"/>
      <c r="C18" s="1167" t="n"/>
      <c r="D18" s="1167" t="n"/>
      <c r="E18" s="64" t="inlineStr">
        <is>
          <t xml:space="preserve">Interior Corridor</t>
        </is>
      </c>
      <c r="F18" s="1167" t="n"/>
      <c r="G18" s="1167" t="n"/>
      <c r="H18" s="1167" t="n"/>
      <c r="I18" s="1167" t="n"/>
      <c r="J18" s="1167" t="n"/>
      <c r="K18" s="1167" t="n"/>
      <c r="L18" s="1167" t="n"/>
      <c r="M18" s="1167" t="n"/>
      <c r="N18" s="1167" t="n"/>
      <c r="O18" s="1167" t="n"/>
      <c r="P18" s="1167" t="n"/>
      <c r="Q18" s="1167" t="n"/>
      <c r="R18" s="1168" t="n"/>
      <c r="S18" s="1168" t="n"/>
      <c r="T18" s="1168" t="n"/>
      <c r="U18" s="1168" t="n"/>
      <c r="V18" s="1168" t="n"/>
      <c r="W18" s="1168" t="n"/>
      <c r="X18" s="1168" t="n"/>
      <c r="Y18" s="1168" t="n"/>
      <c r="Z18" s="1168" t="n"/>
      <c r="AA18" s="1168" t="n"/>
      <c r="AB18" s="1168" t="n"/>
      <c r="AC18" s="1168" t="n"/>
      <c r="AD18" s="1168" t="n"/>
    </row>
    <row r="19" s="3154" customFormat="1" ht="12.75" customHeight="1">
      <c r="A19" s="1167" t="n"/>
      <c r="B19" s="1167" t="n"/>
      <c r="C19" s="1167" t="n"/>
      <c r="D19" s="1167" t="n"/>
      <c r="E19" s="64" t="inlineStr">
        <is>
          <t xml:space="preserve">Parking spaces - per site plan / to confirm</t>
        </is>
      </c>
      <c r="F19" s="1167" t="n"/>
      <c r="G19" s="1167" t="n"/>
      <c r="H19" s="1167" t="n"/>
      <c r="I19" s="1167" t="n"/>
      <c r="J19" s="1167" t="n"/>
      <c r="K19" s="1167" t="n"/>
      <c r="L19" s="1167" t="n"/>
      <c r="M19" s="1167" t="n"/>
      <c r="N19" s="1167" t="n"/>
      <c r="O19" s="1167" t="n"/>
      <c r="P19" s="1167" t="n"/>
      <c r="Q19" s="1167" t="n"/>
      <c r="R19" s="1168" t="n"/>
      <c r="S19" s="1168" t="n"/>
      <c r="T19" s="1168" t="n"/>
      <c r="U19" s="1168" t="n"/>
      <c r="V19" s="1168" t="n"/>
      <c r="W19" s="1168" t="n"/>
      <c r="X19" s="1168" t="n"/>
      <c r="Y19" s="1168" t="n"/>
      <c r="Z19" s="1168" t="n"/>
      <c r="AA19" s="1168" t="n"/>
      <c r="AB19" s="1168" t="n"/>
      <c r="AC19" s="1168" t="n"/>
      <c r="AD19" s="1168" t="n"/>
    </row>
    <row r="20" s="3154" customFormat="1" ht="12.75" customHeight="1">
      <c r="A20" s="1167" t="n"/>
      <c r="B20" s="1167" t="n"/>
      <c r="C20" s="1167" t="n"/>
      <c r="D20" s="1167" t="n"/>
      <c r="E20" s="845" t="inlineStr">
        <is>
          <t xml:space="preserve">Meeting room Space--N/A</t>
        </is>
      </c>
      <c r="F20" s="1167" t="n"/>
      <c r="G20" s="1167" t="n"/>
      <c r="H20" s="1167" t="n"/>
      <c r="I20" s="1167" t="n"/>
      <c r="J20" s="1167" t="n"/>
      <c r="K20" s="1167" t="n"/>
      <c r="L20" s="1167" t="n"/>
      <c r="M20" s="1167" t="n"/>
      <c r="N20" s="1167" t="n"/>
      <c r="O20" s="1167" t="n"/>
      <c r="P20" s="1167" t="n"/>
      <c r="Q20" s="1167" t="n"/>
      <c r="R20" s="1168" t="n"/>
      <c r="S20" s="1168" t="n"/>
      <c r="T20" s="1168" t="n"/>
      <c r="U20" s="1168" t="n"/>
      <c r="V20" s="1168" t="n"/>
      <c r="W20" s="1168" t="n"/>
      <c r="X20" s="1168" t="n"/>
      <c r="Y20" s="1168" t="n"/>
      <c r="Z20" s="1168" t="n"/>
      <c r="AA20" s="1168" t="n"/>
      <c r="AB20" s="1168" t="n"/>
      <c r="AC20" s="1168" t="n"/>
      <c r="AD20" s="1168" t="n"/>
    </row>
    <row r="21" s="3154" customFormat="1" ht="12.75" customHeight="1">
      <c r="A21" s="1167" t="n"/>
      <c r="B21" s="1167" t="n"/>
      <c r="C21" s="1167" t="n"/>
      <c r="D21" s="1167" t="n"/>
      <c r="E21" s="64" t="inlineStr">
        <is>
          <t xml:space="preserve">Breakfast- Full Hot  Breakfast</t>
        </is>
      </c>
      <c r="F21" s="1167" t="str"/>
      <c r="G21" s="1167" t="n"/>
      <c r="H21" s="1167" t="n"/>
      <c r="I21" s="1167" t="n"/>
      <c r="J21" s="1167" t="n"/>
      <c r="K21" s="1167" t="n"/>
      <c r="L21" s="1167" t="n"/>
      <c r="M21" s="1167" t="n"/>
      <c r="N21" s="1167" t="n"/>
      <c r="O21" s="1167" t="n"/>
      <c r="P21" s="1167" t="n"/>
      <c r="Q21" s="1167" t="n"/>
      <c r="R21" s="1168" t="n"/>
      <c r="S21" s="1168" t="n"/>
      <c r="T21" s="1168" t="n"/>
      <c r="U21" s="1168" t="n"/>
      <c r="V21" s="1168" t="n"/>
      <c r="W21" s="1168" t="n"/>
      <c r="X21" s="1168" t="n"/>
      <c r="Y21" s="1168" t="n"/>
      <c r="Z21" s="1168" t="n"/>
      <c r="AA21" s="1168" t="n"/>
      <c r="AB21" s="1168" t="n"/>
      <c r="AC21" s="1168" t="n"/>
      <c r="AD21" s="1168" t="n"/>
    </row>
    <row r="22" s="3154" customFormat="1" ht="12.75" customHeight="1">
      <c r="A22" s="1167" t="n"/>
      <c r="B22" s="1167" t="n"/>
      <c r="C22" s="1167" t="n"/>
      <c r="D22" s="1167" t="n"/>
      <c r="E22" s="64" t="str">
        <f>"Room mix: "&amp;'Assumptions'!C72&amp;" Economy Plus / "&amp;'Assumptions'!C73&amp;" Economy; bathrooms: "&amp;'Assumptions'!G72&amp;" private ensuite + "&amp;'Assumptions'!G73&amp;" shared"</f>
        <v>Room mix: 50 Economy Plus / 50 Economy; bathrooms: 50 private ensuite + 10 shared</v>
      </c>
      <c r="F22" s="1167" t="n"/>
      <c r="G22" s="1167" t="n"/>
      <c r="H22" s="1167" t="n"/>
      <c r="I22" s="1167" t="n"/>
      <c r="J22" s="1167" t="n"/>
      <c r="K22" s="1167" t="n"/>
      <c r="L22" s="1167" t="n"/>
      <c r="M22" s="1167" t="n"/>
      <c r="N22" s="1167" t="n"/>
      <c r="O22" s="1167" t="n"/>
      <c r="P22" s="1167" t="n"/>
      <c r="Q22" s="1167" t="n"/>
      <c r="R22" s="1168" t="n"/>
      <c r="S22" s="1168" t="n"/>
      <c r="T22" s="1168" t="n"/>
      <c r="U22" s="1168" t="n"/>
      <c r="V22" s="1168" t="n"/>
      <c r="W22" s="1168" t="n"/>
      <c r="X22" s="1168" t="n"/>
      <c r="Y22" s="1168" t="n"/>
      <c r="Z22" s="1168" t="n"/>
      <c r="AA22" s="1168" t="n"/>
      <c r="AB22" s="1168" t="n"/>
      <c r="AC22" s="1168" t="n"/>
      <c r="AD22" s="1168" t="n"/>
    </row>
    <row r="23" s="3154" customFormat="1" ht="13.5" customHeight="1">
      <c r="A23" s="1167" t="n"/>
      <c r="B23" s="3432" t="n">
        <f t="array" ref="B23">B10</f>
        <v>1</v>
      </c>
      <c r="C23" s="3432" t="n">
        <f t="array" ref="C23">C10</f>
        <v>100</v>
      </c>
      <c r="D23" s="3433" t="n"/>
      <c r="E23" s="64" t="inlineStr">
        <is>
          <t xml:space="preserve">Business Center/ Fitness Center</t>
        </is>
      </c>
      <c r="F23" s="1167" t="n"/>
      <c r="G23" s="1167" t="n"/>
      <c r="H23" s="1167" t="n"/>
      <c r="I23" s="1167" t="n"/>
      <c r="J23" s="1167" t="n"/>
      <c r="K23" s="1167" t="n"/>
      <c r="L23" s="1167" t="n"/>
      <c r="M23" s="1167" t="n"/>
      <c r="N23" s="1167" t="n"/>
      <c r="O23" s="1167" t="n"/>
      <c r="P23" s="1167" t="n"/>
      <c r="Q23" s="1167" t="n"/>
      <c r="R23" s="1168" t="n"/>
      <c r="S23" s="1168" t="n"/>
      <c r="T23" s="1168" t="n"/>
      <c r="U23" s="1168" t="n"/>
      <c r="V23" s="1168" t="n"/>
      <c r="W23" s="1168" t="n"/>
      <c r="X23" s="1168" t="n"/>
      <c r="Y23" s="1168" t="n"/>
      <c r="Z23" s="1168" t="n"/>
      <c r="AA23" s="1168" t="n"/>
      <c r="AB23" s="1168" t="n"/>
      <c r="AC23" s="1168" t="n"/>
      <c r="AD23" s="1168" t="n"/>
    </row>
    <row r="24" s="3154" customFormat="1" ht="13.5" customHeight="1">
      <c r="A24" s="833" t="n"/>
      <c r="B24" s="848" t="inlineStr">
        <is>
          <t xml:space="preserve">Per Room Cost</t>
        </is>
      </c>
      <c r="C24" s="848" t="inlineStr">
        <is>
          <t xml:space="preserve">Total Project Cost</t>
        </is>
      </c>
      <c r="D24" s="849" t="n"/>
      <c r="E24" s="666" t="n"/>
      <c r="F24" s="1167" t="n"/>
      <c r="G24" s="1167" t="n"/>
      <c r="H24" s="1167" t="n"/>
      <c r="I24" s="1167" t="n"/>
      <c r="J24" s="1167" t="n"/>
      <c r="K24" s="1167" t="n"/>
      <c r="L24" s="1167" t="n"/>
      <c r="M24" s="1167" t="n"/>
      <c r="N24" s="1167" t="n"/>
      <c r="O24" s="1167" t="n"/>
      <c r="P24" s="1167" t="n"/>
      <c r="Q24" s="1167" t="n"/>
      <c r="R24" s="1168" t="n"/>
      <c r="S24" s="1168" t="n"/>
      <c r="T24" s="1168" t="n"/>
      <c r="U24" s="1168" t="n"/>
      <c r="V24" s="1168" t="n"/>
      <c r="W24" s="1168" t="n"/>
      <c r="X24" s="1168" t="n"/>
      <c r="Y24" s="1168" t="n"/>
      <c r="Z24" s="1168" t="n"/>
      <c r="AA24" s="1168" t="n"/>
      <c r="AB24" s="1168" t="n"/>
      <c r="AC24" s="1168" t="n"/>
      <c r="AD24" s="1168" t="n"/>
    </row>
    <row r="25" s="3154" customFormat="1" ht="12.75" customHeight="1">
      <c r="A25" s="833" t="n"/>
      <c r="B25" s="3434" t="n">
        <f t="array" ref="B25">'JYI-Project Summary'!H16</f>
        <v>1500</v>
      </c>
      <c r="C25" s="3434" t="n">
        <f t="array" ref="C25">'JYI-Project Summary'!G16</f>
        <v>150000</v>
      </c>
      <c r="D25" s="3435" t="str"/>
      <c r="E25" s="852" t="str">
        <f t="array" ref="E25">'JYI-Project Summary'!E16</f>
        <v>Additional Funds for 3 months- initial period</v>
      </c>
      <c r="F25" s="1167" t="n"/>
      <c r="G25" s="1167" t="n"/>
      <c r="H25" s="1167" t="n"/>
      <c r="I25" s="1167" t="n"/>
      <c r="J25" s="1167" t="n"/>
      <c r="K25" s="1167" t="n"/>
      <c r="L25" s="1167" t="n"/>
      <c r="M25" s="1167" t="n"/>
      <c r="N25" s="1167" t="n"/>
      <c r="O25" s="1167" t="n"/>
      <c r="P25" s="1167" t="n"/>
      <c r="Q25" s="1167" t="n"/>
      <c r="R25" s="1168" t="n"/>
      <c r="S25" s="1168" t="n"/>
      <c r="T25" s="1168" t="n"/>
      <c r="U25" s="1168" t="n"/>
      <c r="V25" s="1168" t="n"/>
      <c r="W25" s="1168" t="n"/>
      <c r="X25" s="1168" t="n"/>
      <c r="Y25" s="1168" t="n"/>
      <c r="Z25" s="1168" t="n"/>
      <c r="AA25" s="1168" t="n"/>
      <c r="AB25" s="1168" t="n"/>
      <c r="AC25" s="1168" t="n"/>
      <c r="AD25" s="1168" t="n"/>
    </row>
    <row r="26" s="3154" customFormat="1" ht="12.75" customHeight="1">
      <c r="A26" s="833" t="n"/>
      <c r="B26" s="3436" t="n">
        <f t="array" ref="B26">'JYI-Project Summary'!H17</f>
        <v>100</v>
      </c>
      <c r="C26" s="3436" t="n">
        <f t="array" ref="C26">'JYI-Project Summary'!G17</f>
        <v>10000</v>
      </c>
      <c r="D26" s="3435" t="str"/>
      <c r="E26" s="852" t="str">
        <f t="array" ref="E26">'JYI-Project Summary'!E17</f>
        <v>Application Fee- Franchise</v>
      </c>
      <c r="F26" s="1167" t="n"/>
      <c r="G26" s="1167" t="n"/>
      <c r="H26" s="1167" t="n"/>
      <c r="I26" s="1167" t="n"/>
      <c r="J26" s="1167" t="n"/>
      <c r="K26" s="1167" t="n"/>
      <c r="L26" s="1167" t="n"/>
      <c r="M26" s="1167" t="n"/>
      <c r="N26" s="1167" t="n"/>
      <c r="O26" s="1167" t="n"/>
      <c r="P26" s="1167" t="n"/>
      <c r="Q26" s="1167" t="n"/>
      <c r="R26" s="1168" t="n"/>
      <c r="S26" s="1168" t="n"/>
      <c r="T26" s="1168" t="n"/>
      <c r="U26" s="1168" t="n"/>
      <c r="V26" s="1168" t="n"/>
      <c r="W26" s="1168" t="n"/>
      <c r="X26" s="1168" t="n"/>
      <c r="Y26" s="1168" t="n"/>
      <c r="Z26" s="1168" t="n"/>
      <c r="AA26" s="1168" t="n"/>
      <c r="AB26" s="1168" t="n"/>
      <c r="AC26" s="1168" t="n"/>
      <c r="AD26" s="1168" t="n"/>
    </row>
    <row r="27" s="3154" customFormat="1" ht="12.75" customHeight="1">
      <c r="A27" s="833" t="n"/>
      <c r="B27" s="3436" t="n">
        <f t="array" ref="B27">'JYI-Project Summary'!H18</f>
        <v>1500</v>
      </c>
      <c r="C27" s="3436" t="n">
        <f t="array" ref="C27">'JYI-Project Summary'!G18</f>
        <v>150000</v>
      </c>
      <c r="D27" s="3435" t="str"/>
      <c r="E27" s="852" t="str">
        <f t="array" ref="E27">'JYI-Project Summary'!E18</f>
        <v>Architect fees, Design and Engineering</v>
      </c>
      <c r="F27" s="1167" t="n"/>
      <c r="G27" s="1167" t="n"/>
      <c r="H27" s="1167" t="n"/>
      <c r="I27" s="1167" t="n"/>
      <c r="J27" s="1167" t="n"/>
      <c r="K27" s="1167" t="n"/>
      <c r="L27" s="1167" t="n"/>
      <c r="M27" s="1167" t="n"/>
      <c r="N27" s="1167" t="n"/>
      <c r="O27" s="1167" t="n"/>
      <c r="P27" s="1167" t="n"/>
      <c r="Q27" s="1167" t="n"/>
      <c r="R27" s="1168" t="n"/>
      <c r="S27" s="1168" t="n"/>
      <c r="T27" s="1168" t="n"/>
      <c r="U27" s="1168" t="n"/>
      <c r="V27" s="1168" t="n"/>
      <c r="W27" s="1168" t="n"/>
      <c r="X27" s="1168" t="n"/>
      <c r="Y27" s="1168" t="n"/>
      <c r="Z27" s="1168" t="n"/>
      <c r="AA27" s="1168" t="n"/>
      <c r="AB27" s="1168" t="n"/>
      <c r="AC27" s="1168" t="n"/>
      <c r="AD27" s="1168" t="n"/>
    </row>
    <row r="28" s="3154" customFormat="1" ht="12.75" customHeight="1">
      <c r="A28" s="833" t="n"/>
      <c r="B28" s="3436" t="n">
        <f t="array" ref="B28">'JYI-Project Summary'!H19</f>
        <v>0</v>
      </c>
      <c r="C28" s="3436" t="n">
        <f t="array" ref="C28">'JYI-Project Summary'!G19</f>
        <v>0</v>
      </c>
      <c r="D28" s="3435" t="str"/>
      <c r="E28" s="852" t="str">
        <f t="array" ref="E28">'JYI-Project Summary'!E19</f>
        <v>Construction Contingency (inside Facility Construction via CB-Summary only)</v>
      </c>
      <c r="F28" s="1167" t="n"/>
      <c r="G28" s="1167" t="n"/>
      <c r="H28" s="1167" t="n"/>
      <c r="I28" s="1167" t="n"/>
      <c r="J28" s="1167" t="n"/>
      <c r="K28" s="1167" t="n"/>
      <c r="L28" s="1167" t="n"/>
      <c r="M28" s="1167" t="n"/>
      <c r="N28" s="1167" t="n"/>
      <c r="O28" s="1167" t="n"/>
      <c r="P28" s="1167" t="n"/>
      <c r="Q28" s="1167" t="n"/>
      <c r="R28" s="1168" t="n"/>
      <c r="S28" s="1168" t="n"/>
      <c r="T28" s="1168" t="n"/>
      <c r="U28" s="1168" t="n"/>
      <c r="V28" s="1168" t="n"/>
      <c r="W28" s="1168" t="n"/>
      <c r="X28" s="1168" t="n"/>
      <c r="Y28" s="1168" t="n"/>
      <c r="Z28" s="1168" t="n"/>
      <c r="AA28" s="1168" t="n"/>
      <c r="AB28" s="1168" t="n"/>
      <c r="AC28" s="1168" t="n"/>
      <c r="AD28" s="1168" t="n"/>
    </row>
    <row r="29" s="3154" customFormat="1" ht="12.75" customHeight="1">
      <c r="A29" s="833" t="n"/>
      <c r="B29" s="3436" t="n">
        <f t="array" ref="B29">'JYI-Project Summary'!H20</f>
        <v>44664.160999999992782</v>
      </c>
      <c r="C29" s="3436" t="n">
        <f t="array" ref="C29">'JYI-Project Summary'!G20</f>
        <v>4466416.099999999627471</v>
      </c>
      <c r="D29" s="3435" t="str"/>
      <c r="E29" s="852" t="str">
        <f t="array" ref="E29">'JYI-Project Summary'!E20</f>
        <v>Facility Construction</v>
      </c>
      <c r="F29" s="1167" t="n"/>
      <c r="G29" s="1167" t="n"/>
      <c r="H29" s="1167" t="n"/>
      <c r="I29" s="1167" t="n"/>
      <c r="J29" s="1167" t="n"/>
      <c r="K29" s="1167" t="n"/>
      <c r="L29" s="1167" t="n"/>
      <c r="M29" s="1167" t="n"/>
      <c r="N29" s="1167" t="n"/>
      <c r="O29" s="1167" t="n"/>
      <c r="P29" s="1167" t="n"/>
      <c r="Q29" s="1167" t="n"/>
      <c r="R29" s="1168" t="n"/>
      <c r="S29" s="1168" t="n"/>
      <c r="T29" s="1168" t="n"/>
      <c r="U29" s="1168" t="n"/>
      <c r="V29" s="1168" t="n"/>
      <c r="W29" s="1168" t="n"/>
      <c r="X29" s="1168" t="n"/>
      <c r="Y29" s="1168" t="n"/>
      <c r="Z29" s="1168" t="n"/>
      <c r="AA29" s="1168" t="n"/>
      <c r="AB29" s="1168" t="n"/>
      <c r="AC29" s="1168" t="n"/>
      <c r="AD29" s="1168" t="n"/>
    </row>
    <row r="30" s="3154" customFormat="1" ht="12.75" customHeight="1">
      <c r="A30" s="833" t="n"/>
      <c r="B30" s="3436" t="n">
        <f t="array" ref="B30">'JYI-Project Summary'!H21</f>
        <v>0</v>
      </c>
      <c r="C30" s="3436" t="n">
        <f t="array" ref="C30">'JYI-Project Summary'!G21</f>
        <v>0</v>
      </c>
      <c r="D30" s="3435" t="str"/>
      <c r="E30" s="852" t="str">
        <f t="array" ref="E30">'JYI-Project Summary'!E21</f>
        <v>Facility Improvements</v>
      </c>
      <c r="F30" s="1167" t="n"/>
      <c r="G30" s="1167" t="n"/>
      <c r="H30" s="1167" t="n"/>
      <c r="I30" s="1167" t="n"/>
      <c r="J30" s="1167" t="n"/>
      <c r="K30" s="1167" t="n"/>
      <c r="L30" s="1167" t="n"/>
      <c r="M30" s="1167" t="n"/>
      <c r="N30" s="1167" t="n"/>
      <c r="O30" s="1167" t="n"/>
      <c r="P30" s="1167" t="n"/>
      <c r="Q30" s="1167" t="n"/>
      <c r="R30" s="1168" t="n"/>
      <c r="S30" s="1168" t="n"/>
      <c r="T30" s="1168" t="n"/>
      <c r="U30" s="1168" t="n"/>
      <c r="V30" s="1168" t="n"/>
      <c r="W30" s="1168" t="n"/>
      <c r="X30" s="1168" t="n"/>
      <c r="Y30" s="1168" t="n"/>
      <c r="Z30" s="1168" t="n"/>
      <c r="AA30" s="1168" t="n"/>
      <c r="AB30" s="1168" t="n"/>
      <c r="AC30" s="1168" t="n"/>
      <c r="AD30" s="1168" t="n"/>
    </row>
    <row r="31" s="3154" customFormat="1" ht="12.75" customHeight="1">
      <c r="A31" s="833" t="n"/>
      <c r="B31" s="3436" t="n">
        <f t="array" ref="B31">'JYI-Project Summary'!H22</f>
        <v>2717.202000000000226</v>
      </c>
      <c r="C31" s="3436" t="n">
        <f t="array" ref="C31">'JYI-Project Summary'!G22</f>
        <v>271720.200000000011642</v>
      </c>
      <c r="D31" s="3435" t="str"/>
      <c r="E31" s="852" t="str">
        <f t="array" ref="E31">'JYI-Project Summary'!E22</f>
        <v>Furniture, Fixtures and Equipment (FF&amp;E)</v>
      </c>
      <c r="F31" s="1167" t="n"/>
      <c r="G31" s="1167" t="n"/>
      <c r="H31" s="1167" t="n"/>
      <c r="I31" s="1167" t="n"/>
      <c r="J31" s="1167" t="n"/>
      <c r="K31" s="1167" t="n"/>
      <c r="L31" s="1167" t="n"/>
      <c r="M31" s="1167" t="n"/>
      <c r="N31" s="1167" t="n"/>
      <c r="O31" s="1167" t="n"/>
      <c r="P31" s="1167" t="n"/>
      <c r="Q31" s="1167" t="n"/>
      <c r="R31" s="1168" t="n"/>
      <c r="S31" s="1168" t="n"/>
      <c r="T31" s="1168" t="n"/>
      <c r="U31" s="1168" t="n"/>
      <c r="V31" s="1168" t="n"/>
      <c r="W31" s="1168" t="n"/>
      <c r="X31" s="1168" t="n"/>
      <c r="Y31" s="1168" t="n"/>
      <c r="Z31" s="1168" t="n"/>
      <c r="AA31" s="1168" t="n"/>
      <c r="AB31" s="1168" t="n"/>
      <c r="AC31" s="1168" t="n"/>
      <c r="AD31" s="1168" t="n"/>
    </row>
    <row r="32" s="3154" customFormat="1" ht="12.75" customHeight="1">
      <c r="A32" s="833" t="n"/>
      <c r="B32" s="3436" t="n">
        <f t="array" ref="B32">'JYI-Project Summary'!H23</f>
        <v>300</v>
      </c>
      <c r="C32" s="3436" t="n">
        <f t="array" ref="C32">'JYI-Project Summary'!G23</f>
        <v>30000</v>
      </c>
      <c r="D32" s="3435" t="str"/>
      <c r="E32" s="852" t="str">
        <f t="array" ref="E32">'JYI-Project Summary'!E23</f>
        <v>Grand Opening Advertising</v>
      </c>
      <c r="F32" s="1167" t="n"/>
      <c r="G32" s="1167" t="n"/>
      <c r="H32" s="1167" t="n"/>
      <c r="I32" s="1167" t="n"/>
      <c r="J32" s="1167" t="n"/>
      <c r="K32" s="1167" t="n"/>
      <c r="L32" s="1167" t="n"/>
      <c r="M32" s="1167" t="n"/>
      <c r="N32" s="1167" t="n"/>
      <c r="O32" s="1167" t="n"/>
      <c r="P32" s="1167" t="n"/>
      <c r="Q32" s="1167" t="n"/>
      <c r="R32" s="1168" t="n"/>
      <c r="S32" s="1168" t="n"/>
      <c r="T32" s="1168" t="n"/>
      <c r="U32" s="1168" t="n"/>
      <c r="V32" s="1168" t="n"/>
      <c r="W32" s="1168" t="n"/>
      <c r="X32" s="1168" t="n"/>
      <c r="Y32" s="1168" t="n"/>
      <c r="Z32" s="1168" t="n"/>
      <c r="AA32" s="1168" t="n"/>
      <c r="AB32" s="1168" t="n"/>
      <c r="AC32" s="1168" t="n"/>
      <c r="AD32" s="1168" t="n"/>
    </row>
    <row r="33" s="3154" customFormat="1" ht="12.75" customHeight="1">
      <c r="A33" s="833" t="n"/>
      <c r="B33" s="3436" t="n">
        <f t="array" ref="B33">'JYI-Project Summary'!H24</f>
        <v>0</v>
      </c>
      <c r="C33" s="3436" t="n">
        <f t="array" ref="C33">'JYI-Project Summary'!G24</f>
        <v>0</v>
      </c>
      <c r="D33" s="3435" t="str"/>
      <c r="E33" s="852" t="str">
        <f t="array" ref="E33">'JYI-Project Summary'!E24</f>
        <v>Insurance Carrier- Before Opening</v>
      </c>
      <c r="F33" s="1167" t="n"/>
      <c r="G33" s="1167" t="n"/>
      <c r="H33" s="1167" t="n"/>
      <c r="I33" s="1167" t="n"/>
      <c r="J33" s="1167" t="n"/>
      <c r="K33" s="1167" t="n"/>
      <c r="L33" s="1167" t="n"/>
      <c r="M33" s="1167" t="n"/>
      <c r="N33" s="1167" t="n"/>
      <c r="O33" s="1167" t="n"/>
      <c r="P33" s="1167" t="n"/>
      <c r="Q33" s="1167" t="n"/>
      <c r="R33" s="1168" t="n"/>
      <c r="S33" s="1168" t="n"/>
      <c r="T33" s="1168" t="n"/>
      <c r="U33" s="1168" t="n"/>
      <c r="V33" s="1168" t="n"/>
      <c r="W33" s="1168" t="n"/>
      <c r="X33" s="1168" t="n"/>
      <c r="Y33" s="1168" t="n"/>
      <c r="Z33" s="1168" t="n"/>
      <c r="AA33" s="1168" t="n"/>
      <c r="AB33" s="1168" t="n"/>
      <c r="AC33" s="1168" t="n"/>
      <c r="AD33" s="1168" t="n"/>
    </row>
    <row r="34" s="3154" customFormat="1" ht="12.75" customHeight="1">
      <c r="A34" s="833" t="n"/>
      <c r="B34" s="3436" t="n">
        <f t="array" ref="B34">'JYI-Project Summary'!H25</f>
        <v>750</v>
      </c>
      <c r="C34" s="3436" t="n">
        <f t="array" ref="C34">'JYI-Project Summary'!G25</f>
        <v>75000</v>
      </c>
      <c r="D34" s="3435" t="str"/>
      <c r="E34" s="852" t="str">
        <f t="array" ref="E34">'JYI-Project Summary'!E25</f>
        <v>Integration Fee</v>
      </c>
      <c r="F34" s="1167" t="n"/>
      <c r="G34" s="1167" t="n"/>
      <c r="H34" s="1167" t="n"/>
      <c r="I34" s="1167" t="n"/>
      <c r="J34" s="1167" t="n"/>
      <c r="K34" s="1167" t="n"/>
      <c r="L34" s="1167" t="n"/>
      <c r="M34" s="1167" t="n"/>
      <c r="N34" s="1167" t="n"/>
      <c r="O34" s="1167" t="n"/>
      <c r="P34" s="1167" t="n"/>
      <c r="Q34" s="1167" t="n"/>
      <c r="R34" s="1168" t="n"/>
      <c r="S34" s="1168" t="n"/>
      <c r="T34" s="1168" t="n"/>
      <c r="U34" s="1168" t="n"/>
      <c r="V34" s="1168" t="n"/>
      <c r="W34" s="1168" t="n"/>
      <c r="X34" s="1168" t="n"/>
      <c r="Y34" s="1168" t="n"/>
      <c r="Z34" s="1168" t="n"/>
      <c r="AA34" s="1168" t="n"/>
      <c r="AB34" s="1168" t="n"/>
      <c r="AC34" s="1168" t="n"/>
      <c r="AD34" s="1168" t="n"/>
    </row>
    <row r="35" s="3154" customFormat="1" ht="12.75" customHeight="1">
      <c r="A35" s="833" t="n"/>
      <c r="B35" s="3436" t="n">
        <f t="array" ref="B35">'JYI-Project Summary'!H26</f>
        <v>12000</v>
      </c>
      <c r="C35" s="3436" t="n">
        <f t="array" ref="C35">'JYI-Project Summary'!G26</f>
        <v>1200000</v>
      </c>
      <c r="D35" s="3435" t="str"/>
      <c r="E35" s="852" t="str">
        <f t="array" ref="E35">'JYI-Project Summary'!E26</f>
        <v>Land</v>
      </c>
      <c r="F35" s="1167" t="n"/>
      <c r="G35" s="1167" t="n"/>
      <c r="H35" s="1167" t="n"/>
      <c r="I35" s="1167" t="n"/>
      <c r="J35" s="1167" t="n"/>
      <c r="K35" s="1167" t="n"/>
      <c r="L35" s="1167" t="n"/>
      <c r="M35" s="1167" t="n"/>
      <c r="N35" s="1167" t="n"/>
      <c r="O35" s="1167" t="n"/>
      <c r="P35" s="1167" t="n"/>
      <c r="Q35" s="1167" t="n"/>
      <c r="R35" s="1168" t="n"/>
      <c r="S35" s="1168" t="n"/>
      <c r="T35" s="1168" t="n"/>
      <c r="U35" s="1168" t="n"/>
      <c r="V35" s="1168" t="n"/>
      <c r="W35" s="1168" t="n"/>
      <c r="X35" s="1168" t="n"/>
      <c r="Y35" s="1168" t="n"/>
      <c r="Z35" s="1168" t="n"/>
      <c r="AA35" s="1168" t="n"/>
      <c r="AB35" s="1168" t="n"/>
      <c r="AC35" s="1168" t="n"/>
      <c r="AD35" s="1168" t="n"/>
    </row>
    <row r="36" s="3154" customFormat="1" ht="12.75" customHeight="1">
      <c r="A36" s="833" t="n"/>
      <c r="B36" s="3436" t="n">
        <f t="array" ref="B36">'JYI-Project Summary'!H27</f>
        <v>100</v>
      </c>
      <c r="C36" s="3436" t="n">
        <f t="array" ref="C36">'JYI-Project Summary'!G27</f>
        <v>10000</v>
      </c>
      <c r="D36" s="3435" t="str"/>
      <c r="E36" s="852" t="str">
        <f t="array" ref="E36">'JYI-Project Summary'!E27</f>
        <v>Market Study- Paid by Developer</v>
      </c>
      <c r="F36" s="1167" t="n"/>
      <c r="G36" s="1167" t="n"/>
      <c r="H36" s="1167" t="n"/>
      <c r="I36" s="1167" t="n"/>
      <c r="J36" s="1167" t="n"/>
      <c r="K36" s="1167" t="n"/>
      <c r="L36" s="1167" t="n"/>
      <c r="M36" s="1167" t="n"/>
      <c r="N36" s="1167" t="n"/>
      <c r="O36" s="1167" t="n"/>
      <c r="P36" s="1167" t="n"/>
      <c r="Q36" s="1167" t="n"/>
      <c r="R36" s="1168" t="n"/>
      <c r="S36" s="1168" t="n"/>
      <c r="T36" s="1168" t="n"/>
      <c r="U36" s="1168" t="n"/>
      <c r="V36" s="1168" t="n"/>
      <c r="W36" s="1168" t="n"/>
      <c r="X36" s="1168" t="n"/>
      <c r="Y36" s="1168" t="n"/>
      <c r="Z36" s="1168" t="n"/>
      <c r="AA36" s="1168" t="n"/>
      <c r="AB36" s="1168" t="n"/>
      <c r="AC36" s="1168" t="n"/>
      <c r="AD36" s="1168" t="n"/>
    </row>
    <row r="37" s="3154" customFormat="1" ht="12.75" customHeight="1">
      <c r="A37" s="833" t="n"/>
      <c r="B37" s="3436" t="n">
        <f t="array" ref="B37">'JYI-Project Summary'!H28</f>
        <v>300</v>
      </c>
      <c r="C37" s="3436" t="n">
        <f t="array" ref="C37">'JYI-Project Summary'!G28</f>
        <v>30000</v>
      </c>
      <c r="D37" s="3435" t="str"/>
      <c r="E37" s="852" t="str">
        <f t="array" ref="E37">'JYI-Project Summary'!E28</f>
        <v>Misc. Non Tangibles- Supplies, professionals- opening supplies</v>
      </c>
      <c r="F37" s="1167" t="n"/>
      <c r="G37" s="1167" t="n"/>
      <c r="H37" s="1167" t="n"/>
      <c r="I37" s="1167" t="n"/>
      <c r="J37" s="1167" t="n"/>
      <c r="K37" s="1167" t="n"/>
      <c r="L37" s="1167" t="n"/>
      <c r="M37" s="1167" t="n"/>
      <c r="N37" s="1167" t="n"/>
      <c r="O37" s="1167" t="n"/>
      <c r="P37" s="1167" t="n"/>
      <c r="Q37" s="1167" t="n"/>
      <c r="R37" s="1168" t="n"/>
      <c r="S37" s="1168" t="n"/>
      <c r="T37" s="1168" t="n"/>
      <c r="U37" s="1168" t="n"/>
      <c r="V37" s="1168" t="n"/>
      <c r="W37" s="1168" t="n"/>
      <c r="X37" s="1168" t="n"/>
      <c r="Y37" s="1168" t="n"/>
      <c r="Z37" s="1168" t="n"/>
      <c r="AA37" s="1168" t="n"/>
      <c r="AB37" s="1168" t="n"/>
      <c r="AC37" s="1168" t="n"/>
      <c r="AD37" s="1168" t="n"/>
    </row>
    <row r="38" s="3154" customFormat="1" ht="12.75" customHeight="1">
      <c r="A38" s="833" t="n"/>
      <c r="B38" s="3436" t="n">
        <f t="array" ref="B38">'JYI-Project Summary'!H29</f>
        <v>0</v>
      </c>
      <c r="C38" s="3436" t="n">
        <f t="array" ref="C38">'JYI-Project Summary'!G29</f>
        <v>0</v>
      </c>
      <c r="D38" s="3435" t="str"/>
      <c r="E38" s="852" t="str">
        <f t="array" ref="E38">'JYI-Project Summary'!E29</f>
        <v>Opening TBA</v>
      </c>
      <c r="F38" s="1167" t="n"/>
      <c r="G38" s="1167" t="n"/>
      <c r="H38" s="1167" t="n"/>
      <c r="I38" s="1167" t="n"/>
      <c r="J38" s="1167" t="n"/>
      <c r="K38" s="1167" t="n"/>
      <c r="L38" s="1167" t="n"/>
      <c r="M38" s="1167" t="n"/>
      <c r="N38" s="1167" t="n"/>
      <c r="O38" s="1167" t="n"/>
      <c r="P38" s="1167" t="n"/>
      <c r="Q38" s="1167" t="n"/>
      <c r="R38" s="1168" t="n"/>
      <c r="S38" s="1168" t="n"/>
      <c r="T38" s="1168" t="n"/>
      <c r="U38" s="1168" t="n"/>
      <c r="V38" s="1168" t="n"/>
      <c r="W38" s="1168" t="n"/>
      <c r="X38" s="1168" t="n"/>
      <c r="Y38" s="1168" t="n"/>
      <c r="Z38" s="1168" t="n"/>
      <c r="AA38" s="1168" t="n"/>
      <c r="AB38" s="1168" t="n"/>
      <c r="AC38" s="1168" t="n"/>
      <c r="AD38" s="1168" t="n"/>
    </row>
    <row r="39" s="3154" customFormat="1" ht="12.75" customHeight="1">
      <c r="A39" s="833" t="n"/>
      <c r="B39" s="3436" t="n">
        <f t="array" ref="B39">'JYI-Project Summary'!H30</f>
        <v>1000</v>
      </c>
      <c r="C39" s="3436" t="n">
        <f t="array" ref="C39">'JYI-Project Summary'!G30</f>
        <v>100000</v>
      </c>
      <c r="D39" s="3435" t="str"/>
      <c r="E39" s="852" t="str">
        <f t="array" ref="E39">'JYI-Project Summary'!E30</f>
        <v>Permits, Licenses, Deposits and related fees</v>
      </c>
      <c r="F39" s="1167" t="n"/>
      <c r="G39" s="1167" t="n"/>
      <c r="H39" s="1167" t="n"/>
      <c r="I39" s="1167" t="n"/>
      <c r="J39" s="1167" t="n"/>
      <c r="K39" s="1167" t="n"/>
      <c r="L39" s="1167" t="n"/>
      <c r="M39" s="1167" t="n"/>
      <c r="N39" s="1167" t="n"/>
      <c r="O39" s="1167" t="n"/>
      <c r="P39" s="1167" t="n"/>
      <c r="Q39" s="1167" t="n"/>
      <c r="R39" s="1168" t="n"/>
      <c r="S39" s="1168" t="n"/>
      <c r="T39" s="1168" t="n"/>
      <c r="U39" s="1168" t="n"/>
      <c r="V39" s="1168" t="n"/>
      <c r="W39" s="1168" t="n"/>
      <c r="X39" s="1168" t="n"/>
      <c r="Y39" s="1168" t="n"/>
      <c r="Z39" s="1168" t="n"/>
      <c r="AA39" s="1168" t="n"/>
      <c r="AB39" s="1168" t="n"/>
      <c r="AC39" s="1168" t="n"/>
      <c r="AD39" s="1168" t="n"/>
    </row>
    <row r="40" s="3154" customFormat="1" ht="12.75" customHeight="1">
      <c r="A40" s="833" t="n"/>
      <c r="B40" s="3436" t="n">
        <f t="array" ref="B40">'JYI-Project Summary'!H31</f>
        <v>500</v>
      </c>
      <c r="C40" s="3436" t="n">
        <f t="array" ref="C40">'JYI-Project Summary'!G31</f>
        <v>50000</v>
      </c>
      <c r="D40" s="3435" t="str"/>
      <c r="E40" s="852" t="str">
        <f t="array" ref="E40">'JYI-Project Summary'!E31</f>
        <v>Phase 1 Environmental study</v>
      </c>
      <c r="F40" s="1167" t="n"/>
      <c r="G40" s="1167" t="n"/>
      <c r="H40" s="1167" t="n"/>
      <c r="I40" s="1167" t="n"/>
      <c r="J40" s="1167" t="n"/>
      <c r="K40" s="1167" t="n"/>
      <c r="L40" s="1167" t="n"/>
      <c r="M40" s="1167" t="n"/>
      <c r="N40" s="1167" t="n"/>
      <c r="O40" s="1167" t="n"/>
      <c r="P40" s="1167" t="n"/>
      <c r="Q40" s="1167" t="n"/>
      <c r="R40" s="1168" t="n"/>
      <c r="S40" s="1168" t="n"/>
      <c r="T40" s="1168" t="n"/>
      <c r="U40" s="1168" t="n"/>
      <c r="V40" s="1168" t="n"/>
      <c r="W40" s="1168" t="n"/>
      <c r="X40" s="1168" t="n"/>
      <c r="Y40" s="1168" t="n"/>
      <c r="Z40" s="1168" t="n"/>
      <c r="AA40" s="1168" t="n"/>
      <c r="AB40" s="1168" t="n"/>
      <c r="AC40" s="1168" t="n"/>
      <c r="AD40" s="1168" t="n"/>
    </row>
    <row r="41" s="3154" customFormat="1" ht="12.75" customHeight="1">
      <c r="A41" s="833" t="n"/>
      <c r="B41" s="3436" t="n">
        <f t="array" ref="B41">'JYI-Project Summary'!H32</f>
        <v>1100</v>
      </c>
      <c r="C41" s="3436" t="n">
        <f t="array" ref="C41">'JYI-Project Summary'!G32</f>
        <v>110000</v>
      </c>
      <c r="D41" s="3435" t="str"/>
      <c r="E41" s="852" t="str">
        <f t="array" ref="E41">'JYI-Project Summary'!E32</f>
        <v>Signage</v>
      </c>
      <c r="F41" s="1167" t="n"/>
      <c r="G41" s="1167" t="n"/>
      <c r="H41" s="1167" t="n"/>
      <c r="I41" s="1167" t="n"/>
      <c r="J41" s="1167" t="n"/>
      <c r="K41" s="1167" t="n"/>
      <c r="L41" s="1167" t="n"/>
      <c r="M41" s="1167" t="n"/>
      <c r="N41" s="1167" t="n"/>
      <c r="O41" s="1167" t="n"/>
      <c r="P41" s="1167" t="n"/>
      <c r="Q41" s="1167" t="n"/>
      <c r="R41" s="1168" t="n"/>
      <c r="S41" s="1168" t="n"/>
      <c r="T41" s="1168" t="n"/>
      <c r="U41" s="1168" t="n"/>
      <c r="V41" s="1168" t="n"/>
      <c r="W41" s="1168" t="n"/>
      <c r="X41" s="1168" t="n"/>
      <c r="Y41" s="1168" t="n"/>
      <c r="Z41" s="1168" t="n"/>
      <c r="AA41" s="1168" t="n"/>
      <c r="AB41" s="1168" t="n"/>
      <c r="AC41" s="1168" t="n"/>
      <c r="AD41" s="1168" t="n"/>
    </row>
    <row r="42" s="3154" customFormat="1" ht="12.75" customHeight="1">
      <c r="A42" s="833" t="n"/>
      <c r="B42" s="3436" t="n">
        <f t="array" ref="B42">'JYI-Project Summary'!H33</f>
        <v>1750</v>
      </c>
      <c r="C42" s="3436" t="n">
        <f t="array" ref="C42">'JYI-Project Summary'!G33</f>
        <v>175000</v>
      </c>
      <c r="D42" s="3435" t="str"/>
      <c r="E42" s="852" t="str">
        <f t="array" ref="E42">'JYI-Project Summary'!E33</f>
        <v>Technical Systems- key system/ Camera system/ Phone systems/ Internet hardware</v>
      </c>
      <c r="F42" s="1167" t="n"/>
      <c r="G42" s="1167" t="n"/>
      <c r="H42" s="1167" t="n"/>
      <c r="I42" s="1167" t="n"/>
      <c r="J42" s="1167" t="n"/>
      <c r="K42" s="1167" t="n"/>
      <c r="L42" s="1167" t="n"/>
      <c r="M42" s="1167" t="n"/>
      <c r="N42" s="1167" t="n"/>
      <c r="O42" s="1167" t="n"/>
      <c r="P42" s="1167" t="n"/>
      <c r="Q42" s="1167" t="n"/>
      <c r="R42" s="1168" t="n"/>
      <c r="S42" s="1168" t="n"/>
      <c r="T42" s="1168" t="n"/>
      <c r="U42" s="1168" t="n"/>
      <c r="V42" s="1168" t="n"/>
      <c r="W42" s="1168" t="n"/>
      <c r="X42" s="1168" t="n"/>
      <c r="Y42" s="1168" t="n"/>
      <c r="Z42" s="1168" t="n"/>
      <c r="AA42" s="1168" t="n"/>
      <c r="AB42" s="1168" t="n"/>
      <c r="AC42" s="1168" t="n"/>
      <c r="AD42" s="1168" t="n"/>
    </row>
    <row r="43" s="3154" customFormat="1" ht="12.75" customHeight="1">
      <c r="A43" s="833" t="n"/>
      <c r="B43" s="3436" t="n">
        <f t="array" ref="B43">'JYI-Project Summary'!H34</f>
        <v>750</v>
      </c>
      <c r="C43" s="3436" t="n">
        <f t="array" ref="C43">'JYI-Project Summary'!G34</f>
        <v>75000</v>
      </c>
      <c r="D43" s="3435" t="str"/>
      <c r="E43" s="852" t="str">
        <f t="array" ref="E43">'JYI-Project Summary'!E34</f>
        <v>Synexis Express PMS software/ Key stsem/ 2 computer systems</v>
      </c>
      <c r="F43" s="1167" t="n"/>
      <c r="G43" s="1167" t="n"/>
      <c r="H43" s="1167" t="n"/>
      <c r="I43" s="1167" t="n"/>
      <c r="J43" s="1167" t="n"/>
      <c r="K43" s="1167" t="n"/>
      <c r="L43" s="1167" t="n"/>
      <c r="M43" s="1167" t="n"/>
      <c r="N43" s="1167" t="n"/>
      <c r="O43" s="1167" t="n"/>
      <c r="P43" s="1167" t="n"/>
      <c r="Q43" s="1167" t="n"/>
      <c r="R43" s="1168" t="n"/>
      <c r="S43" s="1168" t="n"/>
      <c r="T43" s="1168" t="n"/>
      <c r="U43" s="1168" t="n"/>
      <c r="V43" s="1168" t="n"/>
      <c r="W43" s="1168" t="n"/>
      <c r="X43" s="1168" t="n"/>
      <c r="Y43" s="1168" t="n"/>
      <c r="Z43" s="1168" t="n"/>
      <c r="AA43" s="1168" t="n"/>
      <c r="AB43" s="1168" t="n"/>
      <c r="AC43" s="1168" t="n"/>
      <c r="AD43" s="1168" t="n"/>
    </row>
    <row r="44" s="3154" customFormat="1" ht="12.75" customHeight="1">
      <c r="A44" s="833" t="n"/>
      <c r="B44" s="3436" t="n">
        <f t="array" ref="B44">'JYI-Project Summary'!H35</f>
        <v>350</v>
      </c>
      <c r="C44" s="3436" t="n">
        <f t="array" ref="C44">'JYI-Project Summary'!G35</f>
        <v>35000</v>
      </c>
      <c r="D44" s="3435" t="str"/>
      <c r="E44" s="852" t="str">
        <f t="array" ref="E44">'JYI-Project Summary'!E35</f>
        <v>Training Expenses</v>
      </c>
      <c r="F44" s="1167" t="n"/>
      <c r="G44" s="1167" t="n"/>
      <c r="H44" s="1167" t="n"/>
      <c r="I44" s="1167" t="n"/>
      <c r="J44" s="1167" t="n"/>
      <c r="K44" s="1167" t="n"/>
      <c r="L44" s="1167" t="n"/>
      <c r="M44" s="1167" t="n"/>
      <c r="N44" s="1167" t="n"/>
      <c r="O44" s="1167" t="n"/>
      <c r="P44" s="1167" t="n"/>
      <c r="Q44" s="1167" t="n"/>
      <c r="R44" s="1168" t="n"/>
      <c r="S44" s="1168" t="n"/>
      <c r="T44" s="1168" t="n"/>
      <c r="U44" s="1168" t="n"/>
      <c r="V44" s="1168" t="n"/>
      <c r="W44" s="1168" t="n"/>
      <c r="X44" s="1168" t="n"/>
      <c r="Y44" s="1168" t="n"/>
      <c r="Z44" s="1168" t="n"/>
      <c r="AA44" s="1168" t="n"/>
      <c r="AB44" s="1168" t="n"/>
      <c r="AC44" s="1168" t="n"/>
      <c r="AD44" s="1168" t="n"/>
    </row>
    <row r="45" s="3154" customFormat="1" ht="12.75" customHeight="1">
      <c r="A45" s="833" t="n"/>
      <c r="B45" s="3436" t="n">
        <f t="array" ref="B45">'JYI-Project Summary'!H36</f>
        <v>900</v>
      </c>
      <c r="C45" s="3436" t="n">
        <f t="array" ref="C45">'JYI-Project Summary'!G36</f>
        <v>90000</v>
      </c>
      <c r="D45" s="3435" t="str"/>
      <c r="E45" s="852" t="inlineStr">
        <is>
          <t>Other project costs / project reserve</t>
        </is>
      </c>
      <c r="F45" s="1167" t="n"/>
      <c r="G45" s="1167" t="n"/>
      <c r="H45" s="1167" t="n"/>
      <c r="I45" s="1167" t="n"/>
      <c r="J45" s="1167" t="n"/>
      <c r="K45" s="1167" t="n"/>
      <c r="L45" s="1167" t="n"/>
      <c r="M45" s="1167" t="n"/>
      <c r="N45" s="1167" t="n"/>
      <c r="O45" s="1167" t="n"/>
      <c r="P45" s="1167" t="n"/>
      <c r="Q45" s="1167" t="n"/>
      <c r="R45" s="1168" t="n"/>
      <c r="S45" s="1168" t="n"/>
      <c r="T45" s="1168" t="n"/>
      <c r="U45" s="1168" t="n"/>
      <c r="V45" s="1168" t="n"/>
      <c r="W45" s="1168" t="n"/>
      <c r="X45" s="1168" t="n"/>
      <c r="Y45" s="1168" t="n"/>
      <c r="Z45" s="1168" t="n"/>
      <c r="AA45" s="1168" t="n"/>
      <c r="AB45" s="1168" t="n"/>
      <c r="AC45" s="1168" t="n"/>
      <c r="AD45" s="1168" t="n"/>
    </row>
    <row r="46" s="3154" customFormat="1" ht="12.75" customHeight="1">
      <c r="A46" s="833" t="n"/>
      <c r="B46" s="3436" t="n">
        <f t="array" ref="B46">'JYI-Project Summary'!H38</f>
        <v>0</v>
      </c>
      <c r="C46" s="3436" t="n">
        <f t="array" ref="C46">'JYI-Project Summary'!G38</f>
        <v>0</v>
      </c>
      <c r="D46" s="3435" t="str"/>
      <c r="E46" s="852" t="str">
        <f t="array" ref="E46">'JYI-Project Summary'!E38</f>
        <v>Laundry Room</v>
      </c>
      <c r="F46" s="1167" t="str">
        <f>B14</f>
        <v>Yes</v>
      </c>
      <c r="G46" s="1167" t="n"/>
      <c r="H46" s="1167" t="n"/>
      <c r="I46" s="1167" t="n"/>
      <c r="J46" s="1167" t="n"/>
      <c r="K46" s="1167" t="n"/>
      <c r="L46" s="1167" t="n"/>
      <c r="M46" s="1167" t="n"/>
      <c r="N46" s="1167" t="n"/>
      <c r="O46" s="1167" t="n"/>
      <c r="P46" s="1167" t="n"/>
      <c r="Q46" s="1167" t="n"/>
      <c r="R46" s="1168" t="n"/>
      <c r="S46" s="1168" t="n"/>
      <c r="T46" s="1168" t="n"/>
      <c r="U46" s="1168" t="n"/>
      <c r="V46" s="1168" t="n"/>
      <c r="W46" s="1168" t="n"/>
      <c r="X46" s="1168" t="n"/>
      <c r="Y46" s="1168" t="n"/>
      <c r="Z46" s="1168" t="n"/>
      <c r="AA46" s="1168" t="n"/>
      <c r="AB46" s="1168" t="n"/>
      <c r="AC46" s="1168" t="n"/>
      <c r="AD46" s="1168" t="n"/>
    </row>
    <row r="47" s="3154" customFormat="1" ht="13.5" customHeight="1">
      <c r="A47" s="833" t="n"/>
      <c r="B47" s="3437" t="n">
        <f t="array" ref="B47">'JYI-Project Summary'!H40</f>
        <v>0</v>
      </c>
      <c r="C47" s="3437" t="n">
        <f t="array" ref="C47">'JYI-Project Summary'!G40</f>
        <v>0</v>
      </c>
      <c r="D47" s="3438" t="str"/>
      <c r="E47" s="856" t="str">
        <f t="array" ref="E47">'JYI-Project Summary'!E40</f>
        <v>Any other special amenity costs</v>
      </c>
      <c r="F47" s="1167" t="n"/>
      <c r="G47" s="1167" t="n"/>
      <c r="H47" s="1167" t="n"/>
      <c r="I47" s="1167" t="n"/>
      <c r="J47" s="1167" t="n"/>
      <c r="K47" s="1167" t="n"/>
      <c r="L47" s="1167" t="n"/>
      <c r="M47" s="1167" t="n"/>
      <c r="N47" s="1167" t="n"/>
      <c r="O47" s="1167" t="n"/>
      <c r="P47" s="1167" t="n"/>
      <c r="Q47" s="1167" t="n"/>
      <c r="R47" s="1168" t="n"/>
      <c r="S47" s="1168" t="n"/>
      <c r="T47" s="1168" t="n"/>
      <c r="U47" s="1168" t="n"/>
      <c r="V47" s="1168" t="n"/>
      <c r="W47" s="1168" t="n"/>
      <c r="X47" s="1168" t="n"/>
      <c r="Y47" s="1168" t="n"/>
      <c r="Z47" s="1168" t="n"/>
      <c r="AA47" s="1168" t="n"/>
      <c r="AB47" s="1168" t="n"/>
      <c r="AC47" s="1168" t="n"/>
      <c r="AD47" s="1168" t="n"/>
    </row>
    <row r="48" s="3154" customFormat="1" ht="13.5" customHeight="1">
      <c r="A48" s="833" t="n"/>
      <c r="B48" s="3439" t="n">
        <f t="array" ref="B48">SUM(B25:B47)</f>
        <v>70281.363</v>
      </c>
      <c r="C48" s="3439" t="n">
        <f t="array" ref="C48">SUM(C25:C47)</f>
        <v>7028136.3</v>
      </c>
      <c r="D48" s="3440" t="n"/>
      <c r="E48" s="859" t="inlineStr">
        <is>
          <t>Total Project Cost per Key / Total Project Cost (Including Land)</t>
        </is>
      </c>
      <c r="F48" s="1167" t="n"/>
      <c r="G48" s="1167" t="n"/>
      <c r="H48" s="1167" t="n"/>
      <c r="I48" s="1167" t="n"/>
      <c r="J48" s="1167" t="n"/>
      <c r="K48" s="1167" t="n"/>
      <c r="L48" s="1167" t="n"/>
      <c r="M48" s="1167" t="n"/>
      <c r="N48" s="1167" t="n"/>
      <c r="O48" s="1167" t="n"/>
      <c r="P48" s="1167" t="n"/>
      <c r="Q48" s="1167" t="n"/>
      <c r="R48" s="1168" t="n"/>
      <c r="S48" s="1168" t="n"/>
      <c r="T48" s="1168" t="n"/>
      <c r="U48" s="1168" t="n"/>
      <c r="V48" s="1168" t="n"/>
      <c r="W48" s="1168" t="n"/>
      <c r="X48" s="1168" t="n"/>
      <c r="Y48" s="1168" t="n"/>
      <c r="Z48" s="1168" t="n"/>
      <c r="AA48" s="1168" t="n"/>
      <c r="AB48" s="1168" t="n"/>
      <c r="AC48" s="1168" t="n"/>
      <c r="AD48" s="1168" t="n"/>
    </row>
    <row r="49" s="3154" customFormat="1" ht="13.5" customHeight="1">
      <c r="A49" s="833" t="n"/>
      <c r="B49" s="3441" t="n">
        <f t="array" ref="B49">B48-B35</f>
        <v>58281.363</v>
      </c>
      <c r="C49" s="3441" t="n">
        <f t="array" ref="C49">C48-C35</f>
        <v>5828136.3</v>
      </c>
      <c r="D49" s="3442" t="n"/>
      <c r="E49" s="862" t="inlineStr">
        <is>
          <t>Total Project Cost per Key / Total Project Cost (Excluding Land)</t>
        </is>
      </c>
      <c r="F49" s="1167" t="n"/>
      <c r="G49" s="1167" t="n"/>
      <c r="H49" s="1167" t="n"/>
      <c r="I49" s="1167" t="n"/>
      <c r="J49" s="1167" t="n"/>
      <c r="K49" s="1167" t="n"/>
      <c r="L49" s="1167" t="n"/>
      <c r="M49" s="1167" t="n"/>
      <c r="N49" s="1167" t="n"/>
      <c r="O49" s="1167" t="n"/>
      <c r="P49" s="1167" t="n"/>
      <c r="Q49" s="1167" t="n"/>
      <c r="R49" s="1168" t="n"/>
      <c r="S49" s="1168" t="n"/>
      <c r="T49" s="1168" t="n"/>
      <c r="U49" s="1168" t="n"/>
      <c r="V49" s="1168" t="n"/>
      <c r="W49" s="1168" t="n"/>
      <c r="X49" s="1168" t="n"/>
      <c r="Y49" s="1168" t="n"/>
      <c r="Z49" s="1168" t="n"/>
      <c r="AA49" s="1168" t="n"/>
      <c r="AB49" s="1168" t="n"/>
      <c r="AC49" s="1168" t="n"/>
      <c r="AD49" s="1168" t="n"/>
    </row>
    <row r="50" s="3154" customFormat="1" ht="13.5" customHeight="1">
      <c r="A50" s="833" t="n"/>
      <c r="B50" s="3443" t="n">
        <f t="array" ref="B50">C50/C23</f>
        <v>12312.73764447</v>
      </c>
      <c r="C50" s="3443" t="n">
        <f t="array" ref="C50">'JYI-Bank Loans'!E52</f>
        <v>1231273.764447</v>
      </c>
      <c r="D50" s="864" t="n">
        <f t="array" ref="D50">'JYI-Bank Loans'!H52</f>
        <v>0.2</v>
      </c>
      <c r="E50" s="865" t="str">
        <f t="array" ref="E50">'JYI-Bank Loans'!I52</f>
        <v>20% Down Payment</v>
      </c>
      <c r="F50" s="1167" t="n"/>
      <c r="G50" s="1167" t="n"/>
      <c r="H50" s="1167" t="n"/>
      <c r="I50" s="1167" t="n"/>
      <c r="J50" s="1167" t="n"/>
      <c r="K50" s="1167" t="n"/>
      <c r="L50" s="1167" t="n"/>
      <c r="M50" s="1167" t="n"/>
      <c r="N50" s="1167" t="n"/>
      <c r="O50" s="1167" t="n"/>
      <c r="P50" s="1167" t="n"/>
      <c r="Q50" s="1167" t="n"/>
      <c r="R50" s="1168" t="n"/>
      <c r="S50" s="1168" t="n"/>
      <c r="T50" s="1168" t="n"/>
      <c r="U50" s="1168" t="n"/>
      <c r="V50" s="1168" t="n"/>
      <c r="W50" s="1168" t="n"/>
      <c r="X50" s="1168" t="n"/>
      <c r="Y50" s="1168" t="n"/>
      <c r="Z50" s="1168" t="n"/>
      <c r="AA50" s="1168" t="n"/>
      <c r="AB50" s="1168" t="n"/>
      <c r="AC50" s="1168" t="n"/>
      <c r="AD50" s="1168" t="n"/>
    </row>
    <row r="51" s="3154" customFormat="1" ht="13.5" customHeight="1">
      <c r="A51" s="833" t="n"/>
      <c r="B51" s="3444" t="n">
        <f t="array" ref="B51">C51/C23</f>
        <v>49250.95057788</v>
      </c>
      <c r="C51" s="3444" t="n">
        <f t="array" ref="C51">'JYI-Bank Loans'!E53</f>
        <v>4925095.057788</v>
      </c>
      <c r="D51" s="3435" t="str"/>
      <c r="E51" s="852" t="str">
        <f t="array" ref="E51">'JYI-Bank Loans'!D53</f>
        <v>Loan After 20% Down Payment / Bank Package</v>
      </c>
      <c r="F51" s="1167" t="n"/>
      <c r="G51" s="1167" t="n"/>
      <c r="H51" s="1167" t="n"/>
      <c r="I51" s="1167" t="n"/>
      <c r="J51" s="1167" t="n"/>
      <c r="K51" s="1167" t="n"/>
      <c r="L51" s="1167" t="n"/>
      <c r="M51" s="1167" t="n"/>
      <c r="N51" s="1167" t="n"/>
      <c r="O51" s="1167" t="n"/>
      <c r="P51" s="1167" t="n"/>
      <c r="Q51" s="1167" t="n"/>
      <c r="R51" s="1168" t="n"/>
      <c r="S51" s="1168" t="n"/>
      <c r="T51" s="1168" t="n"/>
      <c r="U51" s="1168" t="n"/>
      <c r="V51" s="1168" t="n"/>
      <c r="W51" s="1168" t="n"/>
      <c r="X51" s="1168" t="n"/>
      <c r="Y51" s="1168" t="n"/>
      <c r="Z51" s="1168" t="n"/>
      <c r="AA51" s="1168" t="n"/>
      <c r="AB51" s="1168" t="n"/>
      <c r="AC51" s="1168" t="n"/>
      <c r="AD51" s="1168" t="n"/>
    </row>
    <row r="52" s="3154" customFormat="1" ht="13.5" customHeight="1">
      <c r="A52" s="1167" t="n"/>
      <c r="B52" s="789" t="n"/>
      <c r="C52" s="789" t="n"/>
      <c r="D52" s="129" t="n"/>
      <c r="E52" s="1167" t="n"/>
      <c r="F52" s="1167" t="n"/>
      <c r="G52" s="1167" t="n"/>
      <c r="H52" s="1167" t="n"/>
      <c r="I52" s="1167" t="n"/>
      <c r="J52" s="1167" t="n"/>
      <c r="K52" s="1167" t="n"/>
      <c r="L52" s="1167" t="n"/>
      <c r="M52" s="1167" t="n"/>
      <c r="N52" s="1167" t="n"/>
      <c r="O52" s="1167" t="n"/>
      <c r="P52" s="1167" t="n"/>
      <c r="Q52" s="1167" t="n"/>
      <c r="R52" s="1168" t="n"/>
      <c r="S52" s="1168" t="n"/>
      <c r="T52" s="1168" t="n"/>
      <c r="U52" s="1168" t="n"/>
      <c r="V52" s="1168" t="n"/>
      <c r="W52" s="1168" t="n"/>
      <c r="X52" s="1168" t="n"/>
      <c r="Y52" s="1168" t="n"/>
      <c r="Z52" s="1168" t="n"/>
      <c r="AA52" s="1168" t="n"/>
      <c r="AB52" s="1168" t="n"/>
      <c r="AC52" s="1168" t="n"/>
      <c r="AD52" s="1168" t="n"/>
    </row>
    <row r="53" s="3154" customFormat="1" ht="15" customHeight="1">
      <c r="A53" s="1167" t="n"/>
      <c r="B53" s="1167" t="n"/>
      <c r="C53" s="1167" t="n"/>
      <c r="D53" s="1167" t="n"/>
      <c r="E53" s="1167" t="n"/>
      <c r="F53" s="1167" t="n"/>
      <c r="G53" s="1167" t="n"/>
      <c r="H53" s="1167" t="n"/>
      <c r="I53" s="1167" t="n"/>
      <c r="J53" s="1167" t="n"/>
      <c r="K53" s="1167" t="n"/>
      <c r="L53" s="1167" t="n"/>
      <c r="M53" s="1167" t="n"/>
      <c r="N53" s="1167" t="n"/>
      <c r="O53" s="1167" t="n"/>
      <c r="P53" s="1167" t="n"/>
      <c r="Q53" s="1167" t="n"/>
      <c r="R53" s="1168" t="n"/>
      <c r="S53" s="1168" t="n"/>
      <c r="T53" s="1168" t="n"/>
      <c r="U53" s="1168" t="n"/>
      <c r="V53" s="1168" t="n"/>
      <c r="W53" s="1168" t="n"/>
      <c r="X53" s="1168" t="n"/>
      <c r="Y53" s="1168" t="n"/>
      <c r="Z53" s="1168" t="n"/>
      <c r="AA53" s="1168" t="n"/>
      <c r="AB53" s="1168" t="n"/>
      <c r="AC53" s="1168" t="n"/>
      <c r="AD53" s="1168" t="n"/>
    </row>
    <row r="54" s="3154" customFormat="1" ht="12.75" customHeight="1">
      <c r="A54" s="1167" t="n"/>
      <c r="B54" s="3445" t="n"/>
      <c r="C54" s="3445" t="n"/>
      <c r="D54" s="3445" t="n"/>
      <c r="E54" s="643" t="n"/>
      <c r="F54" s="1167" t="n"/>
      <c r="G54" s="1167" t="n"/>
      <c r="H54" s="1167" t="n"/>
      <c r="I54" s="1167" t="n"/>
      <c r="J54" s="1167" t="n"/>
      <c r="K54" s="1167" t="n"/>
      <c r="L54" s="1167" t="n"/>
      <c r="M54" s="1167" t="n"/>
      <c r="N54" s="1167" t="n"/>
      <c r="O54" s="1167" t="n"/>
      <c r="P54" s="1167" t="n"/>
      <c r="Q54" s="1167" t="n"/>
      <c r="R54" s="1168" t="n"/>
      <c r="S54" s="1168" t="n"/>
      <c r="T54" s="1168" t="n"/>
      <c r="U54" s="1168" t="n"/>
      <c r="V54" s="1168" t="n"/>
      <c r="W54" s="1168" t="n"/>
      <c r="X54" s="1168" t="n"/>
      <c r="Y54" s="1168" t="n"/>
      <c r="Z54" s="1168" t="n"/>
      <c r="AA54" s="1168" t="n"/>
      <c r="AB54" s="1168" t="n"/>
      <c r="AC54" s="1168" t="n"/>
      <c r="AD54" s="1168" t="n"/>
    </row>
    <row r="55" s="3154" customFormat="1" ht="12.75" customHeight="1">
      <c r="A55" s="1167" t="n"/>
      <c r="B55" s="3446" t="n"/>
      <c r="C55" s="3446" t="n"/>
      <c r="D55" s="3446" t="n"/>
      <c r="E55" s="869" t="n"/>
      <c r="F55" s="1167" t="n"/>
      <c r="G55" s="1167" t="n"/>
      <c r="H55" s="1167" t="n"/>
      <c r="I55" s="1167" t="n"/>
      <c r="J55" s="1167" t="n"/>
      <c r="K55" s="1167" t="n"/>
      <c r="L55" s="1167" t="n"/>
      <c r="M55" s="1167" t="n"/>
      <c r="N55" s="1167" t="n"/>
      <c r="O55" s="1167" t="n"/>
      <c r="P55" s="1167" t="n"/>
      <c r="Q55" s="1167" t="n"/>
      <c r="R55" s="1168" t="n"/>
      <c r="S55" s="1168" t="n"/>
      <c r="T55" s="1168" t="n"/>
      <c r="U55" s="1168" t="n"/>
      <c r="V55" s="1168" t="n"/>
      <c r="W55" s="1168" t="n"/>
      <c r="X55" s="1168" t="n"/>
      <c r="Y55" s="1168" t="n"/>
      <c r="Z55" s="1168" t="n"/>
      <c r="AA55" s="1168" t="n"/>
      <c r="AB55" s="1168" t="n"/>
      <c r="AC55" s="1168" t="n"/>
      <c r="AD55" s="1168" t="n"/>
    </row>
    <row r="56" s="3154" customFormat="1" ht="13.5" customHeight="1">
      <c r="A56" s="1167" t="n"/>
      <c r="B56" s="3447" t="n"/>
      <c r="C56" s="3447" t="n"/>
      <c r="D56" s="3447" t="n"/>
      <c r="E56" s="871" t="n"/>
      <c r="F56" s="872" t="n"/>
      <c r="G56" s="1167" t="n"/>
      <c r="H56" s="1167" t="n"/>
      <c r="I56" s="1167" t="n"/>
      <c r="J56" s="1167" t="n"/>
      <c r="K56" s="1167" t="n"/>
      <c r="L56" s="1167" t="n"/>
      <c r="M56" s="1167" t="n"/>
      <c r="N56" s="1167" t="n"/>
      <c r="O56" s="1167" t="n"/>
      <c r="P56" s="1167" t="n"/>
      <c r="Q56" s="1167" t="n"/>
      <c r="R56" s="1168" t="n"/>
      <c r="S56" s="1168" t="n"/>
      <c r="T56" s="1168" t="n"/>
      <c r="U56" s="1168" t="n"/>
      <c r="V56" s="1168" t="n"/>
      <c r="W56" s="1168" t="n"/>
      <c r="X56" s="1168" t="n"/>
      <c r="Y56" s="1168" t="n"/>
      <c r="Z56" s="1168" t="n"/>
      <c r="AA56" s="1168" t="n"/>
      <c r="AB56" s="1168" t="n"/>
      <c r="AC56" s="1168" t="n"/>
      <c r="AD56" s="1168" t="n"/>
    </row>
    <row r="57" s="3154" customFormat="1" ht="15.75" customHeight="1">
      <c r="A57" s="833" t="n"/>
      <c r="B57" s="826" t="inlineStr">
        <is>
          <t xml:space="preserve">Loan Package Risk Valuation</t>
        </is>
      </c>
      <c r="C57" s="3424" t="n"/>
      <c r="D57" s="3424" t="n"/>
      <c r="E57" s="3425" t="n"/>
      <c r="F57" s="873" t="n">
        <v>30</v>
      </c>
      <c r="G57" s="793" t="n"/>
      <c r="H57" s="1167" t="n"/>
      <c r="I57" s="1167" t="n"/>
      <c r="J57" s="1167" t="n"/>
      <c r="K57" s="1167" t="n"/>
      <c r="L57" s="1167" t="n"/>
      <c r="M57" s="1167" t="n"/>
      <c r="N57" s="1167" t="n"/>
      <c r="O57" s="1167" t="n"/>
      <c r="P57" s="1167" t="n"/>
      <c r="Q57" s="1167" t="n"/>
      <c r="R57" s="1168" t="n"/>
      <c r="S57" s="1168" t="n"/>
      <c r="T57" s="1168" t="n"/>
      <c r="U57" s="1168" t="n"/>
      <c r="V57" s="1168" t="n"/>
      <c r="W57" s="1168" t="n"/>
      <c r="X57" s="1168" t="n"/>
      <c r="Y57" s="1168" t="n"/>
      <c r="Z57" s="1168" t="n"/>
      <c r="AA57" s="1168" t="n"/>
      <c r="AB57" s="1168" t="n"/>
      <c r="AC57" s="1168" t="n"/>
      <c r="AD57" s="1168" t="n"/>
    </row>
    <row r="58" s="3154" customFormat="1" ht="15" customHeight="1">
      <c r="A58" s="833" t="n"/>
      <c r="B58" s="874" t="n">
        <v>25</v>
      </c>
      <c r="C58" s="3425" t="n"/>
      <c r="D58" s="876" t="n"/>
      <c r="E58" s="877" t="inlineStr">
        <is>
          <t xml:space="preserve">Number (#) of years the commercial Loan will consists of</t>
        </is>
      </c>
      <c r="F58" s="878" t="n"/>
      <c r="G58" s="1167" t="n"/>
      <c r="H58" s="1167" t="n"/>
      <c r="I58" s="1167" t="n"/>
      <c r="J58" s="1167" t="n"/>
      <c r="K58" s="1167" t="n"/>
      <c r="L58" s="1167" t="n"/>
      <c r="M58" s="1167" t="n"/>
      <c r="N58" s="1167" t="n"/>
      <c r="O58" s="1167" t="n"/>
      <c r="P58" s="1167" t="n"/>
      <c r="Q58" s="1167" t="n"/>
      <c r="R58" s="1168" t="n"/>
      <c r="S58" s="1168" t="n"/>
      <c r="T58" s="1168" t="n"/>
      <c r="U58" s="1168" t="n"/>
      <c r="V58" s="1168" t="n"/>
      <c r="W58" s="1168" t="n"/>
      <c r="X58" s="1168" t="n"/>
      <c r="Y58" s="1168" t="n"/>
      <c r="Z58" s="1168" t="n"/>
      <c r="AA58" s="1168" t="n"/>
      <c r="AB58" s="1168" t="n"/>
      <c r="AC58" s="1168" t="n"/>
      <c r="AD58" s="1168" t="n"/>
    </row>
    <row r="59" s="3154" customFormat="1" ht="15" customHeight="1">
      <c r="A59" s="833" t="n"/>
      <c r="B59" s="879" t="n">
        <f t="array" ref="B59">'JYI-Loan Amortization'!D6</f>
        <v>0.065</v>
      </c>
      <c r="C59" s="3448" t="n"/>
      <c r="D59" s="881" t="n"/>
      <c r="E59" s="882" t="inlineStr">
        <is>
          <t xml:space="preserve">Interest rate% offered (Fixed or Floating- use mean avg. estimate)</t>
        </is>
      </c>
      <c r="F59" s="793" t="n"/>
      <c r="G59" s="1167" t="n"/>
      <c r="H59" s="1167" t="n"/>
      <c r="I59" s="1167" t="n"/>
      <c r="J59" s="1167" t="n"/>
      <c r="K59" s="1167" t="n"/>
      <c r="L59" s="1167" t="n"/>
      <c r="M59" s="1167" t="n"/>
      <c r="N59" s="1167" t="n"/>
      <c r="O59" s="1167" t="n"/>
      <c r="P59" s="1167" t="n"/>
      <c r="Q59" s="1167" t="n"/>
      <c r="R59" s="1168" t="n"/>
      <c r="S59" s="1168" t="n"/>
      <c r="T59" s="1168" t="n"/>
      <c r="U59" s="1168" t="n"/>
      <c r="V59" s="1168" t="n"/>
      <c r="W59" s="1168" t="n"/>
      <c r="X59" s="1168" t="n"/>
      <c r="Y59" s="1168" t="n"/>
      <c r="Z59" s="1168" t="n"/>
      <c r="AA59" s="1168" t="n"/>
      <c r="AB59" s="1168" t="n"/>
      <c r="AC59" s="1168" t="n"/>
      <c r="AD59" s="1168" t="n"/>
    </row>
    <row r="60" s="3154" customFormat="1" ht="15" customHeight="1">
      <c r="A60" s="833" t="n"/>
      <c r="B60" s="3449" t="n">
        <f t="array" ref="B60">'JYI-Loan Amortization'!Y25</f>
        <v>26478.0772553445</v>
      </c>
      <c r="C60" s="3450" t="n"/>
      <c r="D60" s="3451" t="n"/>
      <c r="E60" s="838" t="inlineStr">
        <is>
          <t xml:space="preserve">Avg. Monthly Interest payment first year</t>
        </is>
      </c>
      <c r="F60" s="793" t="n"/>
      <c r="G60" s="1167" t="n"/>
      <c r="H60" s="1167" t="n"/>
      <c r="I60" s="1167" t="n"/>
      <c r="J60" s="1167" t="n"/>
      <c r="K60" s="1167" t="n"/>
      <c r="L60" s="1167" t="n"/>
      <c r="M60" s="1167" t="n"/>
      <c r="N60" s="1167" t="n"/>
      <c r="O60" s="1167" t="n"/>
      <c r="P60" s="1167" t="n"/>
      <c r="Q60" s="1167" t="n"/>
      <c r="R60" s="1168" t="n"/>
      <c r="S60" s="1168" t="n"/>
      <c r="T60" s="1168" t="n"/>
      <c r="U60" s="1168" t="n"/>
      <c r="V60" s="1168" t="n"/>
      <c r="W60" s="1168" t="n"/>
      <c r="X60" s="1168" t="n"/>
      <c r="Y60" s="1168" t="n"/>
      <c r="Z60" s="1168" t="n"/>
      <c r="AA60" s="1168" t="n"/>
      <c r="AB60" s="1168" t="n"/>
      <c r="AC60" s="1168" t="n"/>
      <c r="AD60" s="1168" t="n"/>
    </row>
    <row r="61" s="3154" customFormat="1" ht="15.75" customHeight="1">
      <c r="A61" s="886" t="n"/>
      <c r="B61" s="3452" t="n">
        <f t="array" ref="B61">'JYI-Loan Amortization'!Y29</f>
        <v>6776.51727801883</v>
      </c>
      <c r="C61" s="3453" t="n"/>
      <c r="D61" s="3447" t="n"/>
      <c r="E61" s="889" t="inlineStr">
        <is>
          <t xml:space="preserve">Avg. Monthly Principle payment first year</t>
        </is>
      </c>
      <c r="F61" s="793" t="n"/>
      <c r="G61" s="1167" t="n"/>
      <c r="H61" s="1167" t="n"/>
      <c r="I61" s="1167" t="n"/>
      <c r="J61" s="1167" t="n"/>
      <c r="K61" s="1167" t="n"/>
      <c r="L61" s="1167" t="n"/>
      <c r="M61" s="1167" t="n"/>
      <c r="N61" s="1167" t="n"/>
      <c r="O61" s="1167" t="n"/>
      <c r="P61" s="1167" t="n"/>
      <c r="Q61" s="1167" t="n"/>
      <c r="R61" s="1168" t="n"/>
      <c r="S61" s="1168" t="n"/>
      <c r="T61" s="1168" t="n"/>
      <c r="U61" s="890" t="n"/>
      <c r="V61" s="890" t="n"/>
      <c r="W61" s="890" t="n"/>
      <c r="X61" s="890" t="n"/>
      <c r="Y61" s="890" t="n"/>
      <c r="Z61" s="890" t="n"/>
      <c r="AA61" s="890" t="n"/>
      <c r="AB61" s="890" t="n"/>
      <c r="AC61" s="890" t="n"/>
      <c r="AD61" s="890" t="n"/>
    </row>
    <row r="62" s="3154" customFormat="1" ht="16.5" customHeight="1">
      <c r="A62" s="833" t="n"/>
      <c r="B62" s="3454" t="n">
        <f t="array" ref="B62">B60+B61</f>
        <v>33254.5945333633</v>
      </c>
      <c r="C62" s="3425" t="n"/>
      <c r="D62" s="3455" t="n"/>
      <c r="E62" s="877" t="inlineStr">
        <is>
          <t xml:space="preserve">Mean Average Interest &amp; principle Monthly Note</t>
        </is>
      </c>
      <c r="F62" s="793" t="n"/>
      <c r="G62" s="1167" t="n"/>
      <c r="H62" s="1167" t="n"/>
      <c r="I62" s="1167" t="n"/>
      <c r="J62" s="1167" t="n"/>
      <c r="K62" s="1167" t="n"/>
      <c r="L62" s="1167" t="n"/>
      <c r="M62" s="1167" t="n"/>
      <c r="N62" s="1167" t="n"/>
      <c r="O62" s="1167" t="n"/>
      <c r="P62" s="1167" t="n"/>
      <c r="Q62" s="1167" t="n"/>
      <c r="R62" s="1168" t="n"/>
      <c r="S62" s="1168" t="n"/>
      <c r="T62" s="1168" t="n"/>
      <c r="U62" s="890" t="n"/>
      <c r="V62" s="890" t="n"/>
      <c r="W62" s="890" t="n"/>
      <c r="X62" s="890" t="n"/>
      <c r="Y62" s="890" t="n"/>
      <c r="Z62" s="890" t="n"/>
      <c r="AA62" s="890" t="n"/>
      <c r="AB62" s="890" t="n"/>
      <c r="AC62" s="890" t="n"/>
      <c r="AD62" s="890" t="n"/>
    </row>
    <row r="63" s="3154" customFormat="1" ht="15.75" customHeight="1">
      <c r="A63" s="833" t="n"/>
      <c r="B63" s="3454" t="n">
        <f t="array" ref="B63">B62/F57</f>
        <v>1108.48648444544</v>
      </c>
      <c r="C63" s="3425" t="n"/>
      <c r="D63" s="3455" t="n"/>
      <c r="E63" s="894" t="inlineStr">
        <is>
          <t xml:space="preserve">Avg. Cost per day to cover both Interest and principle</t>
        </is>
      </c>
      <c r="F63" s="895" t="n"/>
      <c r="G63" s="1167" t="n"/>
      <c r="H63" s="1167" t="n"/>
      <c r="I63" s="1167" t="n"/>
      <c r="J63" s="1167" t="n"/>
      <c r="K63" s="1167" t="n"/>
      <c r="L63" s="1167" t="n"/>
      <c r="M63" s="896" t="n"/>
      <c r="N63" s="896" t="n"/>
      <c r="O63" s="896" t="n"/>
      <c r="P63" s="896" t="n"/>
      <c r="Q63" s="896" t="n"/>
      <c r="R63" s="890" t="n"/>
      <c r="S63" s="890" t="n"/>
      <c r="T63" s="890" t="n"/>
      <c r="U63" s="890" t="n"/>
      <c r="V63" s="890" t="n"/>
      <c r="W63" s="890" t="n"/>
      <c r="X63" s="890" t="n"/>
      <c r="Y63" s="890" t="n"/>
      <c r="Z63" s="890" t="n"/>
      <c r="AA63" s="890" t="n"/>
      <c r="AB63" s="890" t="n"/>
      <c r="AC63" s="890" t="n"/>
      <c r="AD63" s="890" t="n"/>
    </row>
    <row r="64" s="3154" customFormat="1" ht="13.5" customHeight="1">
      <c r="A64" s="833" t="n"/>
      <c r="B64" s="3454" t="n">
        <f t="array" ref="B64">'JYI-Budget Annual'!I12</f>
        <v>74</v>
      </c>
      <c r="C64" s="3425" t="n"/>
      <c r="D64" s="3455" t="n"/>
      <c r="E64" s="894" t="inlineStr">
        <is>
          <t xml:space="preserve">Avg. ADR</t>
        </is>
      </c>
      <c r="F64" s="895" t="n"/>
      <c r="G64" s="1167" t="n"/>
      <c r="H64" s="1167" t="n"/>
      <c r="I64" s="1167" t="n"/>
      <c r="J64" s="1167" t="n"/>
      <c r="K64" s="1167" t="n"/>
      <c r="L64" s="1167" t="n"/>
      <c r="M64" s="896" t="n"/>
      <c r="N64" s="896" t="n"/>
      <c r="O64" s="896" t="n"/>
      <c r="P64" s="896" t="n"/>
      <c r="Q64" s="896" t="n"/>
      <c r="R64" s="890" t="n"/>
      <c r="S64" s="890" t="n"/>
      <c r="T64" s="890" t="n"/>
      <c r="U64" s="890" t="n"/>
      <c r="V64" s="890" t="n"/>
      <c r="W64" s="890" t="n"/>
      <c r="X64" s="890" t="n"/>
      <c r="Y64" s="890" t="n"/>
      <c r="Z64" s="890" t="n"/>
      <c r="AA64" s="890" t="n"/>
      <c r="AB64" s="890" t="n"/>
      <c r="AC64" s="890" t="n"/>
      <c r="AD64" s="890" t="n"/>
    </row>
    <row r="65" s="3154" customFormat="1" ht="13.5" customHeight="1">
      <c r="A65" s="897" t="n"/>
      <c r="B65" s="874" t="n">
        <f t="array" ref="B65">B63/B64</f>
        <v>14.9795470871006</v>
      </c>
      <c r="C65" s="3425" t="n"/>
      <c r="D65" s="876" t="n"/>
      <c r="E65" s="894" t="inlineStr">
        <is>
          <t xml:space="preserve">Avg. rooms they have to sell per day to cover the Interest and principle payment</t>
        </is>
      </c>
      <c r="F65" s="895" t="n"/>
      <c r="G65" s="1167" t="n"/>
      <c r="H65" s="1167" t="n"/>
      <c r="I65" s="1167" t="n"/>
      <c r="J65" s="1167" t="n"/>
      <c r="K65" s="1167" t="n"/>
      <c r="L65" s="1167" t="n"/>
      <c r="M65" s="896" t="n"/>
      <c r="N65" s="896" t="n"/>
      <c r="O65" s="896" t="n"/>
      <c r="P65" s="896" t="n"/>
      <c r="Q65" s="896" t="n"/>
      <c r="R65" s="890" t="n"/>
      <c r="S65" s="890" t="n"/>
      <c r="T65" s="890" t="n"/>
      <c r="U65" s="890" t="n"/>
      <c r="V65" s="890" t="n"/>
      <c r="W65" s="890" t="n"/>
      <c r="X65" s="890" t="n"/>
      <c r="Y65" s="890" t="n"/>
      <c r="Z65" s="890" t="n"/>
      <c r="AA65" s="890" t="n"/>
      <c r="AB65" s="890" t="n"/>
      <c r="AC65" s="890" t="n"/>
      <c r="AD65" s="890" t="n"/>
    </row>
    <row r="66" s="3154" customFormat="1" ht="13.5" customHeight="1">
      <c r="A66" s="898" t="inlineStr">
        <is>
          <t xml:space="preserve">Strong</t>
        </is>
      </c>
      <c r="B66" s="899" t="n">
        <f t="array" ref="B66">B65/C23</f>
        <v>0.149795470871006</v>
      </c>
      <c r="C66" s="3425" t="n"/>
      <c r="D66" s="901" t="n"/>
      <c r="E66" s="894" t="inlineStr">
        <is>
          <t xml:space="preserve">% of Inventory they have  in the project to cover loan debt</t>
        </is>
      </c>
      <c r="F66" s="895" t="n"/>
      <c r="G66" s="1167" t="n"/>
      <c r="H66" s="1167" t="n"/>
      <c r="I66" s="1167" t="n"/>
      <c r="J66" s="1167" t="n"/>
      <c r="K66" s="1167" t="n"/>
      <c r="L66" s="1167" t="n"/>
      <c r="M66" s="896" t="n"/>
      <c r="N66" s="896" t="n"/>
      <c r="O66" s="896" t="n"/>
      <c r="P66" s="896" t="n"/>
      <c r="Q66" s="896" t="n"/>
      <c r="R66" s="890" t="n"/>
      <c r="S66" s="890" t="n"/>
      <c r="T66" s="890" t="n"/>
      <c r="U66" s="890" t="n"/>
      <c r="V66" s="890" t="n"/>
      <c r="W66" s="890" t="n"/>
      <c r="X66" s="890" t="n"/>
      <c r="Y66" s="890" t="n"/>
      <c r="Z66" s="890" t="n"/>
      <c r="AA66" s="890" t="n"/>
      <c r="AB66" s="890" t="n"/>
      <c r="AC66" s="890" t="n"/>
      <c r="AD66" s="890" t="n"/>
    </row>
    <row r="67" s="3154" customFormat="1" ht="13.5" customHeight="1">
      <c r="A67" s="902" t="n"/>
      <c r="B67" s="826" t="inlineStr">
        <is>
          <t xml:space="preserve">Risk Assessment is POSITIVE based on current and project analysis of the Demographic Market</t>
        </is>
      </c>
      <c r="C67" s="3424" t="n"/>
      <c r="D67" s="3424" t="n"/>
      <c r="E67" s="3425" t="n"/>
      <c r="F67" s="895" t="n"/>
      <c r="G67" s="1167" t="n"/>
      <c r="H67" s="1167" t="n"/>
      <c r="I67" s="1167" t="n"/>
      <c r="J67" s="1167" t="n"/>
      <c r="K67" s="1167" t="n"/>
      <c r="L67" s="1167" t="n"/>
      <c r="M67" s="896" t="n"/>
      <c r="N67" s="896" t="n"/>
      <c r="O67" s="896" t="n"/>
      <c r="P67" s="896" t="n"/>
      <c r="Q67" s="896" t="n"/>
      <c r="R67" s="890" t="n"/>
      <c r="S67" s="890" t="n"/>
      <c r="T67" s="890" t="n"/>
      <c r="U67" s="890" t="n"/>
      <c r="V67" s="890" t="n"/>
      <c r="W67" s="890" t="n"/>
      <c r="X67" s="890" t="n"/>
      <c r="Y67" s="890" t="n"/>
      <c r="Z67" s="890" t="n"/>
      <c r="AA67" s="890" t="n"/>
      <c r="AB67" s="890" t="n"/>
      <c r="AC67" s="890" t="n"/>
      <c r="AD67" s="890" t="n"/>
    </row>
    <row r="68" s="3154" customFormat="1" ht="13.5" customHeight="1">
      <c r="A68" s="1167" t="n"/>
      <c r="B68" s="904" t="n"/>
      <c r="C68" s="904" t="n"/>
      <c r="D68" s="904" t="n"/>
      <c r="E68" s="905" t="n"/>
      <c r="F68" s="837" t="n"/>
      <c r="G68" s="1167" t="n"/>
      <c r="H68" s="1167" t="n"/>
      <c r="I68" s="1167" t="n"/>
      <c r="J68" s="1167" t="n"/>
      <c r="K68" s="1167" t="n"/>
      <c r="L68" s="1167" t="n"/>
      <c r="M68" s="896" t="n"/>
      <c r="N68" s="896" t="n"/>
      <c r="O68" s="896" t="n"/>
      <c r="P68" s="896" t="n"/>
      <c r="Q68" s="896" t="n"/>
      <c r="R68" s="890" t="n"/>
      <c r="S68" s="890" t="n"/>
      <c r="T68" s="890" t="n"/>
      <c r="U68" s="890" t="n"/>
      <c r="V68" s="890" t="n"/>
      <c r="W68" s="890" t="n"/>
      <c r="X68" s="890" t="n"/>
      <c r="Y68" s="890" t="n"/>
      <c r="Z68" s="890" t="n"/>
      <c r="AA68" s="890" t="n"/>
      <c r="AB68" s="890" t="n"/>
      <c r="AC68" s="890" t="n"/>
      <c r="AD68" s="890" t="n"/>
    </row>
    <row r="69" s="3154" customFormat="1" ht="13.5" customHeight="1">
      <c r="A69" s="833" t="n"/>
      <c r="B69" s="906" t="inlineStr">
        <is>
          <t xml:space="preserve">Equity Breakdown</t>
        </is>
      </c>
      <c r="C69" s="3424" t="n"/>
      <c r="D69" s="3424" t="n"/>
      <c r="E69" s="3425" t="n"/>
      <c r="F69" s="793" t="n"/>
      <c r="G69" s="1167" t="n"/>
      <c r="H69" s="1167" t="n"/>
      <c r="I69" s="1167" t="n"/>
      <c r="J69" s="1167" t="n"/>
      <c r="K69" s="1167" t="n"/>
      <c r="L69" s="1167" t="n"/>
      <c r="M69" s="1167" t="n"/>
      <c r="N69" s="1167" t="n"/>
      <c r="O69" s="1167" t="n"/>
      <c r="P69" s="1167" t="n"/>
      <c r="Q69" s="1167" t="n"/>
      <c r="R69" s="1168" t="n"/>
      <c r="S69" s="1168" t="n"/>
      <c r="T69" s="1168" t="n"/>
      <c r="U69" s="1168" t="n"/>
      <c r="V69" s="1168" t="n"/>
      <c r="W69" s="1168" t="n"/>
      <c r="X69" s="1168" t="n"/>
      <c r="Y69" s="1168" t="n"/>
      <c r="Z69" s="1168" t="n"/>
      <c r="AA69" s="1168" t="n"/>
      <c r="AB69" s="1168" t="n"/>
      <c r="AC69" s="1168" t="n"/>
      <c r="AD69" s="1168" t="n"/>
    </row>
    <row r="70" s="3154" customFormat="1" ht="12.75" customHeight="1">
      <c r="A70" s="1167" t="n"/>
      <c r="B70" s="3456" t="n">
        <f t="array" ref="B70">'JYI-Project Summary'!G43</f>
        <v>1429515.551216918</v>
      </c>
      <c r="C70" s="909" t="n"/>
      <c r="D70" s="909" t="n"/>
      <c r="E70" s="910" t="inlineStr">
        <is>
          <t xml:space="preserve">Land- Cash Down</t>
        </is>
      </c>
      <c r="F70" s="1167" t="n"/>
      <c r="G70" s="1167" t="n"/>
      <c r="H70" s="1167" t="n"/>
      <c r="I70" s="1167" t="n"/>
      <c r="J70" s="1167" t="n"/>
      <c r="K70" s="1167" t="n"/>
      <c r="L70" s="1167" t="n"/>
      <c r="M70" s="1167" t="n"/>
      <c r="N70" s="1167" t="n"/>
      <c r="O70" s="1167" t="n"/>
      <c r="P70" s="1167" t="n"/>
      <c r="Q70" s="1167" t="n"/>
      <c r="R70" s="1168" t="n"/>
      <c r="S70" s="1168" t="n"/>
      <c r="T70" s="1168" t="n"/>
      <c r="U70" s="1168" t="n"/>
      <c r="V70" s="1168" t="n"/>
      <c r="W70" s="1168" t="n"/>
      <c r="X70" s="1168" t="n"/>
      <c r="Y70" s="1168" t="n"/>
      <c r="Z70" s="1168" t="n"/>
      <c r="AA70" s="1168" t="n"/>
      <c r="AB70" s="1168" t="n"/>
      <c r="AC70" s="1168" t="n"/>
      <c r="AD70" s="1168" t="n"/>
    </row>
    <row r="71" s="3154" customFormat="1" ht="12.75" customHeight="1">
      <c r="A71" s="1167" t="n"/>
      <c r="B71" s="3457" t="n">
        <f t="array" ref="B71">'JYI-Project Summary'!G44</f>
        <v>0</v>
      </c>
      <c r="C71" s="3457" t="n"/>
      <c r="D71" s="3457" t="n"/>
      <c r="E71" s="64" t="inlineStr">
        <is>
          <t xml:space="preserve">Cash- FF&amp;E- Partner</t>
        </is>
      </c>
      <c r="F71" s="1167" t="n"/>
      <c r="G71" s="1167" t="n"/>
      <c r="H71" s="1167" t="n"/>
      <c r="I71" s="1167" t="n"/>
      <c r="J71" s="1167" t="n"/>
      <c r="K71" s="1167" t="n"/>
      <c r="L71" s="1167" t="n"/>
      <c r="M71" s="1167" t="n"/>
      <c r="N71" s="1167" t="n"/>
      <c r="O71" s="1167" t="n"/>
      <c r="P71" s="1167" t="n"/>
      <c r="Q71" s="1167" t="n"/>
      <c r="R71" s="1168" t="n"/>
      <c r="S71" s="1168" t="n"/>
      <c r="T71" s="1168" t="n"/>
      <c r="U71" s="1168" t="n"/>
      <c r="V71" s="1168" t="n"/>
      <c r="W71" s="1168" t="n"/>
      <c r="X71" s="1168" t="n"/>
      <c r="Y71" s="1168" t="n"/>
      <c r="Z71" s="1168" t="n"/>
      <c r="AA71" s="1168" t="n"/>
      <c r="AB71" s="1168" t="n"/>
      <c r="AC71" s="1168" t="n"/>
      <c r="AD71" s="1168" t="n"/>
    </row>
    <row r="72" s="3154" customFormat="1" ht="12.75" customHeight="1">
      <c r="A72" s="1167" t="n"/>
      <c r="B72" s="3457" t="n">
        <v>0</v>
      </c>
      <c r="C72" s="3457" t="n"/>
      <c r="D72" s="3457" t="n"/>
      <c r="E72" s="64" t="inlineStr">
        <is>
          <t xml:space="preserve">Performa</t>
        </is>
      </c>
      <c r="F72" s="1167" t="n"/>
      <c r="G72" s="1167" t="n"/>
      <c r="H72" s="1167" t="n"/>
      <c r="I72" s="1167" t="n"/>
      <c r="J72" s="1167" t="n"/>
      <c r="K72" s="1167" t="n"/>
      <c r="L72" s="1167" t="n"/>
      <c r="M72" s="1167" t="n"/>
      <c r="N72" s="1167" t="n"/>
      <c r="O72" s="1167" t="n"/>
      <c r="P72" s="1167" t="n"/>
      <c r="Q72" s="1167" t="n"/>
      <c r="R72" s="1168" t="n"/>
      <c r="S72" s="1168" t="n"/>
      <c r="T72" s="1168" t="n"/>
      <c r="U72" s="1168" t="n"/>
      <c r="V72" s="1168" t="n"/>
      <c r="W72" s="1168" t="n"/>
      <c r="X72" s="1168" t="n"/>
      <c r="Y72" s="1168" t="n"/>
      <c r="Z72" s="1168" t="n"/>
      <c r="AA72" s="1168" t="n"/>
      <c r="AB72" s="1168" t="n"/>
      <c r="AC72" s="1168" t="n"/>
      <c r="AD72" s="1168" t="n"/>
    </row>
    <row r="73" s="3154" customFormat="1" ht="12.75" customHeight="1">
      <c r="A73" s="1167" t="n"/>
      <c r="B73" s="3457" t="n">
        <v>0</v>
      </c>
      <c r="C73" s="3457" t="n"/>
      <c r="D73" s="3457" t="n"/>
      <c r="E73" s="64" t="inlineStr">
        <is>
          <t xml:space="preserve">Management &amp; Consulting Fees</t>
        </is>
      </c>
      <c r="F73" s="1167" t="n"/>
      <c r="G73" s="1167" t="n"/>
      <c r="H73" s="1167" t="n"/>
      <c r="I73" s="1167" t="n"/>
      <c r="J73" s="1167" t="n"/>
      <c r="K73" s="1167" t="n"/>
      <c r="L73" s="1167" t="n"/>
      <c r="M73" s="1167" t="n"/>
      <c r="N73" s="1167" t="n"/>
      <c r="O73" s="1167" t="n"/>
      <c r="P73" s="1167" t="n"/>
      <c r="Q73" s="1167" t="n"/>
      <c r="R73" s="1168" t="n"/>
      <c r="S73" s="1168" t="n"/>
      <c r="T73" s="1168" t="n"/>
      <c r="U73" s="1168" t="n"/>
      <c r="V73" s="1168" t="n"/>
      <c r="W73" s="1168" t="n"/>
      <c r="X73" s="1168" t="n"/>
      <c r="Y73" s="1168" t="n"/>
      <c r="Z73" s="1168" t="n"/>
      <c r="AA73" s="1168" t="n"/>
      <c r="AB73" s="1168" t="n"/>
      <c r="AC73" s="1168" t="n"/>
      <c r="AD73" s="1168" t="n"/>
    </row>
    <row r="74" s="3154" customFormat="1" ht="12.75" customHeight="1">
      <c r="A74" s="1167" t="n"/>
      <c r="B74" s="3457" t="n">
        <v>0</v>
      </c>
      <c r="C74" s="3457" t="n"/>
      <c r="D74" s="3457" t="n"/>
      <c r="E74" s="64" t="inlineStr">
        <is>
          <t xml:space="preserve">Development Construction Profit</t>
        </is>
      </c>
      <c r="F74" s="1167" t="n"/>
      <c r="G74" s="1167" t="n"/>
      <c r="H74" s="1167" t="n"/>
      <c r="I74" s="1167" t="n"/>
      <c r="J74" s="1167" t="n"/>
      <c r="K74" s="1167" t="n"/>
      <c r="L74" s="1167" t="n"/>
      <c r="M74" s="1167" t="n"/>
      <c r="N74" s="1167" t="n"/>
      <c r="O74" s="1167" t="n"/>
      <c r="P74" s="1167" t="n"/>
      <c r="Q74" s="1167" t="n"/>
      <c r="R74" s="1168" t="n"/>
      <c r="S74" s="1168" t="n"/>
      <c r="T74" s="1168" t="n"/>
      <c r="U74" s="1168" t="n"/>
      <c r="V74" s="1168" t="n"/>
      <c r="W74" s="1168" t="n"/>
      <c r="X74" s="1168" t="n"/>
      <c r="Y74" s="1168" t="n"/>
      <c r="Z74" s="1168" t="n"/>
      <c r="AA74" s="1168" t="n"/>
      <c r="AB74" s="1168" t="n"/>
      <c r="AC74" s="1168" t="n"/>
      <c r="AD74" s="1168" t="n"/>
    </row>
    <row r="75" s="3154" customFormat="1" ht="12.75" customHeight="1">
      <c r="A75" s="1167" t="n"/>
      <c r="B75" s="3457" t="n">
        <v>0</v>
      </c>
      <c r="C75" s="3457" t="n"/>
      <c r="D75" s="3457" t="n"/>
      <c r="E75" s="64" t="inlineStr">
        <is>
          <t xml:space="preserve">Development Fee Tax Credit</t>
        </is>
      </c>
      <c r="F75" s="1167" t="n"/>
      <c r="G75" s="1167" t="n"/>
      <c r="H75" s="1167" t="n"/>
      <c r="I75" s="1167" t="n"/>
      <c r="J75" s="1167" t="n"/>
      <c r="K75" s="1167" t="n"/>
      <c r="L75" s="1167" t="n"/>
      <c r="M75" s="1167" t="n"/>
      <c r="N75" s="1167" t="n"/>
      <c r="O75" s="1167" t="n"/>
      <c r="P75" s="1167" t="n"/>
      <c r="Q75" s="1167" t="n"/>
      <c r="R75" s="1168" t="n"/>
      <c r="S75" s="1168" t="n"/>
      <c r="T75" s="1168" t="n"/>
      <c r="U75" s="1168" t="n"/>
      <c r="V75" s="1168" t="n"/>
      <c r="W75" s="1168" t="n"/>
      <c r="X75" s="1168" t="n"/>
      <c r="Y75" s="1168" t="n"/>
      <c r="Z75" s="1168" t="n"/>
      <c r="AA75" s="1168" t="n"/>
      <c r="AB75" s="1168" t="n"/>
      <c r="AC75" s="1168" t="n"/>
      <c r="AD75" s="1168" t="n"/>
    </row>
    <row r="76" s="3154" customFormat="1" ht="13.5" customHeight="1">
      <c r="A76" s="1167" t="n"/>
      <c r="B76" s="3458" t="n">
        <v>0</v>
      </c>
      <c r="C76" s="3458" t="n"/>
      <c r="D76" s="3458" t="n"/>
      <c r="E76" s="913" t="inlineStr">
        <is>
          <t xml:space="preserve">Other</t>
        </is>
      </c>
      <c r="F76" s="1167" t="n"/>
      <c r="G76" s="1167" t="n"/>
      <c r="H76" s="1167" t="n"/>
      <c r="I76" s="1167" t="n"/>
      <c r="J76" s="1167" t="n"/>
      <c r="K76" s="1167" t="n"/>
      <c r="L76" s="1167" t="n"/>
      <c r="M76" s="1167" t="n"/>
      <c r="N76" s="1167" t="n"/>
      <c r="O76" s="1167" t="n"/>
      <c r="P76" s="1167" t="n"/>
      <c r="Q76" s="1167" t="n"/>
      <c r="R76" s="1168" t="n"/>
      <c r="S76" s="1168" t="n"/>
      <c r="T76" s="1168" t="n"/>
      <c r="U76" s="1168" t="n"/>
      <c r="V76" s="1168" t="n"/>
      <c r="W76" s="1168" t="n"/>
      <c r="X76" s="1168" t="n"/>
      <c r="Y76" s="1168" t="n"/>
      <c r="Z76" s="1168" t="n"/>
      <c r="AA76" s="1168" t="n"/>
      <c r="AB76" s="1168" t="n"/>
      <c r="AC76" s="1168" t="n"/>
      <c r="AD76" s="1168" t="n"/>
    </row>
    <row r="77" s="3154" customFormat="1" ht="13.5" customHeight="1">
      <c r="A77" s="1167" t="n"/>
      <c r="B77" s="914" t="n"/>
      <c r="C77" s="914" t="n"/>
      <c r="D77" s="914" t="n"/>
      <c r="E77" s="915" t="inlineStr">
        <is>
          <t xml:space="preserve">TTl</t>
        </is>
      </c>
      <c r="F77" s="1167" t="n"/>
      <c r="G77" s="1167" t="n"/>
      <c r="H77" s="1167" t="n"/>
      <c r="I77" s="1167" t="n"/>
      <c r="J77" s="1167" t="n"/>
      <c r="K77" s="1167" t="n"/>
      <c r="L77" s="1167" t="n"/>
      <c r="M77" s="1167" t="n"/>
      <c r="N77" s="1167" t="n"/>
      <c r="O77" s="1167" t="n"/>
      <c r="P77" s="1167" t="n"/>
      <c r="Q77" s="1167" t="n"/>
      <c r="R77" s="1168" t="n"/>
      <c r="S77" s="1168" t="n"/>
      <c r="T77" s="1168" t="n"/>
      <c r="U77" s="1168" t="n"/>
      <c r="V77" s="1168" t="n"/>
      <c r="W77" s="1168" t="n"/>
      <c r="X77" s="1168" t="n"/>
      <c r="Y77" s="1168" t="n"/>
      <c r="Z77" s="1168" t="n"/>
      <c r="AA77" s="1168" t="n"/>
      <c r="AB77" s="1168" t="n"/>
      <c r="AC77" s="1168" t="n"/>
      <c r="AD77" s="1168" t="n"/>
    </row>
    <row r="78" s="3154" customFormat="1" ht="13.5" customHeight="1">
      <c r="A78" s="675" t="n"/>
      <c r="B78" s="3459" t="n">
        <f t="array" ref="B78">SUM(B70:B73)</f>
        <v>1429515.551216918</v>
      </c>
      <c r="C78" s="3459" t="n"/>
      <c r="D78" s="3459" t="n"/>
      <c r="E78" s="917" t="inlineStr">
        <is>
          <t xml:space="preserve">Total Equity Accumulated</t>
        </is>
      </c>
      <c r="F78" s="666" t="n"/>
      <c r="G78" s="1167" t="n"/>
      <c r="H78" s="1167" t="n"/>
      <c r="I78" s="1167" t="n"/>
      <c r="J78" s="1167" t="n"/>
      <c r="K78" s="1167" t="n"/>
      <c r="L78" s="1167" t="n"/>
      <c r="M78" s="1167" t="n"/>
      <c r="N78" s="1167" t="n"/>
      <c r="O78" s="1167" t="n"/>
      <c r="P78" s="1167" t="n"/>
      <c r="Q78" s="1167" t="n"/>
      <c r="R78" s="1168" t="n"/>
      <c r="S78" s="1168" t="n"/>
      <c r="T78" s="1168" t="n"/>
      <c r="U78" s="1168" t="n"/>
      <c r="V78" s="1168" t="n"/>
      <c r="W78" s="1168" t="n"/>
      <c r="X78" s="1168" t="n"/>
      <c r="Y78" s="1168" t="n"/>
      <c r="Z78" s="1168" t="n"/>
      <c r="AA78" s="1168" t="n"/>
      <c r="AB78" s="1168" t="n"/>
      <c r="AC78" s="1168" t="n"/>
      <c r="AD78" s="1168" t="n"/>
    </row>
    <row r="79" s="3154" customFormat="1" ht="13.5" customHeight="1">
      <c r="A79" s="833" t="n"/>
      <c r="B79" s="3460" t="n"/>
      <c r="C79" s="3461" t="n"/>
      <c r="D79" s="3461" t="n"/>
      <c r="E79" s="920" t="inlineStr">
        <is>
          <t xml:space="preserve">Equity Needed</t>
        </is>
      </c>
      <c r="F79" s="793" t="n"/>
      <c r="G79" s="1167" t="n"/>
      <c r="H79" s="1167" t="n"/>
      <c r="I79" s="1167" t="n"/>
      <c r="J79" s="1167" t="n"/>
      <c r="K79" s="1167" t="n"/>
      <c r="L79" s="1167" t="n"/>
      <c r="M79" s="1167" t="n"/>
      <c r="N79" s="1167" t="n"/>
      <c r="O79" s="1167" t="n"/>
      <c r="P79" s="1167" t="n"/>
      <c r="Q79" s="1167" t="n"/>
      <c r="R79" s="1168" t="n"/>
      <c r="S79" s="1168" t="n"/>
      <c r="T79" s="1168" t="n"/>
      <c r="U79" s="1168" t="n"/>
      <c r="V79" s="1168" t="n"/>
      <c r="W79" s="1168" t="n"/>
      <c r="X79" s="1168" t="n"/>
      <c r="Y79" s="1168" t="n"/>
      <c r="Z79" s="1168" t="n"/>
      <c r="AA79" s="1168" t="n"/>
      <c r="AB79" s="1168" t="n"/>
      <c r="AC79" s="1168" t="n"/>
      <c r="AD79" s="1168" t="n"/>
    </row>
    <row r="80" s="3154" customFormat="1" ht="13.5" customHeight="1">
      <c r="A80" s="1167" t="n"/>
      <c r="B80" s="3455" t="n"/>
      <c r="C80" s="3455" t="n"/>
      <c r="D80" s="3455" t="n"/>
      <c r="E80" s="921" t="n"/>
      <c r="F80" s="642" t="n"/>
      <c r="G80" s="642" t="n"/>
      <c r="H80" s="1167" t="n"/>
      <c r="I80" s="1167" t="n"/>
      <c r="J80" s="1167" t="n"/>
      <c r="K80" s="1167" t="n"/>
      <c r="L80" s="1167" t="n"/>
      <c r="M80" s="1167" t="n"/>
      <c r="N80" s="1167" t="n"/>
      <c r="O80" s="1167" t="n"/>
      <c r="P80" s="1167" t="n"/>
      <c r="Q80" s="1167" t="n"/>
      <c r="R80" s="1168" t="n"/>
      <c r="S80" s="1168" t="n"/>
      <c r="T80" s="1168" t="n"/>
      <c r="U80" s="1168" t="n"/>
      <c r="V80" s="1168" t="n"/>
      <c r="W80" s="1168" t="n"/>
      <c r="X80" s="1168" t="n"/>
      <c r="Y80" s="1168" t="n"/>
      <c r="Z80" s="1168" t="n"/>
      <c r="AA80" s="1168" t="n"/>
      <c r="AB80" s="1168" t="n"/>
      <c r="AC80" s="1168" t="n"/>
      <c r="AD80" s="1168" t="n"/>
    </row>
    <row r="81" s="3154" customFormat="1" ht="13.5" customHeight="1">
      <c r="A81" s="833" t="n"/>
      <c r="B81" s="3462" t="n"/>
      <c r="C81" s="923" t="inlineStr">
        <is>
          <t xml:space="preserve">Land equity Valuation</t>
        </is>
      </c>
      <c r="D81" s="3463" t="n"/>
      <c r="E81" s="925" t="n"/>
      <c r="F81" s="926" t="inlineStr">
        <is>
          <t xml:space="preserve">Total SqFt..</t>
        </is>
      </c>
      <c r="G81" s="927" t="inlineStr">
        <is>
          <t xml:space="preserve">$$ Value</t>
        </is>
      </c>
      <c r="H81" s="793" t="n"/>
      <c r="I81" s="1167" t="n"/>
      <c r="J81" s="1167" t="n"/>
      <c r="K81" s="1167" t="n"/>
      <c r="L81" s="1167" t="n"/>
      <c r="M81" s="1167" t="n"/>
      <c r="N81" s="1167" t="n"/>
      <c r="O81" s="1167" t="n"/>
      <c r="P81" s="1167" t="n"/>
      <c r="Q81" s="1167" t="n"/>
      <c r="R81" s="1168" t="n"/>
      <c r="S81" s="1168" t="n"/>
      <c r="T81" s="1168" t="n"/>
      <c r="U81" s="1168" t="n"/>
      <c r="V81" s="1168" t="n"/>
      <c r="W81" s="1168" t="n"/>
      <c r="X81" s="1168" t="n"/>
      <c r="Y81" s="1168" t="n"/>
      <c r="Z81" s="1168" t="n"/>
      <c r="AA81" s="1168" t="n"/>
      <c r="AB81" s="1168" t="n"/>
      <c r="AC81" s="1168" t="n"/>
      <c r="AD81" s="1168" t="n"/>
    </row>
    <row r="82" s="3154" customFormat="1" ht="13.5" customHeight="1">
      <c r="A82" s="833" t="n"/>
      <c r="B82" s="928" t="n"/>
      <c r="C82" s="929" t="inlineStr">
        <is>
          <t xml:space="preserve">Land Value</t>
        </is>
      </c>
      <c r="D82" s="3464" t="n"/>
      <c r="E82" s="3465" t="n">
        <f t="array" ref="E82">E89*E90</f>
        <v>100187.99999999999</v>
      </c>
      <c r="F82" s="932" t="n">
        <f t="array" ref="F82">E89</f>
        <v>43560</v>
      </c>
      <c r="G82" s="3466" t="n">
        <f t="array" ref="G82">E82</f>
        <v>100187.99999999999</v>
      </c>
      <c r="H82" s="793" t="n"/>
      <c r="I82" s="1167" t="n"/>
      <c r="J82" s="1167" t="n"/>
      <c r="K82" s="1167" t="n"/>
      <c r="L82" s="1167" t="n"/>
      <c r="M82" s="1167" t="n"/>
      <c r="N82" s="1167" t="n"/>
      <c r="O82" s="1167" t="n"/>
      <c r="P82" s="1167" t="n"/>
      <c r="Q82" s="1167" t="n"/>
      <c r="R82" s="1168" t="n"/>
      <c r="S82" s="1168" t="n"/>
      <c r="T82" s="1168" t="n"/>
      <c r="U82" s="1168" t="n"/>
      <c r="V82" s="1168" t="n"/>
      <c r="W82" s="1168" t="n"/>
      <c r="X82" s="1168" t="n"/>
      <c r="Y82" s="1168" t="n"/>
      <c r="Z82" s="1168" t="n"/>
      <c r="AA82" s="1168" t="n"/>
      <c r="AB82" s="1168" t="n"/>
      <c r="AC82" s="1168" t="n"/>
      <c r="AD82" s="1168" t="n"/>
    </row>
    <row r="83" s="3154" customFormat="1" ht="13.5" customHeight="1">
      <c r="A83" s="833" t="n"/>
      <c r="B83" s="934" t="n"/>
      <c r="C83" s="935" t="inlineStr">
        <is>
          <t xml:space="preserve">Amount owed on the land</t>
        </is>
      </c>
      <c r="D83" s="3464" t="n"/>
      <c r="E83" s="3467" t="n">
        <v>0</v>
      </c>
      <c r="F83" s="937" t="n">
        <v>0</v>
      </c>
      <c r="G83" s="3468" t="n">
        <f t="array" ref="G83">F83*E90</f>
        <v>0</v>
      </c>
      <c r="H83" s="793" t="n"/>
      <c r="I83" s="1167" t="n"/>
      <c r="J83" s="1167" t="n"/>
      <c r="K83" s="1167" t="n"/>
      <c r="L83" s="1167" t="n"/>
      <c r="M83" s="1167" t="n"/>
      <c r="N83" s="1167" t="n"/>
      <c r="O83" s="1167" t="n"/>
      <c r="P83" s="1167" t="n"/>
      <c r="Q83" s="1167" t="n"/>
      <c r="R83" s="1168" t="n"/>
      <c r="S83" s="1168" t="n"/>
      <c r="T83" s="1168" t="n"/>
      <c r="U83" s="1168" t="n"/>
      <c r="V83" s="1168" t="n"/>
      <c r="W83" s="1168" t="n"/>
      <c r="X83" s="1168" t="n"/>
      <c r="Y83" s="1168" t="n"/>
      <c r="Z83" s="1168" t="n"/>
      <c r="AA83" s="1168" t="n"/>
      <c r="AB83" s="1168" t="n"/>
      <c r="AC83" s="1168" t="n"/>
      <c r="AD83" s="1168" t="n"/>
    </row>
    <row r="84" s="3154" customFormat="1" ht="14.25" customHeight="1">
      <c r="A84" s="833" t="n"/>
      <c r="B84" s="939" t="n"/>
      <c r="C84" s="642" t="n"/>
      <c r="D84" s="3464" t="n"/>
      <c r="E84" s="940" t="inlineStr">
        <is>
          <t xml:space="preserve">Total Land Equity</t>
        </is>
      </c>
      <c r="F84" s="941" t="n">
        <f t="array" ref="F84">F82-F83</f>
        <v>43560</v>
      </c>
      <c r="G84" s="3466" t="n">
        <f t="array" ref="G84">G82-G83</f>
        <v>100187.99999999999</v>
      </c>
      <c r="H84" s="793" t="n"/>
      <c r="I84" s="1167" t="n"/>
      <c r="J84" s="1167" t="n"/>
      <c r="K84" s="1167" t="n"/>
      <c r="L84" s="1167" t="n"/>
      <c r="M84" s="1167" t="n"/>
      <c r="N84" s="1167" t="n"/>
      <c r="O84" s="1167" t="n"/>
      <c r="P84" s="1167" t="n"/>
      <c r="Q84" s="1167" t="n"/>
      <c r="R84" s="1168" t="n"/>
      <c r="S84" s="1168" t="n"/>
      <c r="T84" s="1168" t="n"/>
      <c r="U84" s="1168" t="n"/>
      <c r="V84" s="1168" t="n"/>
      <c r="W84" s="1168" t="n"/>
      <c r="X84" s="1168" t="n"/>
      <c r="Y84" s="1168" t="n"/>
      <c r="Z84" s="1168" t="n"/>
      <c r="AA84" s="1168" t="n"/>
      <c r="AB84" s="1168" t="n"/>
      <c r="AC84" s="1168" t="n"/>
      <c r="AD84" s="1168" t="n"/>
    </row>
    <row r="85" s="3154" customFormat="1" ht="13.5" customHeight="1">
      <c r="A85" s="833" t="n"/>
      <c r="B85" s="942" t="inlineStr">
        <is>
          <t xml:space="preserve">Acer of land Sq ft.</t>
        </is>
      </c>
      <c r="C85" s="943" t="n">
        <v>43560</v>
      </c>
      <c r="D85" s="944" t="n"/>
      <c r="E85" s="945" t="n"/>
      <c r="F85" s="928" t="n"/>
      <c r="G85" s="886" t="n"/>
      <c r="H85" s="793" t="n"/>
      <c r="I85" s="1167" t="n"/>
      <c r="J85" s="1167" t="n"/>
      <c r="K85" s="1167" t="n"/>
      <c r="L85" s="1167" t="n"/>
      <c r="M85" s="1167" t="n"/>
      <c r="N85" s="1167" t="n"/>
      <c r="O85" s="1167" t="n"/>
      <c r="P85" s="1167" t="n"/>
      <c r="Q85" s="1167" t="n"/>
      <c r="R85" s="1168" t="n"/>
      <c r="S85" s="1168" t="n"/>
      <c r="T85" s="1168" t="n"/>
      <c r="U85" s="1168" t="n"/>
      <c r="V85" s="1168" t="n"/>
      <c r="W85" s="1168" t="n"/>
      <c r="X85" s="1168" t="n"/>
      <c r="Y85" s="1168" t="n"/>
      <c r="Z85" s="1168" t="n"/>
      <c r="AA85" s="1168" t="n"/>
      <c r="AB85" s="1168" t="n"/>
      <c r="AC85" s="1168" t="n"/>
      <c r="AD85" s="1168" t="n"/>
    </row>
    <row r="86" s="3154" customFormat="1" ht="12.75" customHeight="1">
      <c r="A86" s="833" t="n"/>
      <c r="B86" s="946" t="n"/>
      <c r="C86" s="909" t="n"/>
      <c r="D86" s="947" t="n"/>
      <c r="E86" s="945" t="n"/>
      <c r="F86" s="928" t="n"/>
      <c r="G86" s="886" t="n"/>
      <c r="H86" s="793" t="n"/>
      <c r="I86" s="1167" t="n"/>
      <c r="J86" s="1167" t="n"/>
      <c r="K86" s="1167" t="n"/>
      <c r="L86" s="1167" t="n"/>
      <c r="M86" s="1167" t="n"/>
      <c r="N86" s="1167" t="n"/>
      <c r="O86" s="1167" t="n"/>
      <c r="P86" s="1167" t="n"/>
      <c r="Q86" s="1167" t="n"/>
      <c r="R86" s="1168" t="n"/>
      <c r="S86" s="1168" t="n"/>
      <c r="T86" s="1168" t="n"/>
      <c r="U86" s="1168" t="n"/>
      <c r="V86" s="1168" t="n"/>
      <c r="W86" s="1168" t="n"/>
      <c r="X86" s="1168" t="n"/>
      <c r="Y86" s="1168" t="n"/>
      <c r="Z86" s="1168" t="n"/>
      <c r="AA86" s="1168" t="n"/>
      <c r="AB86" s="1168" t="n"/>
      <c r="AC86" s="1168" t="n"/>
      <c r="AD86" s="1168" t="n"/>
    </row>
    <row r="87" s="3154" customFormat="1" ht="13.5" customHeight="1">
      <c r="A87" s="948" t="n"/>
      <c r="B87" s="949" t="n"/>
      <c r="C87" s="950" t="n"/>
      <c r="D87" s="947" t="n"/>
      <c r="E87" s="945" t="n"/>
      <c r="F87" s="951" t="n"/>
      <c r="G87" s="952" t="n"/>
      <c r="H87" s="793" t="n"/>
      <c r="I87" s="1167" t="n"/>
      <c r="J87" s="1167" t="n"/>
      <c r="K87" s="1167" t="n"/>
      <c r="L87" s="1167" t="n"/>
      <c r="M87" s="1167" t="n"/>
      <c r="N87" s="1167" t="n"/>
      <c r="O87" s="1167" t="n"/>
      <c r="P87" s="1167" t="n"/>
      <c r="Q87" s="1167" t="n"/>
      <c r="R87" s="1168" t="n"/>
      <c r="S87" s="1168" t="n"/>
      <c r="T87" s="1168" t="n"/>
      <c r="U87" s="1168" t="n"/>
      <c r="V87" s="1168" t="n"/>
      <c r="W87" s="1168" t="n"/>
      <c r="X87" s="1168" t="n"/>
      <c r="Y87" s="1168" t="n"/>
      <c r="Z87" s="1168" t="n"/>
      <c r="AA87" s="1168" t="n"/>
      <c r="AB87" s="1168" t="n"/>
      <c r="AC87" s="1168" t="n"/>
      <c r="AD87" s="1168" t="n"/>
    </row>
    <row r="88" s="3154" customFormat="1" ht="13.5" customHeight="1">
      <c r="A88" s="833" t="n"/>
      <c r="B88" s="953" t="inlineStr">
        <is>
          <t xml:space="preserve">Acres</t>
        </is>
      </c>
      <c r="C88" s="954" t="inlineStr">
        <is>
          <t xml:space="preserve">Land Needed</t>
        </is>
      </c>
      <c r="D88" s="955" t="n"/>
      <c r="E88" s="3469" t="n">
        <f t="array" ref="E88">E82</f>
        <v>100187.99999999999</v>
      </c>
      <c r="F88" s="942" t="inlineStr">
        <is>
          <t xml:space="preserve">Cost Per key</t>
        </is>
      </c>
      <c r="G88" s="3454" t="n">
        <f t="array" ref="G88">E88/C13</f>
        <v>1001.8799999999999</v>
      </c>
      <c r="H88" s="793" t="n"/>
      <c r="I88" s="1167" t="n"/>
      <c r="J88" s="1167" t="n"/>
      <c r="K88" s="1167" t="n"/>
      <c r="L88" s="1167" t="n"/>
      <c r="M88" s="1167" t="n"/>
      <c r="N88" s="1167" t="n"/>
      <c r="O88" s="1167" t="n"/>
      <c r="P88" s="1167" t="n"/>
      <c r="Q88" s="1167" t="n"/>
      <c r="R88" s="1168" t="n"/>
      <c r="S88" s="1168" t="n"/>
      <c r="T88" s="1168" t="n"/>
      <c r="U88" s="1168" t="n"/>
      <c r="V88" s="1168" t="n"/>
      <c r="W88" s="1168" t="n"/>
      <c r="X88" s="1168" t="n"/>
      <c r="Y88" s="1168" t="n"/>
      <c r="Z88" s="1168" t="n"/>
      <c r="AA88" s="1168" t="n"/>
      <c r="AB88" s="1168" t="n"/>
      <c r="AC88" s="1168" t="n"/>
      <c r="AD88" s="1168" t="n"/>
    </row>
    <row r="89" s="3154" customFormat="1" ht="13.5" customHeight="1">
      <c r="A89" s="833" t="n"/>
      <c r="B89" s="903" t="n">
        <f>'Assumptions'!J6</f>
        <v>1</v>
      </c>
      <c r="C89" s="826" t="str">
        <f>TEXT(B89,"0.0")&amp;" Acre"&amp;IF(B89=1,"","s")</f>
        <v>1.0 Acre</v>
      </c>
      <c r="D89" s="957" t="inlineStr">
        <is>
          <t xml:space="preserve">SqFt.</t>
        </is>
      </c>
      <c r="E89" s="958" t="n">
        <f t="array" ref="E89">B89*C85</f>
        <v>43560</v>
      </c>
      <c r="F89" s="959" t="n"/>
      <c r="G89" s="960" t="n"/>
      <c r="H89" s="793" t="n"/>
      <c r="I89" s="1167" t="n"/>
      <c r="J89" s="1167" t="n"/>
      <c r="K89" s="1167" t="n"/>
      <c r="L89" s="1167" t="n"/>
      <c r="M89" s="1167" t="n"/>
      <c r="N89" s="1167" t="n"/>
      <c r="O89" s="1167" t="n"/>
      <c r="P89" s="1167" t="n"/>
      <c r="Q89" s="1167" t="n"/>
      <c r="R89" s="1168" t="n"/>
      <c r="S89" s="1168" t="n"/>
      <c r="T89" s="1168" t="n"/>
      <c r="U89" s="1168" t="n"/>
      <c r="V89" s="1168" t="n"/>
      <c r="W89" s="1168" t="n"/>
      <c r="X89" s="1168" t="n"/>
      <c r="Y89" s="1168" t="n"/>
      <c r="Z89" s="1168" t="n"/>
      <c r="AA89" s="1168" t="n"/>
      <c r="AB89" s="1168" t="n"/>
      <c r="AC89" s="1168" t="n"/>
      <c r="AD89" s="1168" t="n"/>
    </row>
    <row r="90" s="3154" customFormat="1" ht="15.75" customHeight="1">
      <c r="A90" s="833" t="n"/>
      <c r="B90" s="961" t="n"/>
      <c r="C90" s="923" t="inlineStr">
        <is>
          <t xml:space="preserve">Cost per sqft.</t>
        </is>
      </c>
      <c r="D90" s="955" t="n"/>
      <c r="E90" s="3470" t="n">
        <v>2.3</v>
      </c>
      <c r="F90" s="963" t="inlineStr">
        <is>
          <t xml:space="preserve">Cost per sqft..</t>
        </is>
      </c>
      <c r="G90" s="3471" t="n">
        <f t="array" ref="G90">'JYI-Bank Loans'!E51/F82</f>
        <v>172.4836277545157</v>
      </c>
      <c r="H90" s="793" t="n"/>
      <c r="I90" s="1167" t="n"/>
      <c r="J90" s="1167" t="n"/>
      <c r="K90" s="1167" t="n"/>
      <c r="L90" s="1167" t="n"/>
      <c r="M90" s="1167" t="n"/>
      <c r="N90" s="1167" t="n"/>
      <c r="O90" s="1167" t="n"/>
      <c r="P90" s="1167" t="n"/>
      <c r="Q90" s="1167" t="n"/>
      <c r="R90" s="1168" t="n"/>
      <c r="S90" s="1168" t="n"/>
      <c r="T90" s="1168" t="n"/>
      <c r="U90" s="1168" t="n"/>
      <c r="V90" s="1168" t="n"/>
      <c r="W90" s="1168" t="n"/>
      <c r="X90" s="1168" t="n"/>
      <c r="Y90" s="1168" t="n"/>
      <c r="Z90" s="1168" t="n"/>
      <c r="AA90" s="1168" t="n"/>
      <c r="AB90" s="1168" t="n"/>
      <c r="AC90" s="1168" t="n"/>
      <c r="AD90" s="1168" t="n"/>
    </row>
    <row r="91" s="3154" customFormat="1" ht="13.5" customHeight="1">
      <c r="A91" s="833" t="n"/>
      <c r="B91" s="939" t="n"/>
      <c r="C91" s="872" t="n"/>
      <c r="D91" s="965" t="n"/>
      <c r="E91" s="966" t="n"/>
      <c r="F91" s="967" t="inlineStr">
        <is>
          <t xml:space="preserve">Ttl Project</t>
        </is>
      </c>
      <c r="G91" s="3472" t="n"/>
      <c r="H91" s="793" t="n"/>
      <c r="I91" s="1167" t="n"/>
      <c r="J91" s="1167" t="n"/>
      <c r="K91" s="1167" t="n"/>
      <c r="L91" s="1167" t="n"/>
      <c r="M91" s="1167" t="n"/>
      <c r="N91" s="1167" t="n"/>
      <c r="O91" s="1167" t="n"/>
      <c r="P91" s="1167" t="n"/>
      <c r="Q91" s="1167" t="n"/>
      <c r="R91" s="1168" t="n"/>
      <c r="S91" s="1168" t="n"/>
      <c r="T91" s="1168" t="n"/>
      <c r="U91" s="1168" t="n"/>
      <c r="V91" s="1168" t="n"/>
      <c r="W91" s="1168" t="n"/>
      <c r="X91" s="1168" t="n"/>
      <c r="Y91" s="1168" t="n"/>
      <c r="Z91" s="1168" t="n"/>
      <c r="AA91" s="1168" t="n"/>
      <c r="AB91" s="1168" t="n"/>
      <c r="AC91" s="1168" t="n"/>
      <c r="AD91" s="1168" t="n"/>
    </row>
    <row r="92" s="3154" customFormat="1" ht="12.75" customHeight="1">
      <c r="A92" s="1167" t="n"/>
      <c r="B92" s="652" t="n"/>
      <c r="C92" s="652" t="n"/>
      <c r="D92" s="652" t="n"/>
      <c r="E92" s="652" t="n"/>
      <c r="F92" s="968" t="n"/>
      <c r="G92" s="652" t="n"/>
      <c r="H92" s="1167" t="n"/>
      <c r="I92" s="1167" t="n"/>
      <c r="J92" s="1167" t="n"/>
      <c r="K92" s="1167" t="n"/>
      <c r="L92" s="1167" t="n"/>
      <c r="M92" s="1167" t="n"/>
      <c r="N92" s="1167" t="n"/>
      <c r="O92" s="1167" t="n"/>
      <c r="P92" s="1167" t="n"/>
      <c r="Q92" s="1167" t="n"/>
      <c r="R92" s="1168" t="n"/>
      <c r="S92" s="1168" t="n"/>
      <c r="T92" s="1168" t="n"/>
      <c r="U92" s="1168" t="n"/>
      <c r="V92" s="1168" t="n"/>
      <c r="W92" s="1168" t="n"/>
      <c r="X92" s="1168" t="n"/>
      <c r="Y92" s="1168" t="n"/>
      <c r="Z92" s="1168" t="n"/>
      <c r="AA92" s="1168" t="n"/>
      <c r="AB92" s="1168" t="n"/>
      <c r="AC92" s="1168" t="n"/>
      <c r="AD92" s="1168" t="n"/>
    </row>
    <row r="93" s="3154" customFormat="1" ht="12.75" customHeight="1">
      <c r="A93" s="1167" t="n"/>
      <c r="B93" s="1167" t="n"/>
      <c r="C93" s="969" t="n"/>
      <c r="D93" s="969" t="n"/>
      <c r="E93" s="643" t="n"/>
      <c r="F93" s="896" t="n"/>
      <c r="G93" s="896" t="n"/>
      <c r="H93" s="896" t="n"/>
      <c r="I93" s="896" t="n"/>
      <c r="J93" s="896" t="n"/>
      <c r="K93" s="896" t="n"/>
      <c r="L93" s="1167" t="n"/>
      <c r="M93" s="1167" t="n"/>
      <c r="N93" s="1167" t="n"/>
      <c r="O93" s="1167" t="n"/>
      <c r="P93" s="1167" t="n"/>
      <c r="Q93" s="1167" t="n"/>
      <c r="R93" s="1168" t="n"/>
      <c r="S93" s="1168" t="n"/>
      <c r="T93" s="1168" t="n"/>
      <c r="U93" s="1168" t="n"/>
      <c r="V93" s="1168" t="n"/>
      <c r="W93" s="1168" t="n"/>
      <c r="X93" s="1168" t="n"/>
      <c r="Y93" s="1168" t="n"/>
      <c r="Z93" s="1168" t="n"/>
      <c r="AA93" s="1168" t="n"/>
      <c r="AB93" s="1168" t="n"/>
      <c r="AC93" s="1168" t="n"/>
      <c r="AD93" s="1168" t="n"/>
    </row>
    <row r="94" s="3154" customFormat="1" ht="18" customHeight="1">
      <c r="A94" s="1167" t="n"/>
      <c r="B94" s="3473" t="n"/>
      <c r="C94" s="644" t="n"/>
      <c r="D94" s="644" t="n"/>
      <c r="E94" s="869" t="n"/>
      <c r="F94" s="896" t="n"/>
      <c r="G94" s="896" t="n"/>
      <c r="H94" s="896" t="n"/>
      <c r="I94" s="896" t="n"/>
      <c r="J94" s="896" t="n"/>
      <c r="K94" s="896" t="n"/>
      <c r="L94" s="1167" t="n"/>
      <c r="M94" s="1167" t="n"/>
      <c r="N94" s="1167" t="n"/>
      <c r="O94" s="1167" t="n"/>
      <c r="P94" s="1167" t="n"/>
      <c r="Q94" s="1167" t="n"/>
      <c r="R94" s="1168" t="n"/>
      <c r="S94" s="1168" t="n"/>
      <c r="T94" s="1168" t="n"/>
      <c r="U94" s="1168" t="n"/>
      <c r="V94" s="1168" t="n"/>
      <c r="W94" s="1168" t="n"/>
      <c r="X94" s="1168" t="n"/>
      <c r="Y94" s="1168" t="n"/>
      <c r="Z94" s="1168" t="n"/>
      <c r="AA94" s="1168" t="n"/>
      <c r="AB94" s="1168" t="n"/>
      <c r="AC94" s="1168" t="n"/>
      <c r="AD94" s="1168" t="n"/>
    </row>
    <row r="95" s="3154" customFormat="1" ht="15.75" customHeight="1">
      <c r="A95" s="1167" t="n"/>
      <c r="B95" s="971" t="n"/>
      <c r="C95" s="971" t="n"/>
      <c r="D95" s="971" t="n"/>
      <c r="E95" s="869" t="n"/>
      <c r="F95" s="896" t="n"/>
      <c r="G95" s="896" t="n"/>
      <c r="H95" s="896" t="n"/>
      <c r="I95" s="896" t="n"/>
      <c r="J95" s="896" t="n"/>
      <c r="K95" s="896" t="n"/>
      <c r="L95" s="1167" t="n"/>
      <c r="M95" s="1167" t="n"/>
      <c r="N95" s="1167" t="n"/>
      <c r="O95" s="1167" t="n"/>
      <c r="P95" s="1167" t="n"/>
      <c r="Q95" s="1167" t="n"/>
      <c r="R95" s="1168" t="n"/>
      <c r="S95" s="1168" t="n"/>
      <c r="T95" s="1168" t="n"/>
      <c r="U95" s="1168" t="n"/>
      <c r="V95" s="1168" t="n"/>
      <c r="W95" s="1168" t="n"/>
      <c r="X95" s="1168" t="n"/>
      <c r="Y95" s="1168" t="n"/>
      <c r="Z95" s="1168" t="n"/>
      <c r="AA95" s="1168" t="n"/>
      <c r="AB95" s="1168" t="n"/>
      <c r="AC95" s="1168" t="n"/>
      <c r="AD95" s="1168" t="n"/>
    </row>
    <row r="96" s="3154" customFormat="1" ht="12.75" customHeight="1">
      <c r="A96" s="1167" t="n"/>
      <c r="B96" s="1167" t="n"/>
      <c r="C96" s="1167" t="n"/>
      <c r="D96" s="1167" t="n"/>
      <c r="E96" s="869" t="n"/>
      <c r="F96" s="1167" t="n"/>
      <c r="G96" s="1167" t="n"/>
      <c r="H96" s="1167" t="n"/>
      <c r="I96" s="1167" t="n"/>
      <c r="J96" s="1167" t="n"/>
      <c r="K96" s="1167" t="n"/>
      <c r="L96" s="1167" t="n"/>
      <c r="M96" s="1167" t="n"/>
      <c r="N96" s="1167" t="n"/>
      <c r="O96" s="1167" t="n"/>
      <c r="P96" s="1167" t="n"/>
      <c r="Q96" s="1167" t="n"/>
      <c r="R96" s="1168" t="n"/>
      <c r="S96" s="1168" t="n"/>
      <c r="T96" s="1168" t="n"/>
      <c r="U96" s="1168" t="n"/>
      <c r="V96" s="1168" t="n"/>
      <c r="W96" s="1168" t="n"/>
      <c r="X96" s="1168" t="n"/>
      <c r="Y96" s="1168" t="n"/>
      <c r="Z96" s="1168" t="n"/>
      <c r="AA96" s="1168" t="n"/>
      <c r="AB96" s="1168" t="n"/>
      <c r="AC96" s="1168" t="n"/>
      <c r="AD96" s="1168" t="n"/>
    </row>
    <row r="97" s="3154" customFormat="1" ht="12.75" customHeight="1">
      <c r="A97" s="1167" t="n"/>
      <c r="B97" s="1167" t="n"/>
      <c r="C97" s="1167" t="n"/>
      <c r="D97" s="1167" t="n"/>
      <c r="E97" s="869" t="n"/>
      <c r="F97" s="1167" t="n"/>
      <c r="G97" s="1167" t="n"/>
      <c r="H97" s="1167" t="n"/>
      <c r="I97" s="1167" t="n"/>
      <c r="J97" s="1167" t="n"/>
      <c r="K97" s="1167" t="n"/>
      <c r="L97" s="1167" t="n"/>
      <c r="M97" s="1167" t="n"/>
      <c r="N97" s="1167" t="n"/>
      <c r="O97" s="1167" t="n"/>
      <c r="P97" s="1167" t="n"/>
      <c r="Q97" s="1167" t="n"/>
      <c r="R97" s="1168" t="n"/>
      <c r="S97" s="1168" t="n"/>
      <c r="T97" s="1168" t="n"/>
      <c r="U97" s="1168" t="n"/>
      <c r="V97" s="1168" t="n"/>
      <c r="W97" s="1168" t="n"/>
      <c r="X97" s="1168" t="n"/>
      <c r="Y97" s="1168" t="n"/>
      <c r="Z97" s="1168" t="n"/>
      <c r="AA97" s="1168" t="n"/>
      <c r="AB97" s="1168" t="n"/>
      <c r="AC97" s="1168" t="n"/>
      <c r="AD97" s="1168" t="n"/>
    </row>
    <row r="98" s="3154" customFormat="1" ht="15" customHeight="1">
      <c r="A98" s="1167" t="n"/>
      <c r="B98" s="1167" t="n"/>
      <c r="C98" s="1167" t="n"/>
      <c r="D98" s="1167" t="n"/>
      <c r="E98" s="1167" t="n"/>
      <c r="F98" s="1167" t="n"/>
      <c r="G98" s="1167" t="n"/>
      <c r="H98" s="1167" t="n"/>
      <c r="I98" s="1167" t="n"/>
      <c r="J98" s="1167" t="n"/>
      <c r="K98" s="1167" t="n"/>
      <c r="L98" s="1167" t="n"/>
      <c r="M98" s="1167" t="n"/>
      <c r="N98" s="1167" t="n"/>
      <c r="O98" s="1167" t="n"/>
      <c r="P98" s="1167" t="n"/>
      <c r="Q98" s="1167" t="n"/>
      <c r="R98" s="1168" t="n"/>
      <c r="S98" s="1168" t="n"/>
      <c r="T98" s="1168" t="n"/>
      <c r="U98" s="1168" t="n"/>
      <c r="V98" s="1168" t="n"/>
      <c r="W98" s="1168" t="n"/>
      <c r="X98" s="1168" t="n"/>
      <c r="Y98" s="1168" t="n"/>
      <c r="Z98" s="1168" t="n"/>
      <c r="AA98" s="1168" t="n"/>
      <c r="AB98" s="1168" t="n"/>
      <c r="AC98" s="1168" t="n"/>
      <c r="AD98" s="1168" t="n"/>
    </row>
    <row r="99" s="3154" customFormat="1" ht="15" customHeight="1">
      <c r="A99" s="1167" t="n"/>
      <c r="B99" s="1167" t="n"/>
      <c r="C99" s="1167" t="n"/>
      <c r="D99" s="1167" t="n"/>
      <c r="E99" s="1167" t="n"/>
      <c r="F99" s="1167" t="n"/>
      <c r="G99" s="1167" t="n"/>
      <c r="H99" s="1167" t="n"/>
      <c r="I99" s="1167" t="n"/>
      <c r="J99" s="1167" t="n"/>
      <c r="K99" s="1167" t="n"/>
      <c r="L99" s="1167" t="n"/>
      <c r="M99" s="1167" t="n"/>
      <c r="N99" s="1167" t="n"/>
      <c r="O99" s="1167" t="n"/>
      <c r="P99" s="1167" t="n"/>
      <c r="Q99" s="1167" t="n"/>
      <c r="R99" s="1168" t="n"/>
      <c r="S99" s="1168" t="n"/>
      <c r="T99" s="1168" t="n"/>
      <c r="U99" s="1168" t="n"/>
      <c r="V99" s="1168" t="n"/>
      <c r="W99" s="1168" t="n"/>
      <c r="X99" s="1168" t="n"/>
      <c r="Y99" s="1168" t="n"/>
      <c r="Z99" s="1168" t="n"/>
      <c r="AA99" s="1168" t="n"/>
      <c r="AB99" s="1168" t="n"/>
      <c r="AC99" s="1168" t="n"/>
      <c r="AD99" s="1168" t="n"/>
    </row>
    <row r="100" s="3154" customFormat="1" ht="15" customHeight="1">
      <c r="A100" s="1167" t="n"/>
      <c r="B100" s="1167" t="n"/>
      <c r="C100" s="1167" t="n"/>
      <c r="D100" s="1167" t="n"/>
      <c r="E100" s="1167" t="n"/>
      <c r="F100" s="1167" t="n"/>
      <c r="G100" s="1167" t="n"/>
      <c r="H100" s="1167" t="n"/>
      <c r="I100" s="1167" t="n"/>
      <c r="J100" s="1167" t="n"/>
      <c r="K100" s="1167" t="n"/>
      <c r="L100" s="1167" t="n"/>
      <c r="M100" s="1167" t="n"/>
      <c r="N100" s="1167" t="n"/>
      <c r="O100" s="1167" t="n"/>
      <c r="P100" s="1167" t="n"/>
      <c r="Q100" s="1167" t="n"/>
      <c r="R100" s="1168" t="n"/>
      <c r="S100" s="1168" t="n"/>
      <c r="T100" s="1168" t="n"/>
      <c r="U100" s="1168" t="n"/>
      <c r="V100" s="1168" t="n"/>
      <c r="W100" s="1168" t="n"/>
      <c r="X100" s="1168" t="n"/>
      <c r="Y100" s="1168" t="n"/>
      <c r="Z100" s="1168" t="n"/>
      <c r="AA100" s="1168" t="n"/>
      <c r="AB100" s="1168" t="n"/>
      <c r="AC100" s="1168" t="n"/>
      <c r="AD100" s="1168" t="n"/>
    </row>
    <row r="101" s="3154" customFormat="1" ht="12.75" customHeight="1">
      <c r="A101" s="1167" t="n"/>
      <c r="B101" s="3474" t="n"/>
      <c r="C101" s="3159" t="n"/>
      <c r="D101" s="3159" t="n"/>
      <c r="E101" s="3160" t="n"/>
      <c r="F101" s="1167" t="n"/>
      <c r="G101" s="1167" t="n"/>
      <c r="H101" s="1167" t="n"/>
      <c r="I101" s="1167" t="n"/>
      <c r="J101" s="1167" t="n"/>
      <c r="K101" s="1167" t="n"/>
      <c r="L101" s="1167" t="n"/>
      <c r="M101" s="1167" t="n"/>
      <c r="N101" s="1167" t="n"/>
      <c r="O101" s="1167" t="n"/>
      <c r="P101" s="1167" t="n"/>
      <c r="Q101" s="1167" t="n"/>
      <c r="R101" s="1168" t="n"/>
      <c r="S101" s="1168" t="n"/>
      <c r="T101" s="1168" t="n"/>
      <c r="U101" s="1168" t="n"/>
      <c r="V101" s="1168" t="n"/>
      <c r="W101" s="1168" t="n"/>
      <c r="X101" s="1168" t="n"/>
      <c r="Y101" s="1168" t="n"/>
      <c r="Z101" s="1168" t="n"/>
      <c r="AA101" s="1168" t="n"/>
      <c r="AB101" s="1168" t="n"/>
      <c r="AC101" s="1168" t="n"/>
      <c r="AD101" s="1168" t="n"/>
    </row>
    <row r="102" s="3154" customFormat="1" ht="12.75" customHeight="1">
      <c r="A102" s="1167" t="n"/>
      <c r="B102" s="973" t="n"/>
      <c r="C102" s="973" t="n"/>
      <c r="D102" s="973" t="n"/>
      <c r="E102" s="869" t="n"/>
      <c r="F102" s="1167" t="n"/>
      <c r="G102" s="1167" t="n"/>
      <c r="H102" s="1167" t="n"/>
      <c r="I102" s="1167" t="n"/>
      <c r="J102" s="1167" t="n"/>
      <c r="K102" s="1167" t="n"/>
      <c r="L102" s="1167" t="n"/>
      <c r="M102" s="1167" t="n"/>
      <c r="N102" s="1167" t="n"/>
      <c r="O102" s="1167" t="n"/>
      <c r="P102" s="1167" t="n"/>
      <c r="Q102" s="1167" t="n"/>
      <c r="R102" s="1168" t="n"/>
      <c r="S102" s="1168" t="n"/>
      <c r="T102" s="1168" t="n"/>
      <c r="U102" s="1168" t="n"/>
      <c r="V102" s="1168" t="n"/>
      <c r="W102" s="1168" t="n"/>
      <c r="X102" s="1168" t="n"/>
      <c r="Y102" s="1168" t="n"/>
      <c r="Z102" s="1168" t="n"/>
      <c r="AA102" s="1168" t="n"/>
      <c r="AB102" s="1168" t="n"/>
      <c r="AC102" s="1168" t="n"/>
      <c r="AD102" s="1168" t="n"/>
    </row>
    <row r="103" s="3154" customFormat="1" ht="12.75" customHeight="1">
      <c r="A103" s="1167" t="n"/>
      <c r="B103" s="974" t="n"/>
      <c r="C103" s="974" t="n"/>
      <c r="D103" s="974" t="n"/>
      <c r="E103" s="869" t="n"/>
      <c r="F103" s="1167" t="n"/>
      <c r="G103" s="1167" t="n"/>
      <c r="H103" s="1167" t="n"/>
      <c r="I103" s="1167" t="n"/>
      <c r="J103" s="1167" t="n"/>
      <c r="K103" s="1167" t="n"/>
      <c r="L103" s="1167" t="n"/>
      <c r="M103" s="1167" t="n"/>
      <c r="N103" s="1167" t="n"/>
      <c r="O103" s="1167" t="n"/>
      <c r="P103" s="1167" t="n"/>
      <c r="Q103" s="1167" t="n"/>
      <c r="R103" s="1168" t="n"/>
      <c r="S103" s="1168" t="n"/>
      <c r="T103" s="1168" t="n"/>
      <c r="U103" s="1168" t="n"/>
      <c r="V103" s="1168" t="n"/>
      <c r="W103" s="1168" t="n"/>
      <c r="X103" s="1168" t="n"/>
      <c r="Y103" s="1168" t="n"/>
      <c r="Z103" s="1168" t="n"/>
      <c r="AA103" s="1168" t="n"/>
      <c r="AB103" s="1168" t="n"/>
      <c r="AC103" s="1168" t="n"/>
      <c r="AD103" s="1168" t="n"/>
    </row>
    <row r="104" s="3154" customFormat="1" ht="12.75" customHeight="1">
      <c r="A104" s="1167" t="n"/>
      <c r="B104" s="974" t="n"/>
      <c r="C104" s="974" t="n"/>
      <c r="D104" s="974" t="n"/>
      <c r="E104" s="869" t="n"/>
      <c r="F104" s="1167" t="n"/>
      <c r="G104" s="1167" t="n"/>
      <c r="H104" s="1167" t="n"/>
      <c r="I104" s="1167" t="n"/>
      <c r="J104" s="1167" t="n"/>
      <c r="K104" s="1167" t="n"/>
      <c r="L104" s="1167" t="n"/>
      <c r="M104" s="1167" t="n"/>
      <c r="N104" s="1167" t="n"/>
      <c r="O104" s="1167" t="n"/>
      <c r="P104" s="1167" t="n"/>
      <c r="Q104" s="1167" t="n"/>
      <c r="R104" s="1168" t="n"/>
      <c r="S104" s="1168" t="n"/>
      <c r="T104" s="1168" t="n"/>
      <c r="U104" s="1168" t="n"/>
      <c r="V104" s="1168" t="n"/>
      <c r="W104" s="1168" t="n"/>
      <c r="X104" s="1168" t="n"/>
      <c r="Y104" s="1168" t="n"/>
      <c r="Z104" s="1168" t="n"/>
      <c r="AA104" s="1168" t="n"/>
      <c r="AB104" s="1168" t="n"/>
      <c r="AC104" s="1168" t="n"/>
      <c r="AD104" s="1168" t="n"/>
    </row>
  </sheetData>
  <mergeCells>
    <mergeCell ref="B62:C62"/>
    <mergeCell ref="B57:E57"/>
    <mergeCell ref="B64:C64"/>
    <mergeCell ref="B59:C59"/>
    <mergeCell ref="F4:I4"/>
    <mergeCell ref="B69:E69"/>
    <mergeCell ref="B61:C61"/>
    <mergeCell ref="G90:G91"/>
    <mergeCell ref="B60:C60"/>
    <mergeCell ref="B66:C66"/>
    <mergeCell ref="B58:C58"/>
    <mergeCell ref="B63:C63"/>
    <mergeCell ref="B65:C65"/>
    <mergeCell ref="B101:E101"/>
    <mergeCell ref="B67:E67"/>
  </mergeCells>
  <dataValidations count="1">
    <dataValidation type="list" allowBlank="1" showErrorMessage="1" sqref="B14">
      <formula1>"Yes,No"</formula1>
    </dataValidation>
  </dataValidations>
  <pageMargins left="0.7" right="0.7" top="0.75" bottom="0.75" header="0.3" footer="0.3"/>
  <drawing r:id="R8fe47e7ff9eb4b01"/>
</worksheet>
</file>

<file path=xl/worksheets/sheet5.xml><?xml version="1.0" encoding="utf-8"?>
<worksheet xmlns="http://schemas.openxmlformats.org/spreadsheetml/2006/main" xmlns:r="http://schemas.openxmlformats.org/officeDocument/2006/relationships">
  <sheetViews>
    <sheetView showGridLines="0" workbookViewId="0"/>
  </sheetViews>
  <sheetFormatPr baseColWidth="8" defaultColWidth="8.666669845581055" defaultRowHeight="15"/>
  <cols>
    <col min="1" max="1" width="5" style="3136" customWidth="1"/>
    <col min="2" max="2" width="9.171879768371582" style="3136" customWidth="1"/>
    <col min="3" max="3" width="3.671880006790161" style="3136" customWidth="1"/>
    <col min="4" max="4" width="86.5" style="3136" customWidth="1"/>
    <col min="5" max="5" width="24" style="3136" customWidth="1"/>
    <col min="6" max="6" width="19" style="3136" customWidth="1"/>
    <col min="7" max="7" width="12.85159969329834" style="3136" customWidth="1"/>
    <col min="8" max="8" width="10.671899795532227" style="3136" customWidth="1"/>
    <col min="9" max="9" width="15" style="3136" customWidth="1"/>
    <col min="10" max="10" width="9.171879768371582" style="3136" customWidth="1"/>
    <col min="11" max="12" width="8.671879768371582" style="3136" customWidth="1"/>
    <col min="13" max="16384" width="8.671879768371582" style="3136" customWidth="1"/>
  </cols>
  <sheetData>
    <row r="1" s="3154" customFormat="1" ht="23.25" customHeight="1">
      <c r="A1" s="1167" t="n"/>
      <c r="B1" s="1167" t="n"/>
      <c r="C1" s="976" t="inlineStr">
        <is>
          <t xml:space="preserve">Borrower's Name: Creek Elevation LLC </t>
        </is>
      </c>
      <c r="D1" s="977" t="n"/>
      <c r="E1" s="978" t="inlineStr">
        <is>
          <t xml:space="preserve">Rooms</t>
        </is>
      </c>
      <c r="F1" s="3475" t="n">
        <f>'JYI-Hotel Deal Overview'!C10</f>
        <v>100</v>
      </c>
      <c r="G1" s="980" t="n"/>
      <c r="H1" s="1167" t="n"/>
      <c r="I1" s="1167" t="n"/>
      <c r="J1" s="1167" t="n"/>
      <c r="K1" s="1168" t="n"/>
      <c r="L1" s="1168" t="n"/>
    </row>
    <row r="2" s="3154" customFormat="1" ht="16.5" customHeight="1">
      <c r="A2" s="1167" t="n"/>
      <c r="B2" s="1167" t="n"/>
      <c r="C2" s="981" t="n"/>
      <c r="D2" s="982" t="inlineStr">
        <is>
          <t xml:space="preserve">Description</t>
        </is>
      </c>
      <c r="E2" s="983" t="inlineStr">
        <is>
          <t xml:space="preserve">TOTAL COSTS</t>
        </is>
      </c>
      <c r="F2" s="984" t="inlineStr">
        <is>
          <t xml:space="preserve">$$$ Per key</t>
        </is>
      </c>
      <c r="G2" s="984" t="inlineStr">
        <is>
          <t xml:space="preserve">% per Key</t>
        </is>
      </c>
      <c r="H2" s="799" t="n"/>
      <c r="I2" s="1167" t="n"/>
      <c r="J2" s="1167" t="n"/>
      <c r="K2" s="1168" t="n"/>
      <c r="L2" s="1168" t="n"/>
    </row>
    <row r="3" s="3154" customFormat="1" ht="16.5" customHeight="1">
      <c r="A3" s="1167" t="n"/>
      <c r="B3" s="833" t="n"/>
      <c r="C3" s="985" t="n">
        <v>1</v>
      </c>
      <c r="D3" s="986" t="str">
        <f t="array" ref="D3">'JYI-Project Summary'!E16</f>
        <v>Additional Funds for 3 months- initial period</v>
      </c>
      <c r="E3" s="3476" t="n">
        <f t="array" ref="E3">'JYI-Project Summary'!G16</f>
        <v>150000</v>
      </c>
      <c r="F3" s="3477" t="n">
        <f t="array" ref="F3">'JYI-Project Summary'!H16</f>
        <v>1500</v>
      </c>
      <c r="G3" s="989" t="n">
        <f t="array" ref="G3">E3/$E$48</f>
        <v>0.024377076089683</v>
      </c>
      <c r="H3" s="799" t="n"/>
      <c r="I3" s="1167" t="n"/>
      <c r="J3" s="1167" t="n"/>
      <c r="K3" s="1168" t="n"/>
      <c r="L3" s="1168" t="n"/>
    </row>
    <row r="4" s="3154" customFormat="1" ht="15.75" customHeight="1">
      <c r="A4" s="1167" t="n"/>
      <c r="B4" s="833" t="n"/>
      <c r="C4" s="990" t="n"/>
      <c r="D4" s="986" t="str">
        <f t="array" ref="D4">'JYI-Project Summary'!E17</f>
        <v>Application Fee- Franchise</v>
      </c>
      <c r="E4" s="3476" t="n">
        <f t="array" ref="E4">'JYI-Project Summary'!G17</f>
        <v>10000</v>
      </c>
      <c r="F4" s="3477" t="n">
        <f t="array" ref="F4">'JYI-Project Summary'!H17</f>
        <v>100</v>
      </c>
      <c r="G4" s="989" t="n">
        <f t="array" ref="G4">E4/$E$48</f>
        <v>0.001625138405979</v>
      </c>
      <c r="H4" s="799" t="n"/>
      <c r="I4" s="1167" t="n"/>
      <c r="J4" s="1167" t="n"/>
      <c r="K4" s="1168" t="n"/>
      <c r="L4" s="1168" t="n"/>
    </row>
    <row r="5" s="3154" customFormat="1" ht="15.75" customHeight="1">
      <c r="A5" s="1167" t="n"/>
      <c r="B5" s="833" t="n"/>
      <c r="C5" s="991" t="n"/>
      <c r="D5" s="986" t="str">
        <f t="array" ref="D5">'JYI-Project Summary'!E18</f>
        <v>Architect fees, Design and Engineering</v>
      </c>
      <c r="E5" s="3476" t="n">
        <f t="array" ref="E5">'JYI-Project Summary'!G18</f>
        <v>150000</v>
      </c>
      <c r="F5" s="3477" t="n">
        <f t="array" ref="F5">'JYI-Project Summary'!H18</f>
        <v>1500</v>
      </c>
      <c r="G5" s="989" t="n">
        <f t="array" ref="G5">E5/$E$48</f>
        <v>0.024377076089683</v>
      </c>
      <c r="H5" s="799" t="n"/>
      <c r="I5" s="1167" t="n"/>
      <c r="J5" s="1167" t="n"/>
      <c r="K5" s="1168" t="n"/>
      <c r="L5" s="1168" t="n"/>
    </row>
    <row r="6" s="3154" customFormat="1" ht="15.75" customHeight="1">
      <c r="A6" s="1167" t="n"/>
      <c r="B6" s="833" t="n"/>
      <c r="C6" s="991" t="n"/>
      <c r="D6" s="986" t="str">
        <f t="array" ref="D6">'JYI-Project Summary'!E19</f>
        <v>Construction Contingency (inside Facility Construction via CB-Summary only)</v>
      </c>
      <c r="E6" s="3476" t="n">
        <f t="array" ref="E6">'JYI-Project Summary'!G19</f>
        <v>0</v>
      </c>
      <c r="F6" s="3477" t="n">
        <f t="array" ref="F6">'JYI-Project Summary'!H19</f>
        <v>0</v>
      </c>
      <c r="G6" s="989" t="n">
        <f t="array" ref="G6">E6/$E$48</f>
        <v>0</v>
      </c>
      <c r="H6" s="799" t="n"/>
      <c r="I6" s="1167" t="n"/>
      <c r="J6" s="1167" t="n"/>
      <c r="K6" s="1168" t="n"/>
      <c r="L6" s="1168" t="n"/>
    </row>
    <row r="7" s="3154" customFormat="1" ht="15.75" customHeight="1">
      <c r="A7" s="1167" t="n"/>
      <c r="B7" s="833" t="n"/>
      <c r="C7" s="991" t="n"/>
      <c r="D7" s="986" t="str">
        <f t="array" ref="D7">'JYI-Project Summary'!E20</f>
        <v>Facility Construction</v>
      </c>
      <c r="E7" s="3476" t="n">
        <f t="array" ref="E7">'JYI-Project Summary'!G20</f>
        <v>4466416.099999999627471</v>
      </c>
      <c r="F7" s="3477" t="n">
        <f t="array" ref="F7">'JYI-Project Summary'!H20</f>
        <v>44664.160999999992782</v>
      </c>
      <c r="G7" s="989" t="n">
        <f t="array" ref="G7">E7/$E$48</f>
        <v>0.725854434119224</v>
      </c>
      <c r="H7" s="799" t="n"/>
      <c r="I7" s="1167" t="n"/>
      <c r="J7" s="1167" t="n"/>
      <c r="K7" s="1168" t="n"/>
      <c r="L7" s="1168" t="n"/>
    </row>
    <row r="8" s="3154" customFormat="1" ht="15.75" customHeight="1">
      <c r="A8" s="1167" t="n"/>
      <c r="B8" s="833" t="n"/>
      <c r="C8" s="991" t="n"/>
      <c r="D8" s="986" t="str">
        <f t="array" ref="D8">'JYI-Project Summary'!E21</f>
        <v>Facility Improvements</v>
      </c>
      <c r="E8" s="3476" t="n">
        <f t="array" ref="E8">'JYI-Project Summary'!G21</f>
        <v>0</v>
      </c>
      <c r="F8" s="3477" t="n">
        <f t="array" ref="F8">'JYI-Project Summary'!H21</f>
        <v>0</v>
      </c>
      <c r="G8" s="989" t="n">
        <f t="array" ref="G8">E8/$E$48</f>
        <v>0</v>
      </c>
      <c r="H8" s="799" t="n"/>
      <c r="I8" s="1167" t="n"/>
      <c r="J8" s="1167" t="n"/>
      <c r="K8" s="1168" t="n"/>
      <c r="L8" s="1168" t="n"/>
    </row>
    <row r="9" s="3154" customFormat="1" ht="15.75" customHeight="1">
      <c r="A9" s="1167" t="n"/>
      <c r="B9" s="833" t="n"/>
      <c r="C9" s="991" t="n"/>
      <c r="D9" s="986" t="str">
        <f t="array" ref="D9">'JYI-Project Summary'!E22</f>
        <v>Furniture, Fixtures and Equipment (FF&amp;E)</v>
      </c>
      <c r="E9" s="3476" t="n">
        <f t="array" ref="E9">'JYI-Project Summary'!G22</f>
        <v>271720.200000000011642</v>
      </c>
      <c r="F9" s="3477" t="n">
        <f t="array" ref="F9">'JYI-Project Summary'!H22</f>
        <v>2717.202000000000226</v>
      </c>
      <c r="G9" s="989" t="n">
        <f t="array" ref="G9">E9/$E$48</f>
        <v>0.044158293270025</v>
      </c>
      <c r="H9" s="799" t="n"/>
      <c r="I9" s="1167" t="n"/>
      <c r="J9" s="1167" t="n"/>
      <c r="K9" s="1168" t="n"/>
      <c r="L9" s="1168" t="n"/>
    </row>
    <row r="10" s="3154" customFormat="1" ht="15.75" customHeight="1">
      <c r="A10" s="1167" t="n"/>
      <c r="B10" s="833" t="n"/>
      <c r="C10" s="991" t="n"/>
      <c r="D10" s="986" t="str">
        <f t="array" ref="D10">'JYI-Project Summary'!E23</f>
        <v>Grand Opening Advertising</v>
      </c>
      <c r="E10" s="3476" t="n">
        <f t="array" ref="E10">'JYI-Project Summary'!G23</f>
        <v>30000</v>
      </c>
      <c r="F10" s="3477" t="n">
        <f t="array" ref="F10">'JYI-Project Summary'!H23</f>
        <v>300</v>
      </c>
      <c r="G10" s="989" t="n">
        <f t="array" ref="G10">E10/$E$48</f>
        <v>0.004875415217937</v>
      </c>
      <c r="H10" s="799" t="n"/>
      <c r="I10" s="1167" t="n"/>
      <c r="J10" s="1167" t="n"/>
      <c r="K10" s="1168" t="n"/>
      <c r="L10" s="1168" t="n"/>
    </row>
    <row r="11" s="3154" customFormat="1" ht="15.75" customHeight="1">
      <c r="A11" s="1167" t="n"/>
      <c r="B11" s="833" t="n"/>
      <c r="C11" s="991" t="n"/>
      <c r="D11" s="986" t="str">
        <f t="array" ref="D11">'JYI-Project Summary'!E24</f>
        <v>Insurance Carrier- Before Opening</v>
      </c>
      <c r="E11" s="3476" t="n">
        <f t="array" ref="E11">'JYI-Project Summary'!G24</f>
        <v>15000</v>
      </c>
      <c r="F11" s="3477" t="n">
        <f t="array" ref="F11">'JYI-Project Summary'!H24</f>
        <v>150</v>
      </c>
      <c r="G11" s="989" t="n">
        <f t="array" ref="G11">E11/$E$48</f>
        <v>0.002437707608968</v>
      </c>
      <c r="H11" s="799" t="n"/>
      <c r="I11" s="1167" t="n"/>
      <c r="J11" s="1167" t="n"/>
      <c r="K11" s="1168" t="n"/>
      <c r="L11" s="1168" t="n"/>
    </row>
    <row r="12" s="3154" customFormat="1" ht="15.75" customHeight="1">
      <c r="A12" s="1167" t="n"/>
      <c r="B12" s="833" t="n"/>
      <c r="C12" s="991" t="n"/>
      <c r="D12" s="986" t="str">
        <f t="array" ref="D12">'JYI-Project Summary'!E25</f>
        <v>Integration Fee</v>
      </c>
      <c r="E12" s="3476" t="n">
        <f t="array" ref="E12">'JYI-Project Summary'!G25</f>
        <v>75000</v>
      </c>
      <c r="F12" s="3477" t="n">
        <f t="array" ref="F12">'JYI-Project Summary'!H25</f>
        <v>750</v>
      </c>
      <c r="G12" s="989" t="n">
        <f t="array" ref="G12">E12/$E$48</f>
        <v>0.012188538044841</v>
      </c>
      <c r="H12" s="799" t="n"/>
      <c r="I12" s="1167" t="n"/>
      <c r="J12" s="1167" t="n"/>
      <c r="K12" s="1168" t="n"/>
      <c r="L12" s="1168" t="n"/>
    </row>
    <row r="13" s="3154" customFormat="1" ht="15.75" customHeight="1">
      <c r="A13" s="1167" t="n"/>
      <c r="B13" s="833" t="n"/>
      <c r="C13" s="991" t="n"/>
      <c r="D13" s="986" t="str">
        <f t="array" ref="D13">'JYI-Project Summary'!E26</f>
        <v>Land</v>
      </c>
      <c r="E13" s="3476" t="n">
        <f t="array" ref="E13">0</f>
        <v>0</v>
      </c>
      <c r="F13" s="3477" t="n">
        <f t="array" ref="F13">E13/$F$1</f>
        <v>0</v>
      </c>
      <c r="G13" s="989" t="n">
        <f t="array" ref="G13">E13/$E$48</f>
        <v>0</v>
      </c>
      <c r="H13" s="799" t="n"/>
      <c r="I13" s="1167" t="n"/>
      <c r="J13" s="1167" t="n"/>
      <c r="K13" s="1168" t="n"/>
      <c r="L13" s="1168" t="n"/>
    </row>
    <row r="14" s="3154" customFormat="1" ht="15.75" customHeight="1">
      <c r="A14" s="1167" t="n"/>
      <c r="B14" s="833" t="n"/>
      <c r="C14" s="991" t="n"/>
      <c r="D14" s="986" t="str">
        <f t="array" ref="D14">'JYI-Project Summary'!E27</f>
        <v>Market Study- Paid by Developer</v>
      </c>
      <c r="E14" s="3476" t="n">
        <f t="array" ref="E14">'JYI-Project Summary'!G27</f>
        <v>10000</v>
      </c>
      <c r="F14" s="3477" t="n">
        <f t="array" ref="F14">'JYI-Project Summary'!H27</f>
        <v>100</v>
      </c>
      <c r="G14" s="989" t="n">
        <f t="array" ref="G14">E14/$E$48</f>
        <v>0.001625138405979</v>
      </c>
      <c r="H14" s="799" t="n"/>
      <c r="I14" s="1167" t="n"/>
      <c r="J14" s="1167" t="n"/>
      <c r="K14" s="1168" t="n"/>
      <c r="L14" s="1168" t="n"/>
    </row>
    <row r="15" s="3154" customFormat="1" ht="15.75" customHeight="1">
      <c r="A15" s="1167" t="n"/>
      <c r="B15" s="833" t="n"/>
      <c r="C15" s="991" t="n"/>
      <c r="D15" s="986" t="str">
        <f t="array" ref="D15">'JYI-Project Summary'!E28</f>
        <v>Misc. Non Tangibles- Supplies, professionals- opening supplies</v>
      </c>
      <c r="E15" s="3476" t="n">
        <f t="array" ref="E15">'JYI-Project Summary'!G28</f>
        <v>30000</v>
      </c>
      <c r="F15" s="3477" t="n">
        <f t="array" ref="F15">'JYI-Project Summary'!H28</f>
        <v>300</v>
      </c>
      <c r="G15" s="989" t="n">
        <f t="array" ref="G15">E15/$E$48</f>
        <v>0.004875415217937</v>
      </c>
      <c r="H15" s="799" t="n"/>
      <c r="I15" s="1167" t="n"/>
      <c r="J15" s="1167" t="n"/>
      <c r="K15" s="1168" t="n"/>
      <c r="L15" s="1168" t="n"/>
    </row>
    <row r="16" s="3154" customFormat="1" ht="15.75" customHeight="1">
      <c r="A16" s="1167" t="n"/>
      <c r="B16" s="833" t="n"/>
      <c r="C16" s="991" t="n"/>
      <c r="D16" s="986" t="str">
        <f t="array" ref="D16">'JYI-Project Summary'!E29</f>
        <v>Opening TBA</v>
      </c>
      <c r="E16" s="3476" t="n">
        <f t="array" ref="E16">'JYI-Project Summary'!G29</f>
        <v>0</v>
      </c>
      <c r="F16" s="3477" t="n">
        <f t="array" ref="F16">'JYI-Project Summary'!H29</f>
        <v>0</v>
      </c>
      <c r="G16" s="989" t="n">
        <f t="array" ref="G16">E16/$E$48</f>
        <v>0</v>
      </c>
      <c r="H16" s="799" t="n"/>
      <c r="I16" s="1167" t="n"/>
      <c r="J16" s="1167" t="n"/>
      <c r="K16" s="1168" t="n"/>
      <c r="L16" s="1168" t="n"/>
    </row>
    <row r="17" s="3154" customFormat="1" ht="15.75" customHeight="1">
      <c r="A17" s="1167" t="n"/>
      <c r="B17" s="833" t="n"/>
      <c r="C17" s="991" t="n"/>
      <c r="D17" s="986" t="str">
        <f t="array" ref="D17">'JYI-Project Summary'!E30</f>
        <v>Permits, Licenses, Deposits and related fees</v>
      </c>
      <c r="E17" s="3476" t="n">
        <f t="array" ref="E17">'JYI-Project Summary'!G30</f>
        <v>100000</v>
      </c>
      <c r="F17" s="3477" t="n">
        <f t="array" ref="F17">'JYI-Project Summary'!H30</f>
        <v>1000</v>
      </c>
      <c r="G17" s="989" t="n">
        <f t="array" ref="G17">E17/$E$48</f>
        <v>0.016251384059788</v>
      </c>
      <c r="H17" s="799" t="n"/>
      <c r="I17" s="1167" t="n"/>
      <c r="J17" s="1167" t="n"/>
      <c r="K17" s="1168" t="n"/>
      <c r="L17" s="1168" t="n"/>
    </row>
    <row r="18" s="3154" customFormat="1" ht="15.75" customHeight="1">
      <c r="A18" s="1167" t="n"/>
      <c r="B18" s="833" t="n"/>
      <c r="C18" s="991" t="n"/>
      <c r="D18" s="986" t="str">
        <f t="array" ref="D18">'JYI-Project Summary'!E31</f>
        <v>Phase 1 Environmental study</v>
      </c>
      <c r="E18" s="3476" t="n">
        <f t="array" ref="E18">'JYI-Project Summary'!G31</f>
        <v>50000</v>
      </c>
      <c r="F18" s="3477" t="n">
        <f t="array" ref="F18">'JYI-Project Summary'!H31</f>
        <v>500</v>
      </c>
      <c r="G18" s="989" t="n">
        <f t="array" ref="G18">E18/$E$48</f>
        <v>0.008125692029894</v>
      </c>
      <c r="H18" s="799" t="n"/>
      <c r="I18" s="1167" t="n"/>
      <c r="J18" s="1167" t="n"/>
      <c r="K18" s="1168" t="n"/>
      <c r="L18" s="1168" t="n"/>
    </row>
    <row r="19" s="3154" customFormat="1" ht="15.75" customHeight="1">
      <c r="A19" s="1167" t="n"/>
      <c r="B19" s="833" t="n"/>
      <c r="C19" s="991" t="n"/>
      <c r="D19" s="986" t="str">
        <f t="array" ref="D19">'JYI-Project Summary'!E32</f>
        <v>Signage</v>
      </c>
      <c r="E19" s="3476" t="n">
        <f t="array" ref="E19">'JYI-Project Summary'!G32</f>
        <v>110000</v>
      </c>
      <c r="F19" s="3477" t="n">
        <f t="array" ref="F19">'JYI-Project Summary'!H32</f>
        <v>1100</v>
      </c>
      <c r="G19" s="989" t="n">
        <f t="array" ref="G19">E19/$E$48</f>
        <v>0.017876522465767</v>
      </c>
      <c r="H19" s="799" t="n"/>
      <c r="I19" s="1167" t="n"/>
      <c r="J19" s="1167" t="n"/>
      <c r="K19" s="1168" t="n"/>
      <c r="L19" s="1168" t="n"/>
    </row>
    <row r="20" s="3154" customFormat="1" ht="15.75" customHeight="1">
      <c r="A20" s="1167" t="n"/>
      <c r="B20" s="833" t="n"/>
      <c r="C20" s="991" t="n"/>
      <c r="D20" s="986" t="str">
        <f t="array" ref="D20">'JYI-Project Summary'!E33</f>
        <v>Technical Systems- key system/ Camera system/ Phone systems/ Internet hardware</v>
      </c>
      <c r="E20" s="3476" t="n">
        <f t="array" ref="E20">'JYI-Project Summary'!G33</f>
        <v>175000</v>
      </c>
      <c r="F20" s="3477" t="n">
        <f t="array" ref="F20">'JYI-Project Summary'!H33</f>
        <v>1750</v>
      </c>
      <c r="G20" s="989" t="n">
        <f t="array" ref="G20">E20/$E$48</f>
        <v>0.02843992210463</v>
      </c>
      <c r="H20" s="799" t="n"/>
      <c r="I20" s="1167" t="n"/>
      <c r="J20" s="1167" t="n"/>
      <c r="K20" s="1168" t="n"/>
      <c r="L20" s="1168" t="n"/>
    </row>
    <row r="21" s="3154" customFormat="1" ht="15.75" customHeight="1">
      <c r="A21" s="1167" t="n"/>
      <c r="B21" s="833" t="n"/>
      <c r="C21" s="992" t="n"/>
      <c r="D21" s="986" t="str">
        <f t="array" ref="D21">'JYI-Project Summary'!E34</f>
        <v>Synexis Express PMS software/ Key stsem/ 2 computer systems</v>
      </c>
      <c r="E21" s="3476" t="n">
        <f t="array" ref="E21">'JYI-Project Summary'!G34</f>
        <v>75000</v>
      </c>
      <c r="F21" s="3477" t="n">
        <f t="array" ref="F21">'JYI-Project Summary'!H34</f>
        <v>750</v>
      </c>
      <c r="G21" s="989" t="n">
        <f t="array" ref="G21">E21/$E$48</f>
        <v>0.012188538044841</v>
      </c>
      <c r="H21" s="799" t="n"/>
      <c r="I21" s="1167" t="n"/>
      <c r="J21" s="1167" t="n"/>
      <c r="K21" s="1168" t="n"/>
      <c r="L21" s="1168" t="n"/>
    </row>
    <row r="22" s="3154" customFormat="1" ht="15.75" customHeight="1">
      <c r="A22" s="1167" t="n"/>
      <c r="B22" s="833" t="n"/>
      <c r="C22" s="993" t="n"/>
      <c r="D22" s="986" t="str">
        <f t="array" ref="D22">'JYI-Project Summary'!E35</f>
        <v>Training Expenses</v>
      </c>
      <c r="E22" s="3476" t="n">
        <f t="array" ref="E22">'JYI-Project Summary'!G35</f>
        <v>35000</v>
      </c>
      <c r="F22" s="3477" t="n">
        <f t="array" ref="F22">'JYI-Project Summary'!H35</f>
        <v>350</v>
      </c>
      <c r="G22" s="989" t="n">
        <f t="array" ref="G22">E22/$E$48</f>
        <v>0.005687984420926</v>
      </c>
      <c r="H22" s="799" t="n"/>
      <c r="I22" s="1167" t="n"/>
      <c r="J22" s="1167" t="n"/>
      <c r="K22" s="1168" t="n"/>
      <c r="L22" s="1168" t="n"/>
    </row>
    <row r="23" s="3154" customFormat="1" ht="15.75" customHeight="1">
      <c r="A23" s="1167" t="n"/>
      <c r="B23" s="833" t="n"/>
      <c r="C23" s="993" t="n"/>
      <c r="D23" s="986" t="inlineStr">
        <is>
          <t>Other project costs / project reserve</t>
        </is>
      </c>
      <c r="E23" s="4402" t="n">
        <f>'JYI-Project Summary'!G36</f>
        <v>90000</v>
      </c>
      <c r="F23" s="4403" t="n">
        <f>'JYI-Project Summary'!H36</f>
        <v>900</v>
      </c>
      <c r="G23" s="4404" t="n">
        <f>E23/$E$48</f>
        <v>0.012188538044841</v>
      </c>
      <c r="H23" s="799" t="n"/>
      <c r="I23" s="1167" t="n"/>
      <c r="J23" s="1167" t="n"/>
      <c r="K23" s="1168" t="n"/>
      <c r="L23" s="1168" t="n"/>
    </row>
    <row r="24" s="3154" customFormat="1" ht="15.75" customHeight="1">
      <c r="A24" s="1167" t="n"/>
      <c r="B24" s="833" t="n"/>
      <c r="C24" s="993" t="n"/>
      <c r="D24" s="986" t="str">
        <f t="array" ref="D24">'JYI-Project Summary'!E38</f>
        <v>Laundry Room</v>
      </c>
      <c r="E24" s="3476" t="n">
        <f t="array" ref="E24">'JYI-Project Summary'!G38</f>
        <v>0</v>
      </c>
      <c r="F24" s="3477" t="n">
        <f t="array" ref="F24">'JYI-Project Summary'!H38</f>
        <v>0</v>
      </c>
      <c r="G24" s="989" t="n">
        <f t="array" ref="G24">E24/$E$48</f>
        <v>0</v>
      </c>
      <c r="H24" s="799" t="n"/>
      <c r="I24" s="1167" t="n"/>
      <c r="J24" s="1167" t="n"/>
      <c r="K24" s="1168" t="n"/>
      <c r="L24" s="1168" t="n"/>
    </row>
    <row r="25" s="3154" customFormat="1" ht="16.5" customHeight="1">
      <c r="A25" s="1167" t="n"/>
      <c r="B25" s="833" t="n"/>
      <c r="C25" s="994" t="n"/>
      <c r="D25" s="986" t="str">
        <f t="array" ref="D25">'JYI-Project Summary'!E40</f>
        <v>Any other special amenity costs</v>
      </c>
      <c r="E25" s="3476" t="n">
        <f t="array" ref="E25">'JYI-Project Summary'!G40</f>
        <v>0</v>
      </c>
      <c r="F25" s="3477" t="n">
        <f t="array" ref="F25">'JYI-Project Summary'!H40</f>
        <v>0</v>
      </c>
      <c r="G25" s="989" t="n"/>
      <c r="H25" s="799" t="n"/>
      <c r="I25" s="1167" t="n"/>
      <c r="J25" s="1167" t="n"/>
      <c r="K25" s="1168" t="n"/>
      <c r="L25" s="1168" t="n"/>
    </row>
    <row r="26" s="3154" customFormat="1" ht="17.25" customHeight="1">
      <c r="A26" s="1167" t="n"/>
      <c r="B26" s="995" t="n"/>
      <c r="C26" s="996" t="n">
        <v>2</v>
      </c>
      <c r="D26" s="997" t="inlineStr">
        <is>
          <t xml:space="preserve">Total Construction Contract Costs </t>
        </is>
      </c>
      <c r="E26" s="3478" t="n">
        <f>SUM(E3:E24)</f>
        <v>5828136.3</v>
      </c>
      <c r="F26" s="3479" t="n">
        <f t="array" ref="F26">E26/$F$1</f>
        <v>58281.363</v>
      </c>
      <c r="G26" s="1000" t="n">
        <f t="array" ref="G26">SUM(G3:G21)</f>
        <v>0.929276291175176</v>
      </c>
      <c r="H26" s="4545" t="str">
        <v>Bridge Loan Inputs</v>
      </c>
      <c r="I26" s="4546" t="n"/>
      <c r="J26" s="1167" t="n"/>
      <c r="K26" s="1168" t="n"/>
      <c r="L26" s="1168" t="n"/>
    </row>
    <row r="27" s="3154" customFormat="1" ht="16.5" customHeight="1">
      <c r="A27" s="833" t="n"/>
      <c r="B27" s="3481" t="n">
        <v>0</v>
      </c>
      <c r="C27" s="991" t="n"/>
      <c r="D27" s="1003" t="str">
        <v>Interest Reserve during Construction - Bridge Loan</v>
      </c>
      <c r="E27" s="3482" t="n">
        <f>I31</f>
        <v>104906.4534</v>
      </c>
      <c r="F27" s="3483" t="n">
        <f t="array" ref="F27">IFERROR(E27/'JYI-Project Summary'!F9,0)</f>
        <v>1049.064534</v>
      </c>
      <c r="G27" s="1006" t="n"/>
      <c r="H27" s="793" t="str">
        <v>Bridge Rate</v>
      </c>
      <c r="I27" s="4548" t="n">
        <v>0.055</v>
      </c>
      <c r="J27" s="1167" t="n"/>
      <c r="K27" s="1168" t="n"/>
      <c r="L27" s="1168" t="n"/>
    </row>
    <row r="28" s="3154" customFormat="1" ht="16.5" customHeight="1">
      <c r="A28" s="675" t="n"/>
      <c r="B28" s="3484" t="n"/>
      <c r="C28" s="991" t="n"/>
      <c r="D28" s="1008" t="n"/>
      <c r="E28" s="3485" t="n">
        <f t="array" ref="E28">E26+E27</f>
        <v>5933042.7534</v>
      </c>
      <c r="F28" s="3477" t="n"/>
      <c r="G28" s="1010" t="n"/>
      <c r="H28" s="793" t="str">
        <v>Draw Months</v>
      </c>
      <c r="I28" s="4548" t="n">
        <v>9</v>
      </c>
      <c r="J28" s="1167" t="n"/>
      <c r="K28" s="1168" t="n"/>
      <c r="L28" s="1168" t="n"/>
    </row>
    <row r="29" s="3154" customFormat="1" ht="17.25" customHeight="1">
      <c r="A29" s="1167" t="n"/>
      <c r="B29" s="902" t="n"/>
      <c r="C29" s="991" t="n"/>
      <c r="D29" s="1011" t="str">
        <v>Bridge loan assumes 9-month weighted draw period at 5.5%; payments start as construction draws are funded.</v>
      </c>
      <c r="E29" s="3486" t="n"/>
      <c r="F29" s="3487" t="n"/>
      <c r="G29" s="1014" t="n"/>
      <c r="H29" s="793" t="str">
        <v>Avg Draw Factor</v>
      </c>
      <c r="I29" s="4548" t="n">
        <v>0.53</v>
      </c>
      <c r="J29" s="1167" t="n"/>
      <c r="K29" s="1168" t="n"/>
      <c r="L29" s="1168" t="n"/>
    </row>
    <row r="30" s="3154" customFormat="1" ht="17.25" customHeight="1">
      <c r="A30" s="1167" t="n"/>
      <c r="B30" s="833" t="n"/>
      <c r="C30" s="991" t="n"/>
      <c r="D30" s="1015" t="inlineStr">
        <is>
          <t xml:space="preserve">Insurance Bond- (is the Builder Bonded)</t>
        </is>
      </c>
      <c r="E30" s="3488" t="n"/>
      <c r="F30" s="3477" t="n">
        <f t="array" ref="F30">E30/$F$1</f>
        <v>0</v>
      </c>
      <c r="G30" s="1010" t="n"/>
      <c r="H30" s="793" t="str">
        <v>Construction Loan Base</v>
      </c>
      <c r="I30" s="1167" t="n">
        <f>'Project Summary'!C8</f>
        <v>4662509.04</v>
      </c>
      <c r="J30" s="1167" t="n"/>
      <c r="K30" s="1168" t="n"/>
      <c r="L30" s="1168" t="n"/>
    </row>
    <row r="31" s="3154" customFormat="1" ht="17.25" customHeight="1">
      <c r="A31" s="1167" t="n"/>
      <c r="B31" s="833" t="n"/>
      <c r="C31" s="1017" t="n">
        <v>3</v>
      </c>
      <c r="D31" s="1018" t="inlineStr">
        <is>
          <t xml:space="preserve">Total IR &amp; IB Costs</t>
        </is>
      </c>
      <c r="E31" s="3485" t="n">
        <f t="array" ref="E31">E28</f>
        <v>5933042.7534</v>
      </c>
      <c r="F31" s="3477" t="n">
        <f t="array" ref="F31">E31/$F$1</f>
        <v>59330.427534</v>
      </c>
      <c r="G31" s="1019" t="n"/>
      <c r="H31" s="799" t="str">
        <v>Est. Bridge Interest</v>
      </c>
      <c r="I31" s="1167" t="n">
        <f>I30*2.25%</f>
        <v>104906.4534</v>
      </c>
      <c r="J31" s="1167" t="n"/>
      <c r="K31" s="1168" t="n"/>
      <c r="L31" s="1168" t="n"/>
    </row>
    <row r="32" s="3154" customFormat="1" ht="17.25" customHeight="1">
      <c r="A32" s="1167" t="n"/>
      <c r="B32" s="833" t="n"/>
      <c r="C32" s="991" t="n">
        <v>4</v>
      </c>
      <c r="D32" s="997" t="inlineStr">
        <is>
          <t xml:space="preserve">Total Loan w/ HCC, IR Bridge Loan &amp; IB (Insurance Bond) Costs- in construction costs</t>
        </is>
      </c>
      <c r="E32" s="3485" t="n"/>
      <c r="F32" s="3477" t="n">
        <f t="array" ref="F32">E32/$F$1</f>
        <v>0</v>
      </c>
      <c r="G32" s="1019" t="n"/>
      <c r="H32" s="3489" t="n"/>
      <c r="I32" s="1167" t="n"/>
      <c r="J32" s="1167" t="n"/>
      <c r="K32" s="1168" t="n"/>
      <c r="L32" s="1168" t="n"/>
    </row>
    <row r="33" s="3154" customFormat="1" ht="16.5" customHeight="1">
      <c r="A33" s="1167" t="n"/>
      <c r="B33" s="995" t="n"/>
      <c r="C33" s="1021" t="n"/>
      <c r="D33" s="1022" t="inlineStr">
        <is>
          <t xml:space="preserve">OTHER Development Costs That can be packaged in the loan</t>
        </is>
      </c>
      <c r="E33" s="3490" t="n"/>
      <c r="F33" s="3491" t="n"/>
      <c r="G33" s="1025" t="n"/>
      <c r="H33" s="666" t="n"/>
      <c r="I33" s="1167" t="n"/>
      <c r="J33" s="1167" t="n"/>
      <c r="K33" s="1168" t="n"/>
      <c r="L33" s="1168" t="n"/>
    </row>
    <row r="34" s="3154" customFormat="1" ht="16.5" customHeight="1">
      <c r="A34" s="833" t="n"/>
      <c r="B34" s="3492" t="n">
        <v>0.005</v>
      </c>
      <c r="C34" s="991" t="n"/>
      <c r="D34" s="1015" t="inlineStr">
        <is>
          <t xml:space="preserve">CDC Fee (1/2 point)-1st Mortgage </t>
        </is>
      </c>
      <c r="E34" s="3485" t="n">
        <v>0</v>
      </c>
      <c r="F34" s="3477" t="n">
        <f t="array" ref="F34">E34/$F$1</f>
        <v>0</v>
      </c>
      <c r="G34" s="1019" t="n"/>
      <c r="H34" s="799" t="n"/>
      <c r="I34" s="1167" t="n"/>
      <c r="J34" s="1167" t="n"/>
      <c r="K34" s="1168" t="n"/>
      <c r="L34" s="1168" t="n"/>
    </row>
    <row r="35" s="3154" customFormat="1" ht="16.5" customHeight="1">
      <c r="A35" s="1167" t="n"/>
      <c r="B35" s="1027" t="n"/>
      <c r="C35" s="991" t="n"/>
      <c r="D35" s="1028" t="inlineStr">
        <is>
          <t xml:space="preserve">Appraisal -  (estimate)- Ask banker if necessary</t>
        </is>
      </c>
      <c r="E35" s="3485" t="n">
        <v>0</v>
      </c>
      <c r="F35" s="3477" t="n">
        <f t="array" ref="F35">E35/$F$1</f>
        <v>0</v>
      </c>
      <c r="G35" s="1019" t="n"/>
      <c r="H35" s="799" t="n"/>
      <c r="I35" s="1167" t="n"/>
      <c r="J35" s="1167" t="n"/>
      <c r="K35" s="1168" t="n"/>
      <c r="L35" s="1168" t="n"/>
    </row>
    <row r="36" s="3154" customFormat="1" ht="17.25" customHeight="1">
      <c r="A36" s="1167" t="n"/>
      <c r="B36" s="833" t="n"/>
      <c r="C36" s="991" t="n"/>
      <c r="D36" s="1028" t="inlineStr">
        <is>
          <t xml:space="preserve">Architect/Engineering-IF NOT included in hard costs</t>
        </is>
      </c>
      <c r="E36" s="3485" t="n">
        <f t="array" ref="E36">'JYI-Project Summary'!L52</f>
        <v>0</v>
      </c>
      <c r="F36" s="3477" t="n">
        <f t="array" ref="F36">E36/$F$1</f>
        <v>0</v>
      </c>
      <c r="G36" s="1019" t="n"/>
      <c r="H36" s="799" t="n"/>
      <c r="I36" s="1167" t="n"/>
      <c r="J36" s="1167" t="n"/>
      <c r="K36" s="1168" t="n"/>
      <c r="L36" s="1168" t="n"/>
    </row>
    <row r="37" s="3154" customFormat="1" ht="17.25" customHeight="1">
      <c r="A37" s="1167" t="n"/>
      <c r="B37" s="995" t="n"/>
      <c r="C37" s="991" t="n"/>
      <c r="D37" s="1028" t="inlineStr">
        <is>
          <t xml:space="preserve">Attorney Fee - (estimate)- Ask banker</t>
        </is>
      </c>
      <c r="E37" s="3485" t="n">
        <v>15000</v>
      </c>
      <c r="F37" s="3477" t="n">
        <f t="array" ref="F37">E37/$F$1</f>
        <v>150</v>
      </c>
      <c r="G37" s="1019" t="n"/>
      <c r="H37" s="799" t="n"/>
      <c r="I37" s="1167" t="n"/>
      <c r="J37" s="1167" t="n"/>
      <c r="K37" s="1168" t="n"/>
      <c r="L37" s="1168" t="n"/>
    </row>
    <row r="38" s="3154" customFormat="1" ht="17.25" customHeight="1">
      <c r="A38" s="833" t="n"/>
      <c r="B38" s="3492" t="n">
        <v>0.025</v>
      </c>
      <c r="C38" s="991" t="n"/>
      <c r="D38" s="1028" t="inlineStr">
        <is>
          <t xml:space="preserve">Bank Interim Loan Fee (1.00%)-  Ask banker</t>
        </is>
      </c>
      <c r="E38" s="3485" t="n">
        <f t="array" ref="E38">E31*B38</f>
        <v>148326.068835</v>
      </c>
      <c r="F38" s="3477" t="n">
        <f t="array" ref="F38">E38/$F$1</f>
        <v>1483.26068835</v>
      </c>
      <c r="G38" s="1019" t="n"/>
      <c r="H38" s="799" t="n"/>
      <c r="I38" s="1167" t="n"/>
      <c r="J38" s="1167" t="n"/>
      <c r="K38" s="1168" t="n"/>
      <c r="L38" s="1168" t="n"/>
    </row>
    <row r="39" s="3154" customFormat="1" ht="16.5" customHeight="1">
      <c r="A39" s="1167" t="n"/>
      <c r="B39" s="1027" t="n"/>
      <c r="C39" s="992" t="n"/>
      <c r="D39" s="1028" t="inlineStr">
        <is>
          <t xml:space="preserve">Construction Control, engineering rev, lien waivers-1%</t>
        </is>
      </c>
      <c r="E39" s="3485" t="n">
        <v>0</v>
      </c>
      <c r="F39" s="3477" t="n">
        <f t="array" ref="F39">E39/$F$1</f>
        <v>0</v>
      </c>
      <c r="G39" s="1019" t="n"/>
      <c r="H39" s="799" t="n"/>
      <c r="I39" s="1167" t="n"/>
      <c r="J39" s="1167" t="n"/>
      <c r="K39" s="1168" t="n"/>
      <c r="L39" s="1168" t="n"/>
    </row>
    <row r="40" s="3154" customFormat="1" ht="17.25" customHeight="1">
      <c r="A40" s="1167" t="n"/>
      <c r="B40" s="833" t="n"/>
      <c r="C40" s="1029" t="n"/>
      <c r="D40" s="1028" t="inlineStr">
        <is>
          <t xml:space="preserve">Construction Feasibility Analysis</t>
        </is>
      </c>
      <c r="E40" s="3485" t="n">
        <v>0</v>
      </c>
      <c r="F40" s="3477" t="n">
        <f t="array" ref="F40">E40/$F$1</f>
        <v>0</v>
      </c>
      <c r="G40" s="1030" t="n"/>
      <c r="H40" s="1031" t="n"/>
      <c r="I40" s="1032" t="n"/>
      <c r="J40" s="1167" t="n"/>
      <c r="K40" s="1168" t="n"/>
      <c r="L40" s="1168" t="n"/>
    </row>
    <row r="41" s="3154" customFormat="1" ht="17.25" customHeight="1">
      <c r="A41" s="1167" t="n"/>
      <c r="B41" s="833" t="n"/>
      <c r="C41" s="991" t="n"/>
      <c r="D41" s="1028" t="inlineStr">
        <is>
          <t xml:space="preserve">Loan packaging fee- Ask banker (How meant points to do the deal) </t>
        </is>
      </c>
      <c r="E41" s="3485" t="n">
        <v>35000</v>
      </c>
      <c r="F41" s="3477" t="n">
        <f t="array" ref="F41">E41/$F$1</f>
        <v>350</v>
      </c>
      <c r="G41" s="1030" t="n"/>
      <c r="H41" s="1031" t="n"/>
      <c r="I41" s="1032" t="n"/>
      <c r="J41" s="1167" t="n"/>
      <c r="K41" s="1168" t="n"/>
      <c r="L41" s="1168" t="n"/>
    </row>
    <row r="42" s="3154" customFormat="1" ht="17.25" customHeight="1">
      <c r="A42" s="1167" t="n"/>
      <c r="B42" s="833" t="n"/>
      <c r="C42" s="991" t="n"/>
      <c r="D42" s="1028" t="inlineStr">
        <is>
          <t xml:space="preserve">Mitigation Land Costs </t>
        </is>
      </c>
      <c r="E42" s="3485" t="n">
        <v>0</v>
      </c>
      <c r="F42" s="3477" t="n"/>
      <c r="G42" s="1030" t="n"/>
      <c r="H42" s="1031" t="n"/>
      <c r="I42" s="1032" t="n"/>
      <c r="J42" s="1167" t="n"/>
      <c r="K42" s="1168" t="n"/>
      <c r="L42" s="1168" t="n"/>
    </row>
    <row r="43" s="3154" customFormat="1" ht="17.25" customHeight="1">
      <c r="A43" s="1167" t="n"/>
      <c r="B43" s="833" t="n"/>
      <c r="C43" s="991" t="n"/>
      <c r="D43" s="1028" t="inlineStr">
        <is>
          <t xml:space="preserve">Permits and Sewer Connection Fees- 1% of construction</t>
        </is>
      </c>
      <c r="E43" s="3485" t="n">
        <f t="array" ref="E43">E38*B43</f>
        <v>0</v>
      </c>
      <c r="F43" s="3477" t="n">
        <f t="array" ref="F43">E43/$F$1</f>
        <v>0</v>
      </c>
      <c r="G43" s="1030" t="n"/>
      <c r="H43" s="1031" t="n"/>
      <c r="I43" s="1032" t="n"/>
      <c r="J43" s="1167" t="n"/>
      <c r="K43" s="1168" t="n"/>
      <c r="L43" s="1168" t="n"/>
    </row>
    <row r="44" s="3154" customFormat="1" ht="17.25" customHeight="1">
      <c r="A44" s="1167" t="n"/>
      <c r="B44" s="833" t="n"/>
      <c r="C44" s="991" t="n"/>
      <c r="D44" s="1028" t="inlineStr">
        <is>
          <t xml:space="preserve">Phase 2 EPA Development Costs- Pending 1st EPA report</t>
        </is>
      </c>
      <c r="E44" s="3485" t="n">
        <v>0</v>
      </c>
      <c r="F44" s="3477" t="n">
        <f t="array" ref="F44">E44/$F$1</f>
        <v>0</v>
      </c>
      <c r="G44" s="1030" t="n"/>
      <c r="H44" s="1031" t="n"/>
      <c r="I44" s="1032" t="n"/>
      <c r="J44" s="1167" t="n"/>
      <c r="K44" s="1168" t="n"/>
      <c r="L44" s="1168" t="n"/>
    </row>
    <row r="45" s="3154" customFormat="1" ht="17.25" customHeight="1">
      <c r="A45" s="1167" t="n"/>
      <c r="B45" s="833" t="n"/>
      <c r="C45" s="991" t="n"/>
      <c r="D45" s="1028" t="inlineStr">
        <is>
          <t xml:space="preserve">Rounding Fee (ask banker)</t>
        </is>
      </c>
      <c r="E45" s="3485" t="n">
        <v>0</v>
      </c>
      <c r="F45" s="3477" t="n">
        <f t="array" ref="F45">E45/$F$1</f>
        <v>0</v>
      </c>
      <c r="G45" s="1030" t="n"/>
      <c r="H45" s="1031" t="n"/>
      <c r="I45" s="1032" t="n"/>
      <c r="J45" s="1167" t="n"/>
      <c r="K45" s="1168" t="n"/>
      <c r="L45" s="1168" t="n"/>
    </row>
    <row r="46" s="3154" customFormat="1" ht="17.25" customHeight="1">
      <c r="A46" s="1167" t="n"/>
      <c r="B46" s="833" t="n"/>
      <c r="C46" s="1033" t="n"/>
      <c r="D46" s="1034" t="inlineStr">
        <is>
          <t xml:space="preserve">Survey, Title, Recording &amp; Escrow (estimate)</t>
        </is>
      </c>
      <c r="E46" s="3476" t="n">
        <v>25000</v>
      </c>
      <c r="F46" s="3477" t="n">
        <f t="array" ref="F46">E46/$F$1</f>
        <v>250</v>
      </c>
      <c r="G46" s="1030" t="n"/>
      <c r="H46" s="1031" t="n"/>
      <c r="I46" s="1032" t="n"/>
      <c r="J46" s="1167" t="n"/>
      <c r="K46" s="1168" t="n"/>
      <c r="L46" s="1168" t="n"/>
    </row>
    <row r="47" s="3154" customFormat="1" ht="17.25" customHeight="1">
      <c r="A47" s="1167" t="n"/>
      <c r="B47" s="833" t="n"/>
      <c r="C47" s="1035" t="n">
        <v>5</v>
      </c>
      <c r="D47" s="1036" t="inlineStr">
        <is>
          <t xml:space="preserve">Total OTHER Development Costs That can be packaged in the loan</t>
        </is>
      </c>
      <c r="E47" s="3476" t="n">
        <f t="array" ref="E47">SUM(E34:E46)</f>
        <v>223326.068835</v>
      </c>
      <c r="F47" s="3477" t="n">
        <f t="array" ref="F47">E47/$F$1</f>
        <v>2233.26068835</v>
      </c>
      <c r="G47" s="1030" t="n"/>
      <c r="H47" s="1031" t="n"/>
      <c r="I47" s="1032" t="n"/>
      <c r="J47" s="1167" t="n"/>
      <c r="K47" s="1168" t="n"/>
      <c r="L47" s="1168" t="n"/>
    </row>
    <row r="48" s="3154" customFormat="1" ht="16.5" customHeight="1">
      <c r="A48" s="1167" t="n"/>
      <c r="B48" s="833" t="n"/>
      <c r="C48" s="1037" t="n">
        <v>6</v>
      </c>
      <c r="D48" s="1038" t="inlineStr">
        <is>
          <t xml:space="preserve">Total Loan w/ HCC, IR Bridge Loan &amp; IB (Insurance Bond) Costs &amp; ODC</t>
        </is>
      </c>
      <c r="E48" s="3493" t="n">
        <f t="array" ref="E48">E31+E47</f>
        <v>6156368.822235</v>
      </c>
      <c r="F48" s="3477" t="n">
        <f t="array" ref="F48">E48/$F$1</f>
        <v>61563.68822235</v>
      </c>
      <c r="G48" s="1030" t="n"/>
      <c r="H48" s="1031" t="n"/>
      <c r="I48" s="1032" t="n"/>
      <c r="J48" s="1167" t="n"/>
      <c r="K48" s="1168" t="n"/>
      <c r="L48" s="1168" t="n"/>
    </row>
    <row r="49" s="3154" customFormat="1" ht="17.25" customHeight="1">
      <c r="A49" s="1167" t="n"/>
      <c r="B49" s="833" t="n"/>
      <c r="C49" s="1040" t="n"/>
      <c r="D49" s="1041" t="inlineStr">
        <is>
          <t xml:space="preserve">SBA "Ineligible" 504 Project Costs</t>
        </is>
      </c>
      <c r="E49" s="3476" t="n">
        <v>0</v>
      </c>
      <c r="F49" s="3477" t="n">
        <f t="array" ref="F49">E49/$F$1</f>
        <v>0</v>
      </c>
      <c r="G49" s="1030" t="n"/>
      <c r="H49" s="1031" t="n"/>
      <c r="I49" s="1032" t="n"/>
      <c r="J49" s="1167" t="n"/>
      <c r="K49" s="1168" t="n"/>
      <c r="L49" s="1168" t="n"/>
    </row>
    <row r="50" s="3154" customFormat="1" ht="17.25" customHeight="1">
      <c r="A50" s="1167" t="n"/>
      <c r="B50" s="833" t="n"/>
      <c r="C50" s="1042" t="n"/>
      <c r="D50" s="1034" t="inlineStr">
        <is>
          <t xml:space="preserve">Other 7a Project Disbursement Categories-List</t>
        </is>
      </c>
      <c r="E50" s="3476" t="n">
        <v>0</v>
      </c>
      <c r="F50" s="3477" t="n">
        <f t="array" ref="F50">E50/$F$1</f>
        <v>0</v>
      </c>
      <c r="G50" s="1030" t="n"/>
      <c r="H50" s="1031" t="n"/>
      <c r="I50" s="1032" t="n"/>
      <c r="J50" s="1167" t="n"/>
      <c r="K50" s="1168" t="n"/>
      <c r="L50" s="1168" t="n"/>
    </row>
    <row r="51" s="3154" customFormat="1" ht="17.25" customHeight="1">
      <c r="A51" s="1167" t="n"/>
      <c r="B51" s="833" t="n"/>
      <c r="C51" s="1043" t="n">
        <v>7</v>
      </c>
      <c r="D51" s="1038" t="inlineStr">
        <is>
          <t xml:space="preserve">TOTAL LOAN CUMULATIVE TOTAL </t>
        </is>
      </c>
      <c r="E51" s="3476" t="n">
        <f>E48</f>
        <v>6156368.822235</v>
      </c>
      <c r="F51" s="3477" t="n">
        <f t="array" ref="F51">E51/$F$1</f>
        <v>61563.68822235</v>
      </c>
      <c r="G51" s="1030" t="n"/>
      <c r="H51" s="1031" t="n"/>
      <c r="I51" s="1032" t="n"/>
      <c r="J51" s="1167" t="n"/>
      <c r="K51" s="1168" t="n"/>
      <c r="L51" s="1168" t="n"/>
    </row>
    <row r="52" s="3154" customFormat="1" ht="17.25" customHeight="1">
      <c r="A52" s="1167" t="n"/>
      <c r="B52" s="833" t="n"/>
      <c r="C52" s="1044" t="n">
        <v>8</v>
      </c>
      <c r="D52" s="1045" t="inlineStr">
        <is>
          <t>20% Equity / Down Payment</t>
        </is>
      </c>
      <c r="E52" s="3493" t="n">
        <f>E48*20%</f>
        <v>1231273.764447</v>
      </c>
      <c r="F52" s="3477" t="n">
        <f t="array" ref="F52">E52/F1</f>
        <v>12312.73764447</v>
      </c>
      <c r="G52" s="1030" t="n"/>
      <c r="H52" s="1046" t="n">
        <v>0.2</v>
      </c>
      <c r="I52" s="1047" t="inlineStr">
        <is>
          <t>20% Down Payment</t>
        </is>
      </c>
      <c r="J52" s="1167" t="n"/>
      <c r="K52" s="1168" t="n"/>
      <c r="L52" s="1168" t="n"/>
    </row>
    <row r="53" s="3154" customFormat="1" ht="16.5" customHeight="1">
      <c r="A53" s="1167" t="n"/>
      <c r="B53" s="833" t="n"/>
      <c r="C53" s="1044" t="n">
        <v>9</v>
      </c>
      <c r="D53" s="1048" t="inlineStr">
        <is>
          <t>Loan After 20% Down Payment / Bank Package</t>
        </is>
      </c>
      <c r="E53" s="3494" t="n">
        <f>E51-E52</f>
        <v>4925095.057788</v>
      </c>
      <c r="F53" s="3494" t="n">
        <f t="array" ref="F53">E53/F1</f>
        <v>49250.95057788</v>
      </c>
      <c r="G53" s="1050" t="n"/>
      <c r="H53" s="1031" t="n"/>
      <c r="I53" s="150" t="n"/>
      <c r="J53" s="1167" t="n"/>
      <c r="K53" s="1168" t="n"/>
      <c r="L53" s="1168" t="n"/>
    </row>
    <row r="54" s="3154" customFormat="1" ht="15.75" customHeight="1">
      <c r="A54" s="1167" t="n"/>
      <c r="B54" s="1167" t="n"/>
      <c r="C54" s="1051" t="n"/>
      <c r="D54" s="1052" t="n"/>
      <c r="E54" s="3495" t="n"/>
      <c r="F54" s="1052" t="n"/>
      <c r="G54" s="1030" t="n"/>
      <c r="H54" s="1031" t="n"/>
      <c r="I54" s="1032" t="n"/>
      <c r="J54" s="1167" t="n"/>
      <c r="K54" s="1168" t="n"/>
      <c r="L54" s="1168" t="n"/>
    </row>
    <row r="55" s="3154" customFormat="1" ht="15.75" customHeight="1">
      <c r="A55" s="1167" t="n"/>
      <c r="B55" s="1167" t="n"/>
      <c r="C55" s="1054" t="inlineStr">
        <is>
          <t xml:space="preserve">          BORROWER ACKNOWLEDGEMENT OF BUDGET</t>
        </is>
      </c>
      <c r="D55" s="1055" t="inlineStr">
        <is>
          <t xml:space="preserve">BORROWER ACKNOWLEDGEMENT OF BUDGET   X</t>
        </is>
      </c>
      <c r="E55" s="3496" t="n"/>
      <c r="F55" s="3497" t="n"/>
      <c r="G55" s="3498" t="n"/>
      <c r="H55" s="1057" t="n"/>
      <c r="I55" s="1058" t="n"/>
      <c r="J55" s="1167" t="n"/>
      <c r="K55" s="1168" t="n"/>
      <c r="L55" s="1168" t="n"/>
    </row>
    <row r="56" s="3154" customFormat="1" ht="8" customHeight="1">
      <c r="A56" s="1167" t="n"/>
      <c r="B56" s="1167" t="n"/>
      <c r="C56" s="1059" t="n"/>
      <c r="D56" s="1060" t="n"/>
      <c r="E56" s="3499" t="n"/>
      <c r="F56" s="1062" t="n"/>
      <c r="G56" s="1063" t="n"/>
      <c r="H56" s="799" t="n"/>
      <c r="I56" s="1167" t="n"/>
      <c r="J56" s="1167" t="n"/>
      <c r="K56" s="1168" t="n"/>
      <c r="L56" s="1168" t="n"/>
    </row>
    <row r="57" s="3154" customFormat="1" ht="12" customHeight="1">
      <c r="A57" s="1167" t="n"/>
      <c r="B57" s="1167" t="n"/>
      <c r="C57" s="1167" t="n"/>
      <c r="D57" s="150" t="n"/>
      <c r="E57" s="1167" t="n"/>
      <c r="F57" s="789" t="n"/>
      <c r="G57" s="789" t="n"/>
      <c r="H57" s="1167" t="n"/>
      <c r="I57" s="1167" t="n"/>
      <c r="J57" s="1167" t="n"/>
      <c r="K57" s="1168" t="n"/>
      <c r="L57" s="1168" t="n"/>
    </row>
  </sheetData>
  <mergeCells>
    <mergeCell ref="E55:G55"/>
  </mergeCells>
  <conditionalFormatting sqref="C1:C1 E2:E2 E55:G55 E56:E56 F26:F26 H26:H26">
    <cfRule type="cellIs" dxfId="0" priority="1" stopIfTrue="1" operator="lessThan">
      <formula>0</formula>
    </cfRule>
  </conditionalFormatting>
  <pageMargins left="0.7" right="0.7" top="0.75" bottom="0.75" header="0.3" footer="0.3"/>
  <drawing r:id="Rc7cc1e2ea0e14fc2"/>
</worksheet>
</file>

<file path=xl/worksheets/sheet6.xml><?xml version="1.0" encoding="utf-8"?>
<worksheet xmlns="http://schemas.openxmlformats.org/spreadsheetml/2006/main" xmlns:r="http://schemas.openxmlformats.org/officeDocument/2006/relationships">
  <sheetViews>
    <sheetView showGridLines="0" workbookViewId="0"/>
  </sheetViews>
  <sheetFormatPr baseColWidth="8" defaultColWidth="8.666669845581055" defaultRowHeight="15"/>
  <cols>
    <col min="1" max="1" width="4.671879768371582" style="3136" customWidth="1"/>
    <col min="2" max="2" width="13.35159969329834" style="3136" customWidth="1"/>
    <col min="3" max="3" width="15.5" style="3136" customWidth="1"/>
    <col min="4" max="4" width="15.35159969329834" style="3136" customWidth="1"/>
    <col min="5" max="5" width="12.171899795532227" style="3136" customWidth="1"/>
    <col min="6" max="6" width="14.5" style="3136" customWidth="1"/>
    <col min="7" max="7" width="14.171899795532227" style="3136" customWidth="1"/>
    <col min="8" max="8" width="15.35159969329834" style="3136" customWidth="1"/>
    <col min="9" max="9" width="14.671899795532227" style="3136" customWidth="1"/>
    <col min="10" max="10" width="13" style="3136" customWidth="1"/>
    <col min="11" max="11" width="13.35159969329834" style="3136" customWidth="1"/>
    <col min="12" max="12" width="11.171899795532227" style="3136" customWidth="1"/>
    <col min="13" max="13" width="9.171879768371582" style="3136" customWidth="1"/>
    <col min="14" max="24" width="8.671879768371582" style="3136" customWidth="1"/>
    <col min="25" max="25" width="15.35159969329834" style="3136" customWidth="1"/>
    <col min="26" max="16384" width="8.671879768371582" style="3136" customWidth="1"/>
  </cols>
  <sheetData>
    <row r="1" s="3154" customFormat="1" ht="24" customHeight="1">
      <c r="A1" s="1065" t="inlineStr">
        <is>
          <t xml:space="preserve">Loan Amortization Schedule</t>
        </is>
      </c>
      <c r="B1" s="3202" t="n"/>
      <c r="C1" s="3202" t="n"/>
      <c r="D1" s="3202" t="n"/>
      <c r="E1" s="1067" t="n"/>
      <c r="F1" s="1067" t="n"/>
      <c r="G1" s="1067" t="n"/>
      <c r="H1" s="1067" t="n"/>
      <c r="I1" s="1067" t="n"/>
      <c r="J1" s="1067" t="n"/>
      <c r="K1" s="666" t="n"/>
      <c r="L1" s="1167" t="n"/>
      <c r="M1" s="1167" t="n"/>
      <c r="N1" s="1168" t="n"/>
      <c r="O1" s="1168" t="n"/>
      <c r="P1" s="1168" t="n"/>
      <c r="Q1" s="1168" t="n"/>
      <c r="R1" s="1168" t="n"/>
      <c r="S1" s="1168" t="n"/>
      <c r="T1" s="1168" t="n"/>
      <c r="U1" s="1168" t="n"/>
      <c r="V1" s="1168" t="n"/>
      <c r="W1" s="1168" t="n"/>
      <c r="X1" s="1168" t="n"/>
      <c r="Y1" s="1167" t="n"/>
    </row>
    <row r="2" s="3154" customFormat="1" ht="8" customHeight="1">
      <c r="A2" s="1068" t="n"/>
      <c r="B2" s="1069" t="n"/>
      <c r="C2" s="1069" t="n"/>
      <c r="D2" s="1069" t="n"/>
      <c r="E2" s="1069" t="n"/>
      <c r="F2" s="1069" t="n"/>
      <c r="G2" s="1069" t="n"/>
      <c r="H2" s="1069" t="n"/>
      <c r="I2" s="1069" t="n"/>
      <c r="J2" s="1069" t="n"/>
      <c r="K2" s="666" t="n"/>
      <c r="L2" s="1167" t="n"/>
      <c r="M2" s="1167" t="n"/>
      <c r="N2" s="1168" t="n"/>
      <c r="O2" s="1168" t="n"/>
      <c r="P2" s="1168" t="n"/>
      <c r="Q2" s="1168" t="n"/>
      <c r="R2" s="1168" t="n"/>
      <c r="S2" s="1168" t="n"/>
      <c r="T2" s="1168" t="n"/>
      <c r="U2" s="1168" t="n"/>
      <c r="V2" s="1168" t="n"/>
      <c r="W2" s="1168" t="n"/>
      <c r="X2" s="1168" t="n"/>
      <c r="Y2" s="1167" t="n"/>
    </row>
    <row r="3" s="3154" customFormat="1" ht="20.25" customHeight="1">
      <c r="A3" s="1070" t="n"/>
      <c r="B3" s="1071">
        <f>'JYI-Bank Loans'!E53</f>
        <v>4925095.057788</v>
      </c>
      <c r="C3" s="1071" t="n"/>
      <c r="D3" s="1071" t="n"/>
      <c r="E3" s="1072" t="n"/>
      <c r="F3" s="1071" t="n"/>
      <c r="G3" s="1071" t="n"/>
      <c r="H3" s="1071" t="n"/>
      <c r="I3" s="1072" t="n"/>
      <c r="J3" s="1073" t="n"/>
      <c r="K3" s="666" t="n"/>
      <c r="L3" s="1167" t="n"/>
      <c r="M3" s="1167" t="n"/>
      <c r="N3" s="1168" t="n"/>
      <c r="O3" s="1168" t="n"/>
      <c r="P3" s="1168" t="n"/>
      <c r="Q3" s="1168" t="n"/>
      <c r="R3" s="1168" t="n"/>
      <c r="S3" s="1168" t="n"/>
      <c r="T3" s="1168" t="n"/>
      <c r="U3" s="1168" t="n"/>
      <c r="V3" s="1168" t="n"/>
      <c r="W3" s="1168" t="n"/>
      <c r="X3" s="1168" t="n"/>
      <c r="Y3" s="1167" t="n"/>
    </row>
    <row r="4" s="3154" customFormat="1" ht="14.25" customHeight="1">
      <c r="A4" s="1074" t="n"/>
      <c r="B4" s="1075" t="inlineStr">
        <is>
          <t xml:space="preserve">Enter values</t>
        </is>
      </c>
      <c r="C4" s="3500" t="n"/>
      <c r="D4" s="3501" t="n"/>
      <c r="E4" s="1077" t="n"/>
      <c r="F4" s="1075" t="inlineStr">
        <is>
          <t xml:space="preserve">Loan summary</t>
        </is>
      </c>
      <c r="G4" s="3500" t="n"/>
      <c r="H4" s="3501" t="n"/>
      <c r="I4" s="1078" t="n"/>
      <c r="J4" s="1079" t="inlineStr">
        <is>
          <t xml:space="preserve">Annual Mortgage paymants</t>
        </is>
      </c>
      <c r="K4" s="666" t="n"/>
      <c r="L4" s="1167" t="n"/>
      <c r="M4" s="1167" t="n"/>
      <c r="N4" s="1168" t="n"/>
      <c r="O4" s="1168" t="n"/>
      <c r="P4" s="1168" t="n"/>
      <c r="Q4" s="1168" t="n"/>
      <c r="R4" s="1168" t="n"/>
      <c r="S4" s="1168" t="n"/>
      <c r="T4" s="1168" t="n"/>
      <c r="U4" s="1168" t="n"/>
      <c r="V4" s="1168" t="n"/>
      <c r="W4" s="1168" t="n"/>
      <c r="X4" s="1168" t="n"/>
      <c r="Y4" s="1167" t="n"/>
    </row>
    <row r="5" s="3154" customFormat="1" ht="14.25" customHeight="1">
      <c r="A5" s="1074" t="n"/>
      <c r="B5" s="1080" t="n"/>
      <c r="C5" s="1081" t="inlineStr">
        <is>
          <t xml:space="preserve">Loan amount</t>
        </is>
      </c>
      <c r="D5" s="3502">
        <f>'JYI-Bank Loans'!E53</f>
        <v>4925095.057788</v>
      </c>
      <c r="E5" s="1077" t="n"/>
      <c r="F5" s="1080" t="n"/>
      <c r="G5" s="1081" t="inlineStr">
        <is>
          <t xml:space="preserve">Scheduled payment</t>
        </is>
      </c>
      <c r="H5" s="3503">
        <f t="array" ref="H5">-PMT($D$6/$D$8,$D$7*$D$8,$D$5)</f>
        <v>33254.5945333633</v>
      </c>
      <c r="I5" s="3504" t="n"/>
      <c r="K5" s="666" t="n"/>
      <c r="L5" s="1167" t="n"/>
      <c r="M5" s="1167" t="n"/>
      <c r="N5" s="1168" t="n"/>
      <c r="O5" s="1168" t="n"/>
      <c r="P5" s="1168" t="n"/>
      <c r="Q5" s="1168" t="n"/>
      <c r="R5" s="1168" t="n"/>
      <c r="S5" s="1168" t="n"/>
      <c r="T5" s="1168" t="n"/>
      <c r="U5" s="1168" t="n"/>
      <c r="V5" s="1168" t="n"/>
      <c r="W5" s="1168" t="n"/>
      <c r="X5" s="1168" t="n"/>
      <c r="Y5" s="1167" t="n"/>
    </row>
    <row r="6" s="3154" customFormat="1" ht="14.25" customHeight="1">
      <c r="A6" s="1074" t="n"/>
      <c r="B6" s="1086" t="n"/>
      <c r="C6" s="1087" t="inlineStr">
        <is>
          <t xml:space="preserve">Annual interest rate</t>
        </is>
      </c>
      <c r="D6" s="3505" t="n">
        <v>0.065</v>
      </c>
      <c r="E6" s="1077" t="n"/>
      <c r="F6" s="1086" t="n"/>
      <c r="G6" s="1087" t="inlineStr">
        <is>
          <t xml:space="preserve">Scheduled number of payments</t>
        </is>
      </c>
      <c r="H6" s="3506">
        <f t="array" ref="H6">$D$7*$D$8</f>
        <v>300</v>
      </c>
      <c r="I6" s="3507" t="n"/>
      <c r="K6" s="666" t="n"/>
      <c r="L6" s="1167" t="n"/>
      <c r="M6" s="1167" t="n"/>
      <c r="N6" s="1168" t="n"/>
      <c r="O6" s="1168" t="n"/>
      <c r="P6" s="1168" t="n"/>
      <c r="Q6" s="1168" t="n"/>
      <c r="R6" s="1168" t="n"/>
      <c r="S6" s="1168" t="n"/>
      <c r="T6" s="1168" t="n"/>
      <c r="U6" s="1168" t="n"/>
      <c r="V6" s="1168" t="n"/>
      <c r="W6" s="1168" t="n"/>
      <c r="X6" s="1168" t="n"/>
      <c r="Y6" s="1167" t="n"/>
    </row>
    <row r="7" s="3154" customFormat="1" ht="14.25" customHeight="1">
      <c r="A7" s="1074" t="n"/>
      <c r="B7" s="1086">
        <f>$H$5</f>
        <v>33254.5945333633</v>
      </c>
      <c r="C7" s="1087" t="inlineStr">
        <is>
          <t xml:space="preserve">Loan period in years</t>
        </is>
      </c>
      <c r="D7" s="3508" t="n">
        <v>25</v>
      </c>
      <c r="E7" s="1077" t="n"/>
      <c r="F7" s="1086" t="n"/>
      <c r="G7" s="1087" t="inlineStr">
        <is>
          <t xml:space="preserve">Actual number of payments</t>
        </is>
      </c>
      <c r="H7" s="3506">
        <f t="array" ref="H7">$H$6</f>
        <v>300</v>
      </c>
      <c r="I7" s="3507" t="n"/>
      <c r="J7" s="3509" t="n"/>
      <c r="K7" s="666" t="n"/>
      <c r="L7" s="1167" t="n"/>
      <c r="M7" s="1167" t="n"/>
      <c r="N7" s="1168" t="n"/>
      <c r="O7" s="1168" t="n"/>
      <c r="P7" s="1168" t="n"/>
      <c r="Q7" s="1168" t="n"/>
      <c r="R7" s="1168" t="n"/>
      <c r="S7" s="1168" t="n"/>
      <c r="T7" s="1168" t="n"/>
      <c r="U7" s="1168" t="n"/>
      <c r="V7" s="1168" t="n"/>
      <c r="W7" s="1168" t="n"/>
      <c r="X7" s="1168" t="n"/>
      <c r="Y7" s="1167" t="n"/>
    </row>
    <row r="8" s="3154" customFormat="1" ht="16.5" customHeight="1">
      <c r="A8" s="1074" t="n"/>
      <c r="B8" s="1086" t="n"/>
      <c r="C8" s="1087" t="inlineStr">
        <is>
          <t xml:space="preserve">Number of payments per year</t>
        </is>
      </c>
      <c r="D8" s="3508" t="n">
        <v>12</v>
      </c>
      <c r="E8" s="1077" t="n"/>
      <c r="F8" s="1086" t="n"/>
      <c r="G8" s="1087" t="inlineStr">
        <is>
          <t xml:space="preserve">Total early payments</t>
        </is>
      </c>
      <c r="H8" s="3503" t="n">
        <v>0</v>
      </c>
      <c r="I8" s="3510" t="n"/>
      <c r="J8" s="3511">
        <f t="array" ref="J8">F24*$D$8</f>
        <v>399055.13440036</v>
      </c>
      <c r="K8" s="793" t="n"/>
      <c r="L8" s="1167" t="n"/>
      <c r="M8" s="1167" t="n"/>
      <c r="N8" s="1168" t="n"/>
      <c r="O8" s="1168" t="n"/>
      <c r="P8" s="1168" t="n"/>
      <c r="Q8" s="1168" t="n"/>
      <c r="R8" s="1168" t="n"/>
      <c r="S8" s="1168" t="n"/>
      <c r="T8" s="1168" t="n"/>
      <c r="U8" s="1168" t="n"/>
      <c r="V8" s="1168" t="n"/>
      <c r="W8" s="1168" t="n"/>
      <c r="X8" s="1168" t="n"/>
      <c r="Y8" s="1167" t="n"/>
    </row>
    <row r="9" s="3154" customFormat="1" ht="15.75" customHeight="1">
      <c r="A9" s="1074" t="n"/>
      <c r="B9" s="1086" t="n"/>
      <c r="C9" s="1087" t="inlineStr">
        <is>
          <t xml:space="preserve">Start date of loan</t>
        </is>
      </c>
      <c r="D9" s="3512" t="n">
        <v>46753</v>
      </c>
      <c r="E9" s="1077" t="n"/>
      <c r="F9" s="1095" t="n"/>
      <c r="G9" s="1096" t="inlineStr">
        <is>
          <t xml:space="preserve">Total interest</t>
        </is>
      </c>
      <c r="H9" s="3503">
        <f t="array" ref="H9">SUM(H18:H377)</f>
        <v>5051283.30222094</v>
      </c>
      <c r="I9" s="3504" t="n"/>
      <c r="J9" s="1097" t="n"/>
      <c r="K9" s="666" t="n"/>
      <c r="L9" s="1167" t="n"/>
      <c r="M9" s="1167" t="n"/>
      <c r="N9" s="1168" t="n"/>
      <c r="O9" s="1168" t="n"/>
      <c r="P9" s="1168" t="n"/>
      <c r="Q9" s="1168" t="n"/>
      <c r="R9" s="1168" t="n"/>
      <c r="S9" s="1168" t="n"/>
      <c r="T9" s="1168" t="n"/>
      <c r="U9" s="1168" t="n"/>
      <c r="V9" s="1168" t="n"/>
      <c r="W9" s="1168" t="n"/>
      <c r="X9" s="1168" t="n"/>
      <c r="Y9" s="1167" t="n"/>
    </row>
    <row r="10" s="3154" customFormat="1" ht="15.75" customHeight="1">
      <c r="A10" s="1074" t="n"/>
      <c r="B10" s="1095" t="n"/>
      <c r="C10" s="1096" t="inlineStr">
        <is>
          <t xml:space="preserve">Optional extra payments</t>
        </is>
      </c>
      <c r="D10" s="3502" t="n">
        <v>0</v>
      </c>
      <c r="E10" s="1098" t="n"/>
      <c r="F10" s="1072" t="n"/>
      <c r="G10" s="1072" t="n"/>
      <c r="H10" s="1072" t="n"/>
      <c r="I10" s="1099" t="n"/>
      <c r="J10" s="1100" t="n"/>
      <c r="K10" s="666" t="n"/>
      <c r="L10" s="1167" t="n"/>
      <c r="M10" s="1167" t="n"/>
      <c r="N10" s="1168" t="n"/>
      <c r="O10" s="1168" t="n"/>
      <c r="P10" s="1168" t="n"/>
      <c r="Q10" s="1168" t="n"/>
      <c r="R10" s="1168" t="n"/>
      <c r="S10" s="1168" t="n"/>
      <c r="T10" s="1168" t="n"/>
      <c r="U10" s="1168" t="n"/>
      <c r="V10" s="1168" t="n"/>
      <c r="W10" s="1168" t="n"/>
      <c r="X10" s="1168" t="n"/>
      <c r="Y10" s="1167" t="n"/>
    </row>
    <row r="11" s="3154" customFormat="1" ht="15" customHeight="1">
      <c r="A11" s="1101" t="n"/>
      <c r="B11" s="1072" t="n"/>
      <c r="C11" s="1071" t="n"/>
      <c r="D11" s="1071" t="n"/>
      <c r="E11" s="1099" t="n"/>
      <c r="F11" s="1099" t="n"/>
      <c r="G11" s="1099" t="n"/>
      <c r="H11" s="1099" t="n"/>
      <c r="I11" s="1099" t="n"/>
      <c r="J11" s="1099" t="n"/>
      <c r="K11" s="666" t="n"/>
      <c r="L11" s="1167" t="n"/>
      <c r="M11" s="1167" t="n"/>
      <c r="N11" s="1168" t="n"/>
      <c r="O11" s="1168" t="n"/>
      <c r="P11" s="1168" t="n"/>
      <c r="Q11" s="1168" t="n"/>
      <c r="R11" s="1168" t="n"/>
      <c r="S11" s="1168" t="n"/>
      <c r="T11" s="1168" t="n"/>
      <c r="U11" s="1168" t="n"/>
      <c r="V11" s="1168" t="n"/>
      <c r="W11" s="1168" t="n"/>
      <c r="X11" s="1168" t="n"/>
      <c r="Y11" s="1167" t="n"/>
    </row>
    <row r="12" s="3154" customFormat="1" ht="15" customHeight="1">
      <c r="A12" s="1101" t="n"/>
      <c r="B12" s="1102" t="inlineStr">
        <is>
          <t xml:space="preserve">Lender name:</t>
        </is>
      </c>
      <c r="C12" s="1103" t="n">
        <v>3400997</v>
      </c>
      <c r="D12" s="3501" t="n"/>
      <c r="E12" s="1104" t="n"/>
      <c r="F12" s="38" t="n"/>
      <c r="G12" s="1099" t="n"/>
      <c r="H12" s="1099" t="n"/>
      <c r="I12" s="1099" t="n"/>
      <c r="J12" s="1099" t="n"/>
      <c r="K12" s="666" t="n"/>
      <c r="L12" s="1167" t="n"/>
      <c r="M12" s="1167" t="n"/>
      <c r="N12" s="1168" t="n"/>
      <c r="O12" s="1168" t="n"/>
      <c r="P12" s="1168" t="n"/>
      <c r="Q12" s="1168" t="n"/>
      <c r="R12" s="1168" t="n"/>
      <c r="S12" s="1168" t="n"/>
      <c r="T12" s="1168" t="n"/>
      <c r="U12" s="1168" t="n"/>
      <c r="V12" s="1168" t="n"/>
      <c r="W12" s="1168" t="n"/>
      <c r="X12" s="1168" t="n"/>
      <c r="Y12" s="1167" t="n"/>
    </row>
    <row r="13" s="3154" customFormat="1" ht="15" customHeight="1">
      <c r="A13" s="1101" t="n"/>
      <c r="B13" s="255" t="n"/>
      <c r="C13" s="1105" t="n"/>
      <c r="D13" s="1105" t="n"/>
      <c r="E13" s="1099" t="n"/>
      <c r="F13" s="1099" t="n"/>
      <c r="G13" s="1099" t="n"/>
      <c r="H13" s="1099" t="n"/>
      <c r="I13" s="1099" t="n"/>
      <c r="J13" s="1099" t="n"/>
      <c r="K13" s="666" t="n"/>
      <c r="L13" s="1167" t="n"/>
      <c r="M13" s="1167" t="n"/>
      <c r="N13" s="1168" t="n"/>
      <c r="O13" s="1168" t="n"/>
      <c r="P13" s="1168" t="n"/>
      <c r="Q13" s="1168" t="n"/>
      <c r="R13" s="1168" t="n"/>
      <c r="S13" s="1168" t="n"/>
      <c r="T13" s="1168" t="n"/>
      <c r="U13" s="1168" t="n"/>
      <c r="V13" s="1168" t="n"/>
      <c r="W13" s="1168" t="n"/>
      <c r="X13" s="1168" t="n"/>
      <c r="Y13" s="1167" t="n"/>
    </row>
    <row r="14" s="3154" customFormat="1" ht="8" customHeight="1">
      <c r="A14" s="1068" t="n"/>
      <c r="B14" s="1069" t="n"/>
      <c r="C14" s="1069" t="n"/>
      <c r="D14" s="1069" t="n"/>
      <c r="E14" s="1069" t="n"/>
      <c r="F14" s="1069" t="n"/>
      <c r="G14" s="1069" t="n"/>
      <c r="H14" s="1069" t="n"/>
      <c r="I14" s="1069" t="n"/>
      <c r="J14" s="1069" t="n"/>
      <c r="K14" s="666" t="n"/>
      <c r="L14" s="1167" t="n"/>
      <c r="M14" s="1167" t="n"/>
      <c r="N14" s="1168" t="n"/>
      <c r="O14" s="1168" t="n"/>
      <c r="P14" s="1168" t="n"/>
      <c r="Q14" s="1168" t="n"/>
      <c r="R14" s="1168" t="n"/>
      <c r="S14" s="1168" t="n"/>
      <c r="T14" s="1168" t="n"/>
      <c r="U14" s="1168" t="n"/>
      <c r="V14" s="1168" t="n"/>
      <c r="W14" s="1168" t="n"/>
      <c r="X14" s="1168" t="n"/>
      <c r="Y14" s="1167" t="n"/>
    </row>
    <row r="15" s="3154" customFormat="1" ht="8" customHeight="1">
      <c r="A15" s="1106" t="n"/>
      <c r="B15" s="1073" t="n"/>
      <c r="C15" s="1073" t="n"/>
      <c r="D15" s="1073" t="n"/>
      <c r="E15" s="1073" t="n"/>
      <c r="F15" s="1073" t="n"/>
      <c r="G15" s="1073" t="n"/>
      <c r="H15" s="1073" t="n"/>
      <c r="I15" s="1073" t="n"/>
      <c r="J15" s="1073" t="n"/>
      <c r="K15" s="666" t="n"/>
      <c r="L15" s="1167" t="n"/>
      <c r="M15" s="1167" t="n"/>
      <c r="N15" s="1168" t="n"/>
      <c r="O15" s="1168" t="n"/>
      <c r="P15" s="1168" t="n"/>
      <c r="Q15" s="1168" t="n"/>
      <c r="R15" s="1168" t="n"/>
      <c r="S15" s="1168" t="n"/>
      <c r="T15" s="1168" t="n"/>
      <c r="U15" s="1168" t="n"/>
      <c r="V15" s="1168" t="n"/>
      <c r="W15" s="1168" t="n"/>
      <c r="X15" s="1168" t="n"/>
      <c r="Y15" s="1167" t="n"/>
    </row>
    <row r="16" s="3154" customFormat="1" ht="28.5" customHeight="1">
      <c r="A16" s="1107" t="inlineStr">
        <is>
          <t xml:space="preserve">PmtNo.</t>
        </is>
      </c>
      <c r="B16" s="1108" t="inlineStr">
        <is>
          <t xml:space="preserve">Payment Date</t>
        </is>
      </c>
      <c r="C16" s="1108" t="inlineStr">
        <is>
          <t xml:space="preserve">Beginning Balance</t>
        </is>
      </c>
      <c r="D16" s="1108" t="inlineStr">
        <is>
          <t xml:space="preserve">Scheduled Payment</t>
        </is>
      </c>
      <c r="E16" s="1108" t="inlineStr">
        <is>
          <t xml:space="preserve">Extra Payment</t>
        </is>
      </c>
      <c r="F16" s="1108" t="inlineStr">
        <is>
          <t xml:space="preserve">Total Payment</t>
        </is>
      </c>
      <c r="G16" s="1108" t="inlineStr">
        <is>
          <t xml:space="preserve">Principal</t>
        </is>
      </c>
      <c r="H16" s="1108" t="inlineStr">
        <is>
          <t xml:space="preserve">Interest</t>
        </is>
      </c>
      <c r="I16" s="1108" t="inlineStr">
        <is>
          <t xml:space="preserve">Ending Balance</t>
        </is>
      </c>
      <c r="J16" s="1109" t="inlineStr">
        <is>
          <t xml:space="preserve">Cumulative Interest</t>
        </is>
      </c>
      <c r="K16" s="793" t="n"/>
      <c r="L16" s="1167" t="n"/>
      <c r="M16" s="1167" t="n"/>
      <c r="N16" s="1168" t="n"/>
      <c r="O16" s="1168" t="n"/>
      <c r="P16" s="1168" t="n"/>
      <c r="Q16" s="1168" t="n"/>
      <c r="R16" s="1168" t="n"/>
      <c r="S16" s="1168" t="n"/>
      <c r="T16" s="1168" t="n"/>
      <c r="U16" s="1168" t="n"/>
      <c r="V16" s="1168" t="n"/>
      <c r="W16" s="1168" t="n"/>
      <c r="X16" s="1168" t="n"/>
      <c r="Y16" s="1167" t="n"/>
    </row>
    <row r="17" s="3154" customFormat="1" ht="8" customHeight="1">
      <c r="A17" s="1110" t="n"/>
      <c r="B17" s="1111" t="n"/>
      <c r="C17" s="1111" t="n"/>
      <c r="D17" s="1111" t="n"/>
      <c r="E17" s="1111" t="n"/>
      <c r="F17" s="1111" t="n"/>
      <c r="G17" s="1111" t="n"/>
      <c r="H17" s="1111" t="n"/>
      <c r="I17" s="1111" t="n"/>
      <c r="J17" s="1111" t="n"/>
      <c r="K17" s="666" t="n"/>
      <c r="L17" s="1167" t="n"/>
      <c r="M17" s="1167" t="n"/>
      <c r="N17" s="1168" t="n"/>
      <c r="O17" s="1168" t="n"/>
      <c r="P17" s="1168" t="n"/>
      <c r="Q17" s="1168" t="n"/>
      <c r="R17" s="1168" t="n"/>
      <c r="S17" s="1168" t="n"/>
      <c r="T17" s="1168" t="n"/>
      <c r="U17" s="1168" t="n"/>
      <c r="V17" s="1168" t="n"/>
      <c r="W17" s="1168" t="n"/>
      <c r="X17" s="1168" t="n"/>
      <c r="Y17" s="1167" t="n"/>
    </row>
    <row r="18" s="3154" customFormat="1" ht="12.75" customHeight="1">
      <c r="A18" s="1112">
        <v>1</v>
      </c>
      <c r="B18" s="3513">
        <f t="array" ref="B18">DATE(YEAR($D$9),MONTH($D$9)+1,DAY($D$9))</f>
        <v>46784</v>
      </c>
      <c r="C18" s="3514">
        <f t="array" ref="C18">$D$5</f>
        <v>4925095.057788</v>
      </c>
      <c r="D18" s="3514">
        <f t="array" ref="D18">$H$5</f>
        <v>33254.5945333633</v>
      </c>
      <c r="E18" s="3514">
        <v>0</v>
      </c>
      <c r="F18" s="3514">
        <f t="array" ref="F18">D18+E18</f>
        <v>33254.5945333633</v>
      </c>
      <c r="G18" s="3514">
        <f t="array" ref="G18">F18-H18</f>
        <v>6576.99630367835</v>
      </c>
      <c r="H18" s="3514">
        <f t="array" ref="H18">C18*$D$6/$D$8</f>
        <v>26677.598229685</v>
      </c>
      <c r="I18" s="3514">
        <f t="array" ref="I18">C18-G18</f>
        <v>4918518.06148432</v>
      </c>
      <c r="J18" s="3514">
        <f t="array" ref="J18">H18</f>
        <v>26677.598229685</v>
      </c>
      <c r="K18" s="666"/>
      <c r="L18" s="1167" t="n"/>
      <c r="M18" s="1167" t="n"/>
      <c r="N18" s="1115" t="inlineStr">
        <is>
          <t xml:space="preserve">Baymont Inn &amp; Suites San Angelo, TX</t>
        </is>
      </c>
      <c r="O18" s="1116" t="n"/>
      <c r="P18" s="1116" t="n"/>
      <c r="Q18" s="1116" t="n"/>
      <c r="R18" s="1116" t="n"/>
      <c r="S18" s="1116" t="n"/>
      <c r="T18" s="1116" t="n"/>
      <c r="U18" s="1116" t="n"/>
      <c r="V18" s="1116" t="n"/>
      <c r="W18" s="1168" t="n"/>
      <c r="X18" s="1168" t="n"/>
      <c r="Y18" s="1167" t="n"/>
    </row>
    <row r="19" s="3154" customFormat="1" ht="12.75" customHeight="1">
      <c r="A19" s="1117">
        <f t="array" ref="A19">IF(I18&gt;0.5,A18+1,"")</f>
        <v>2</v>
      </c>
      <c r="B19" s="3515">
        <f t="array" ref="B19">IF(A19&lt;&gt;"",DATE(YEAR($D$9),MONTH($D$9)+A19,DAY($D$9)),"")</f>
        <v>46813</v>
      </c>
      <c r="C19" s="3516">
        <f t="array" ref="C19">IF(A19&lt;&gt;"",I18,"")</f>
        <v>4918518.06148432</v>
      </c>
      <c r="D19" s="3516">
        <f t="array" ref="D19">IF(A19&lt;&gt;"",$H$5,"")</f>
        <v>33254.5945333633</v>
      </c>
      <c r="E19" s="3517">
        <v>0</v>
      </c>
      <c r="F19" s="3516">
        <f t="array" ref="F19">IF(A19&lt;&gt;"",D19+E19,"")</f>
        <v>33254.5945333633</v>
      </c>
      <c r="G19" s="3516">
        <f t="array" ref="G19">IF(A19&lt;&gt;"",F19-H19,0)</f>
        <v>6612.62170032327</v>
      </c>
      <c r="H19" s="3516">
        <f t="array" ref="H19">IF(A19&lt;&gt;"",C19*$D$6/$D$8,0)</f>
        <v>26641.9728330401</v>
      </c>
      <c r="I19" s="3516">
        <f t="array" ref="I19">IF(A19&lt;&gt;"",C19-G19,0)</f>
        <v>4911905.439784</v>
      </c>
      <c r="J19" s="3516">
        <f t="array" ref="J19">IF(A19&lt;&gt;"",J18+H19,J18)</f>
        <v>53319.5710627251</v>
      </c>
      <c r="K19" s="666"/>
      <c r="L19" s="1167" t="n"/>
      <c r="M19" s="1167" t="n"/>
      <c r="N19" s="1121" t="inlineStr">
        <is>
          <t xml:space="preserve">75% LTC</t>
        </is>
      </c>
      <c r="O19" s="1116" t="n"/>
      <c r="P19" s="1116" t="n"/>
      <c r="Q19" s="1116" t="n"/>
      <c r="R19" s="1116" t="n"/>
      <c r="S19" s="1116" t="n"/>
      <c r="T19" s="1116" t="n"/>
      <c r="U19" s="1116" t="n"/>
      <c r="V19" s="1116" t="n"/>
      <c r="W19" s="1168" t="n"/>
      <c r="X19" s="1168" t="n"/>
      <c r="Y19" s="1167" t="n"/>
    </row>
    <row r="20" s="3154" customFormat="1" ht="12.75" customHeight="1">
      <c r="A20" s="1117">
        <f t="array" ref="A20">IF(I19&gt;0.5,A19+1,"")</f>
        <v>3</v>
      </c>
      <c r="B20" s="3515">
        <f t="array" ref="B20">IF(A20&lt;&gt;"",DATE(YEAR($D$9),MONTH($D$9)+A20,DAY($D$9)),"")</f>
        <v>46844</v>
      </c>
      <c r="C20" s="3516">
        <f t="array" ref="C20">IF(A20&lt;&gt;"",I19,"")</f>
        <v>4911905.439784</v>
      </c>
      <c r="D20" s="3516">
        <f t="array" ref="D20">IF(A20&lt;&gt;"",$H$5,"")</f>
        <v>33254.5945333633</v>
      </c>
      <c r="E20" s="3517">
        <v>0</v>
      </c>
      <c r="F20" s="3516">
        <f t="array" ref="F20">IF(A20&lt;&gt;"",D20+E20,"")</f>
        <v>33254.5945333633</v>
      </c>
      <c r="G20" s="3516">
        <f t="array" ref="G20">IF(A20&lt;&gt;"",F20-H20,0)</f>
        <v>6648.44006786669</v>
      </c>
      <c r="H20" s="3516">
        <f t="array" ref="H20">IF(A20&lt;&gt;"",C20*$D$6/$D$8,0)</f>
        <v>26606.1544654967</v>
      </c>
      <c r="I20" s="3516">
        <f t="array" ref="I20">IF(A20&lt;&gt;"",C20-G20,0)</f>
        <v>4905256.99971613</v>
      </c>
      <c r="J20" s="3516">
        <f t="array" ref="J20">IF(A20&lt;&gt;"",J19+H20,J19)</f>
        <v>79925.7255282217</v>
      </c>
      <c r="K20" s="666"/>
      <c r="L20" s="1167" t="n"/>
      <c r="M20" s="1167" t="n"/>
      <c r="N20" s="1121" t="inlineStr">
        <is>
          <t xml:space="preserve">24-36 months I/O at LIBOR +300 (4.25%)</t>
        </is>
      </c>
      <c r="O20" s="1116" t="n"/>
      <c r="P20" s="1116" t="n"/>
      <c r="Q20" s="1116" t="n"/>
      <c r="R20" s="1116" t="n"/>
      <c r="S20" s="1116" t="n"/>
      <c r="T20" s="1116" t="n"/>
      <c r="U20" s="1116" t="n"/>
      <c r="V20" s="1116" t="n"/>
      <c r="W20" s="1168" t="n"/>
      <c r="X20" s="1168" t="n"/>
      <c r="Y20" s="1167" t="n"/>
    </row>
    <row r="21" s="3154" customFormat="1" ht="12.75" customHeight="1">
      <c r="A21" s="1117">
        <f t="array" ref="A21">IF(I20&gt;0.5,A20+1,"")</f>
        <v>4</v>
      </c>
      <c r="B21" s="3515">
        <f t="array" ref="B21">IF(A21&lt;&gt;"",DATE(YEAR($D$9),MONTH($D$9)+A21,DAY($D$9)),"")</f>
        <v>46874</v>
      </c>
      <c r="C21" s="3516">
        <f t="array" ref="C21">IF(A21&lt;&gt;"",I20,"")</f>
        <v>4905256.99971613</v>
      </c>
      <c r="D21" s="3516">
        <f t="array" ref="D21">IF(A21&lt;&gt;"",$H$5,"")</f>
        <v>33254.5945333633</v>
      </c>
      <c r="E21" s="3517">
        <v>0</v>
      </c>
      <c r="F21" s="3516">
        <f t="array" ref="F21">IF(A21&lt;&gt;"",D21+E21,"")</f>
        <v>33254.5945333633</v>
      </c>
      <c r="G21" s="3516">
        <f t="array" ref="G21">IF(A21&lt;&gt;"",F21-H21,0)</f>
        <v>6684.45245156763</v>
      </c>
      <c r="H21" s="3516">
        <f t="array" ref="H21">IF(A21&lt;&gt;"",C21*$D$6/$D$8,0)</f>
        <v>26570.1420817957</v>
      </c>
      <c r="I21" s="3516">
        <f t="array" ref="I21">IF(A21&lt;&gt;"",C21-G21,0)</f>
        <v>4898572.54726456</v>
      </c>
      <c r="J21" s="3516">
        <f t="array" ref="J21">IF(A21&lt;&gt;"",J20+H21,J20)</f>
        <v>106495.867610017</v>
      </c>
      <c r="K21" s="666"/>
      <c r="L21" s="1167" t="n"/>
      <c r="M21" s="1167" t="n"/>
      <c r="N21" s="1121" t="inlineStr">
        <is>
          <t xml:space="preserve">Roll to perm fixed for 5 years with 30 year amortization</t>
        </is>
      </c>
      <c r="O21" s="1116" t="n"/>
      <c r="P21" s="1116" t="n"/>
      <c r="Q21" s="1116" t="n"/>
      <c r="R21" s="1116" t="n"/>
      <c r="S21" s="1116" t="n"/>
      <c r="T21" s="1116" t="n"/>
      <c r="U21" s="1116" t="n"/>
      <c r="V21" s="1116" t="n"/>
      <c r="W21" s="1168" t="n"/>
      <c r="X21" s="1168" t="n"/>
      <c r="Y21" s="1167" t="n"/>
    </row>
    <row r="22" s="3154" customFormat="1" ht="13.5" customHeight="1">
      <c r="A22" s="1117">
        <f t="array" ref="A22">IF(I21&gt;0.5,A21+1,"")</f>
        <v>5</v>
      </c>
      <c r="B22" s="3515">
        <f t="array" ref="B22">IF(A22&lt;&gt;"",DATE(YEAR($D$9),MONTH($D$9)+A22,DAY($D$9)),"")</f>
        <v>46905</v>
      </c>
      <c r="C22" s="3516">
        <f t="array" ref="C22">IF(A22&lt;&gt;"",I21,"")</f>
        <v>4898572.54726456</v>
      </c>
      <c r="D22" s="3516">
        <f t="array" ref="D22">IF(A22&lt;&gt;"",$H$5,"")</f>
        <v>33254.5945333633</v>
      </c>
      <c r="E22" s="3517">
        <v>0</v>
      </c>
      <c r="F22" s="3516">
        <f t="array" ref="F22">IF(A22&lt;&gt;"",D22+E22,"")</f>
        <v>33254.5945333633</v>
      </c>
      <c r="G22" s="3516">
        <f t="array" ref="G22">IF(A22&lt;&gt;"",F22-H22,0)</f>
        <v>6720.65990234696</v>
      </c>
      <c r="H22" s="3516">
        <f t="array" ref="H22">IF(A22&lt;&gt;"",C22*$D$6/$D$8,0)</f>
        <v>26533.9346310164</v>
      </c>
      <c r="I22" s="3516">
        <f t="array" ref="I22">IF(A22&lt;&gt;"",C22-G22,0)</f>
        <v>4891851.88736222</v>
      </c>
      <c r="J22" s="3516">
        <f t="array" ref="J22">IF(A22&lt;&gt;"",J21+H22,J21)</f>
        <v>133029.802241034</v>
      </c>
      <c r="K22" s="1122"/>
      <c r="L22" s="642" t="n"/>
      <c r="M22" s="1167" t="n"/>
      <c r="N22" s="1121" t="inlineStr">
        <is>
          <t xml:space="preserve">$25K Deposit - goes toward all 3rd party reports</t>
        </is>
      </c>
      <c r="O22" s="1116" t="n"/>
      <c r="P22" s="1116" t="n"/>
      <c r="Q22" s="1116" t="n"/>
      <c r="R22" s="1116" t="n"/>
      <c r="S22" s="1116" t="n"/>
      <c r="T22" s="1116" t="n"/>
      <c r="U22" s="1116" t="n"/>
      <c r="V22" s="1116" t="n"/>
      <c r="W22" s="1168" t="n"/>
      <c r="X22" s="1168" t="n"/>
      <c r="Y22" s="1167" t="n"/>
    </row>
    <row r="23" s="3154" customFormat="1" ht="13.5" customHeight="1">
      <c r="A23" s="1117">
        <f t="array" ref="A23">IF(I22&gt;0.5,A22+1,"")</f>
        <v>6</v>
      </c>
      <c r="B23" s="3515">
        <f t="array" ref="B23">IF(A23&lt;&gt;"",DATE(YEAR($D$9),MONTH($D$9)+A23,DAY($D$9)),"")</f>
        <v>46935</v>
      </c>
      <c r="C23" s="3516">
        <f t="array" ref="C23">IF(A23&lt;&gt;"",I22,"")</f>
        <v>4891851.88736222</v>
      </c>
      <c r="D23" s="3516">
        <f t="array" ref="D23">IF(A23&lt;&gt;"",$H$5,"")</f>
        <v>33254.5945333633</v>
      </c>
      <c r="E23" s="3517">
        <v>0</v>
      </c>
      <c r="F23" s="3516">
        <f t="array" ref="F23">IF(A23&lt;&gt;"",D23+E23,"")</f>
        <v>33254.5945333633</v>
      </c>
      <c r="G23" s="3516">
        <f t="array" ref="G23">IF(A23&lt;&gt;"",F23-H23,0)</f>
        <v>6757.06347681801</v>
      </c>
      <c r="H23" s="3516">
        <f t="array" ref="H23">IF(A23&lt;&gt;"",C23*$D$6/$D$8,0)</f>
        <v>26497.5310565453</v>
      </c>
      <c r="I23" s="3516">
        <f t="array" ref="I23">IF(A23&lt;&gt;"",C23-G23,0)</f>
        <v>4885094.8238854</v>
      </c>
      <c r="J23" s="3518">
        <f t="array" ref="J23">IF(A23&lt;&gt;"",J22+H23,J22)</f>
        <v>159527.333297579</v>
      </c>
      <c r="K23" s="848">
        <is>
          <t xml:space="preserve">Year 1</t>
        </is>
      </c>
      <c r="L23" s="3425" t="n"/>
      <c r="M23" s="793" t="n"/>
      <c r="N23" s="1121" t="inlineStr">
        <is>
          <t xml:space="preserve">2-3 points at closing</t>
        </is>
      </c>
      <c r="O23" s="1168" t="n"/>
      <c r="P23" s="1168" t="n"/>
      <c r="Q23" s="1168" t="n"/>
      <c r="R23" s="1168" t="n"/>
      <c r="S23" s="1168" t="n"/>
      <c r="T23" s="1168" t="n"/>
      <c r="U23" s="1168" t="n"/>
      <c r="V23" s="1168" t="n"/>
      <c r="W23" s="1168" t="n"/>
      <c r="X23" s="1168" t="n"/>
      <c r="Y23" s="1167" t="n"/>
    </row>
    <row r="24" s="3154" customFormat="1" ht="13.5" customHeight="1">
      <c r="A24" s="1117">
        <f t="array" ref="A24">IF(I23&gt;0.5,A23+1,"")</f>
        <v>7</v>
      </c>
      <c r="B24" s="3515">
        <f t="array" ref="B24">IF(A24&lt;&gt;"",DATE(YEAR($D$9),MONTH($D$9)+A24,DAY($D$9)),"")</f>
        <v>46966</v>
      </c>
      <c r="C24" s="3516">
        <f t="array" ref="C24">IF(A24&lt;&gt;"",I23,"")</f>
        <v>4885094.8238854</v>
      </c>
      <c r="D24" s="3516">
        <f t="array" ref="D24">IF(A24&lt;&gt;"",$H$5,"")</f>
        <v>33254.5945333633</v>
      </c>
      <c r="E24" s="3517">
        <v>0</v>
      </c>
      <c r="F24" s="3516">
        <f t="array" ref="F24">IF(A24&lt;&gt;"",D24+E24,"")</f>
        <v>33254.5945333633</v>
      </c>
      <c r="G24" s="3516">
        <f t="array" ref="G24">IF(A24&lt;&gt;"",F24-H24,0)</f>
        <v>6793.66423731744</v>
      </c>
      <c r="H24" s="3516">
        <f t="array" ref="H24">IF(A24&lt;&gt;"",C24*$D$6/$D$8,0)</f>
        <v>26460.9302960459</v>
      </c>
      <c r="I24" s="3516">
        <f t="array" ref="I24">IF(A24&lt;&gt;"",C24-G24,0)</f>
        <v>4878301.15964808</v>
      </c>
      <c r="J24" s="3518">
        <f t="array" ref="J24">IF(A24&lt;&gt;"",J23+H24,J23)</f>
        <v>185988.263593625</v>
      </c>
      <c r="K24" s="942">
        <is>
          <t xml:space="preserve">Intrest</t>
        </is>
      </c>
      <c r="L24" s="3425" t="n"/>
      <c r="M24" s="793" t="n"/>
      <c r="N24" s="1121" t="inlineStr">
        <is>
          <t xml:space="preserve">45-75 day closing</t>
        </is>
      </c>
      <c r="O24" s="1168" t="n"/>
      <c r="P24" s="1168" t="n"/>
      <c r="Q24" s="1168" t="n"/>
      <c r="R24" s="1168" t="n"/>
      <c r="S24" s="1168" t="n"/>
      <c r="T24" s="1168" t="n"/>
      <c r="U24" s="1168" t="n"/>
      <c r="V24" s="1168" t="n"/>
      <c r="W24" s="1168" t="n"/>
      <c r="X24" s="1168" t="n"/>
      <c r="Y24" s="1167" t="n"/>
    </row>
    <row r="25" s="3154" customFormat="1" ht="13.5" customHeight="1">
      <c r="A25" s="1117">
        <f t="array" ref="A25">IF(I24&gt;0.5,A24+1,"")</f>
        <v>8</v>
      </c>
      <c r="B25" s="3515">
        <f t="array" ref="B25">IF(A25&lt;&gt;"",DATE(YEAR($D$9),MONTH($D$9)+A25,DAY($D$9)),"")</f>
        <v>46997</v>
      </c>
      <c r="C25" s="3516">
        <f t="array" ref="C25">IF(A25&lt;&gt;"",I24,"")</f>
        <v>4878301.15964808</v>
      </c>
      <c r="D25" s="3516">
        <f t="array" ref="D25">IF(A25&lt;&gt;"",$H$5,"")</f>
        <v>33254.5945333633</v>
      </c>
      <c r="E25" s="3517">
        <v>0</v>
      </c>
      <c r="F25" s="3516">
        <f t="array" ref="F25">IF(A25&lt;&gt;"",D25+E25,"")</f>
        <v>33254.5945333633</v>
      </c>
      <c r="G25" s="3516">
        <f t="array" ref="G25">IF(A25&lt;&gt;"",F25-H25,0)</f>
        <v>6830.46325193624</v>
      </c>
      <c r="H25" s="3516">
        <f t="array" ref="H25">IF(A25&lt;&gt;"",C25*$D$6/$D$8,0)</f>
        <v>26424.1312814271</v>
      </c>
      <c r="I25" s="3516">
        <f t="array" ref="I25">IF(A25&lt;&gt;"",C25-G25,0)</f>
        <v>4871470.69639615</v>
      </c>
      <c r="J25" s="3518">
        <f t="array" ref="J25">IF(A25&lt;&gt;"",J24+H25,J24)</f>
        <v>212412.394875052</v>
      </c>
      <c r="K25" s="3454">
        <f t="array" ref="K25">SUM(H18:H29)</f>
      </c>
      <c r="L25" s="3425" t="n"/>
      <c r="M25" s="793" t="n"/>
      <c r="N25" s="1121" t="inlineStr">
        <is>
          <t xml:space="preserve">15% Liquidity or a net worth total of guarantors that equals the loan amount</t>
        </is>
      </c>
      <c r="O25" s="1168" t="n"/>
      <c r="P25" s="1168" t="n"/>
      <c r="Q25" s="1168" t="n"/>
      <c r="R25" s="1168" t="n"/>
      <c r="S25" s="1168" t="n"/>
      <c r="T25" s="1168" t="n"/>
      <c r="U25" s="1168" t="n"/>
      <c r="V25" s="1168" t="n"/>
      <c r="W25" s="1168" t="n"/>
      <c r="X25" s="1168" t="n"/>
      <c r="Y25" s="3428" t="n">
        <f t="array" ref="Y25">K25/12</f>
        <v>26478.0772553445</v>
      </c>
    </row>
    <row r="26" s="3154" customFormat="1" ht="13.5" customHeight="1">
      <c r="A26" s="1117">
        <f t="array" ref="A26">IF(I25&gt;0.5,A25+1,"")</f>
        <v>9</v>
      </c>
      <c r="B26" s="3515">
        <f t="array" ref="B26">IF(A26&lt;&gt;"",DATE(YEAR($D$9),MONTH($D$9)+A26,DAY($D$9)),"")</f>
        <v>47027</v>
      </c>
      <c r="C26" s="3516">
        <f t="array" ref="C26">IF(A26&lt;&gt;"",I25,"")</f>
        <v>4871470.69639615</v>
      </c>
      <c r="D26" s="3516">
        <f t="array" ref="D26">IF(A26&lt;&gt;"",$H$5,"")</f>
        <v>33254.5945333633</v>
      </c>
      <c r="E26" s="3517">
        <v>0</v>
      </c>
      <c r="F26" s="3516">
        <f t="array" ref="F26">IF(A26&lt;&gt;"",D26+E26,"")</f>
        <v>33254.5945333633</v>
      </c>
      <c r="G26" s="3516">
        <f t="array" ref="G26">IF(A26&lt;&gt;"",F26-H26,0)</f>
        <v>6867.4615945509</v>
      </c>
      <c r="H26" s="3516">
        <f t="array" ref="H26">IF(A26&lt;&gt;"",C26*$D$6/$D$8,0)</f>
        <v>26387.1329388125</v>
      </c>
      <c r="I26" s="3516">
        <f t="array" ref="I26">IF(A26&lt;&gt;"",C26-G26,0)</f>
        <v>4864603.23480159</v>
      </c>
      <c r="J26" s="3516">
        <f t="array" ref="J26">IF(A26&lt;&gt;"",J25+H26,J25)</f>
        <v>238799.527813865</v>
      </c>
      <c r="K26" s="1125"/>
      <c r="L26" s="652" t="n"/>
      <c r="M26" s="1167" t="n"/>
      <c r="N26" s="1126" t="n"/>
      <c r="O26" s="1127" t="n"/>
      <c r="P26" s="1127" t="n"/>
      <c r="Q26" s="1127" t="n"/>
      <c r="R26" s="1127" t="n"/>
      <c r="S26" s="1127" t="n"/>
      <c r="T26" s="1127" t="n"/>
      <c r="U26" s="1127" t="n"/>
      <c r="V26" s="1127" t="n"/>
      <c r="W26" s="1168" t="n"/>
      <c r="X26" s="1168" t="n"/>
      <c r="Y26" s="1167" t="n"/>
    </row>
    <row r="27" s="3154" customFormat="1" ht="13.5" customHeight="1">
      <c r="A27" s="1117">
        <f t="array" ref="A27">IF(I26&gt;0.5,A26+1,"")</f>
        <v>10</v>
      </c>
      <c r="B27" s="3515">
        <f t="array" ref="B27">IF(A27&lt;&gt;"",DATE(YEAR($D$9),MONTH($D$9)+A27,DAY($D$9)),"")</f>
        <v>47058</v>
      </c>
      <c r="C27" s="3516">
        <f t="array" ref="C27">IF(A27&lt;&gt;"",I26,"")</f>
        <v>4864603.23480159</v>
      </c>
      <c r="D27" s="3516">
        <f t="array" ref="D27">IF(A27&lt;&gt;"",$H$5,"")</f>
        <v>33254.5945333633</v>
      </c>
      <c r="E27" s="3517">
        <v>0</v>
      </c>
      <c r="F27" s="3516">
        <f t="array" ref="F27">IF(A27&lt;&gt;"",D27+E27,"")</f>
        <v>33254.5945333633</v>
      </c>
      <c r="G27" s="3516">
        <f t="array" ref="G27">IF(A27&lt;&gt;"",F27-H27,0)</f>
        <v>6904.66034485471</v>
      </c>
      <c r="H27" s="3516">
        <f t="array" ref="H27">IF(A27&lt;&gt;"",C27*$D$6/$D$8,0)</f>
        <v>26349.9341885086</v>
      </c>
      <c r="I27" s="3516">
        <f t="array" ref="I27">IF(A27&lt;&gt;"",C27-G27,0)</f>
        <v>4857698.57445674</v>
      </c>
      <c r="J27" s="3516">
        <f t="array" ref="J27">IF(A27&lt;&gt;"",J26+H27,J26)</f>
        <v>265149.462002373</v>
      </c>
      <c r="K27" s="1122"/>
      <c r="L27" s="642" t="n"/>
      <c r="M27" s="833" t="n"/>
      <c r="N27" s="1128" t="inlineStr">
        <is>
          <t xml:space="preserve">Life Insurance Program 2</t>
        </is>
      </c>
      <c r="O27" s="1129" t="n"/>
      <c r="P27" s="1129" t="n"/>
      <c r="Q27" s="1129" t="n"/>
      <c r="R27" s="1129" t="n"/>
      <c r="S27" s="1129" t="n"/>
      <c r="T27" s="1129" t="n"/>
      <c r="U27" s="1129" t="n"/>
      <c r="V27" s="1130" t="n"/>
      <c r="W27" s="1131" t="n"/>
      <c r="X27" s="1168" t="n"/>
      <c r="Y27" s="1167" t="n"/>
    </row>
    <row r="28" s="3154" customFormat="1" ht="13.5" customHeight="1">
      <c r="A28" s="1132">
        <f t="array" ref="A28">IF(I27&gt;0.5,A27+1,"")</f>
        <v>11</v>
      </c>
      <c r="B28" s="3519">
        <f t="array" ref="B28">IF(A28&lt;&gt;"",DATE(YEAR($D$9),MONTH($D$9)+A28,DAY($D$9)),"")</f>
        <v>47088</v>
      </c>
      <c r="C28" s="3520">
        <f t="array" ref="C28">IF(A28&lt;&gt;"",I27,"")</f>
        <v>4857698.57445674</v>
      </c>
      <c r="D28" s="3520">
        <f t="array" ref="D28">IF(A28&lt;&gt;"",$H$5,"")</f>
        <v>33254.5945333633</v>
      </c>
      <c r="E28" s="3521">
        <v>0</v>
      </c>
      <c r="F28" s="3520">
        <f t="array" ref="F28">IF(A28&lt;&gt;"",D28+E28,"")</f>
        <v>33254.5945333633</v>
      </c>
      <c r="G28" s="3520">
        <f t="array" ref="G28">IF(A28&lt;&gt;"",F28-H28,0)</f>
        <v>6942.06058838934</v>
      </c>
      <c r="H28" s="3520">
        <f t="array" ref="H28">IF(A28&lt;&gt;"",C28*$D$6/$D$8,0)</f>
        <v>26312.533944974</v>
      </c>
      <c r="I28" s="3520">
        <f t="array" ref="I28">IF(A28&lt;&gt;"",C28-G28,0)</f>
        <v>4850756.51386835</v>
      </c>
      <c r="J28" s="3522">
        <f t="array" ref="J28">IF(A28&lt;&gt;"",J27+H28,J27)</f>
        <v>291461.995947347</v>
      </c>
      <c r="K28" s="942">
        <is>
          <t xml:space="preserve">Principle</t>
        </is>
      </c>
      <c r="L28" s="3425" t="n"/>
      <c r="M28" s="1137" t="n"/>
      <c r="N28" s="1138" t="inlineStr">
        <is>
          <t xml:space="preserve">70% LTC - based off the completed stabilized appraisal value</t>
        </is>
      </c>
      <c r="O28" s="1139" t="n"/>
      <c r="P28" s="1139" t="n"/>
      <c r="Q28" s="1139" t="n"/>
      <c r="R28" s="1139" t="n"/>
      <c r="S28" s="1139" t="n"/>
      <c r="T28" s="1139" t="n"/>
      <c r="U28" s="1139" t="n"/>
      <c r="V28" s="1140" t="n"/>
      <c r="W28" s="1131" t="n"/>
      <c r="X28" s="1168" t="n"/>
      <c r="Y28" s="1167" t="n"/>
    </row>
    <row r="29" s="3154" customFormat="1" ht="13.5" customHeight="1">
      <c r="A29" s="1141">
        <f t="array" ref="A29">IF(I28&gt;0.5,A28+1,"")</f>
        <v>12</v>
      </c>
      <c r="B29" s="3523">
        <f t="array" ref="B29">IF(A29&lt;&gt;"",DATE(YEAR($D$9),MONTH($D$9)+A29,DAY($D$9)),"")</f>
        <v>47119</v>
      </c>
      <c r="C29" s="3524">
        <f t="array" ref="C29">IF(A29&lt;&gt;"",I28,"")</f>
        <v>4850756.51386835</v>
      </c>
      <c r="D29" s="3524">
        <f t="array" ref="D29">IF(A29&lt;&gt;"",$H$5,"")</f>
        <v>33254.5945333633</v>
      </c>
      <c r="E29" s="3525">
        <v>0</v>
      </c>
      <c r="F29" s="3524">
        <f t="array" ref="F29">IF(A29&lt;&gt;"",D29+E29,"")</f>
        <v>33254.5945333633</v>
      </c>
      <c r="G29" s="3524">
        <f t="array" ref="G29">IF(A29&lt;&gt;"",F29-H29,0)</f>
        <v>6979.66341657646</v>
      </c>
      <c r="H29" s="3526">
        <f t="array" ref="H29">IF(A29&lt;&gt;"",C29*$D$6/$D$8,0)</f>
        <v>26274.9311167869</v>
      </c>
      <c r="I29" s="3527">
        <f t="array" ref="I29">IF(A29&lt;&gt;"",C29-G29,0)</f>
        <v>4843776.85045177</v>
      </c>
      <c r="J29" s="3527">
        <f t="array" ref="J29">IF(A29&lt;&gt;"",J28+H29,J28)</f>
        <v>317736.927064134</v>
      </c>
      <c r="K29" s="3528">
        <f t="array" ref="K29">SUM(G18:G29)</f>
        <v>81318.207336226</v>
      </c>
      <c r="L29" s="3425" t="n"/>
      <c r="M29" s="1137" t="n"/>
      <c r="N29" s="1138" t="inlineStr">
        <is>
          <t xml:space="preserve">18-24 months I/O at 4.5-6.5%</t>
        </is>
      </c>
      <c r="O29" s="1139" t="n"/>
      <c r="P29" s="1139" t="n"/>
      <c r="Q29" s="1139" t="n"/>
      <c r="R29" s="1139" t="n"/>
      <c r="S29" s="1139" t="n"/>
      <c r="T29" s="1139" t="n"/>
      <c r="U29" s="1139" t="n"/>
      <c r="V29" s="1140" t="n"/>
      <c r="W29" s="1131" t="n"/>
      <c r="X29" s="1168" t="n"/>
      <c r="Y29" s="3529" t="n">
        <f t="array" ref="Y29">K29/12</f>
        <v>6776.51727801883</v>
      </c>
    </row>
    <row r="30" s="3154" customFormat="1" ht="12.75" customHeight="1">
      <c r="A30" s="1149">
        <f t="array" ref="A30">IF(I29&gt;0.5,A29+1,"")</f>
        <v>13</v>
      </c>
      <c r="B30" s="3530">
        <f t="array" ref="B30">IF(A30&lt;&gt;"",DATE(YEAR($D$9),MONTH($D$9)+A30,DAY($D$9)),"")</f>
        <v>47150</v>
      </c>
      <c r="C30" s="3531">
        <f t="array" ref="C30">IF(A30&lt;&gt;"",I29,"")</f>
        <v>4843776.85045177</v>
      </c>
      <c r="D30" s="3531">
        <f t="array" ref="D30">IF(A30&lt;&gt;"",$H$5,"")</f>
        <v>33254.5945333633</v>
      </c>
      <c r="E30" s="3532">
        <v>0</v>
      </c>
      <c r="F30" s="3531">
        <f t="array" ref="F30">IF(A30&lt;&gt;"",D30+E30,"")</f>
        <v>33254.5945333633</v>
      </c>
      <c r="G30" s="3531">
        <f t="array" ref="G30">IF(A30&lt;&gt;"",F30-H30,0)</f>
        <v>7017.46992674958</v>
      </c>
      <c r="H30" s="3531">
        <f t="array" ref="H30">IF(A30&lt;&gt;"",C30*$D$6/$D$8,0)</f>
        <v>26237.1246066138</v>
      </c>
      <c r="I30" s="3531">
        <f t="array" ref="I30">IF(A30&lt;&gt;"",C30-G30,0)</f>
        <v>4836759.38052502</v>
      </c>
      <c r="J30" s="3531">
        <f t="array" ref="J30">IF(A30&lt;&gt;"",J29+H30,J29)</f>
        <v>343974.051670748</v>
      </c>
      <c r="K30" s="1125"/>
      <c r="L30" s="652" t="n"/>
      <c r="M30" s="833" t="n"/>
      <c r="N30" s="1138" t="inlineStr">
        <is>
          <t xml:space="preserve">Roll to mini perm fixed for 3 years 25 year amortization</t>
        </is>
      </c>
      <c r="O30" s="1139" t="n"/>
      <c r="P30" s="1139" t="n"/>
      <c r="Q30" s="1139" t="n"/>
      <c r="R30" s="1139" t="n"/>
      <c r="S30" s="1139" t="n"/>
      <c r="T30" s="1139" t="n"/>
      <c r="U30" s="1139" t="n"/>
      <c r="V30" s="1140" t="n"/>
      <c r="W30" s="1131" t="n"/>
      <c r="X30" s="1168" t="n"/>
      <c r="Y30" s="1167" t="n"/>
    </row>
    <row r="31" s="3154" customFormat="1" ht="12.75" customHeight="1">
      <c r="A31" s="1117">
        <f t="array" ref="A31">IF(I30&gt;0.5,A30+1,"")</f>
        <v>14</v>
      </c>
      <c r="B31" s="3515">
        <f t="array" ref="B31">IF(A31&lt;&gt;"",DATE(YEAR($D$9),MONTH($D$9)+A31,DAY($D$9)),"")</f>
        <v>47178</v>
      </c>
      <c r="C31" s="3516">
        <f t="array" ref="C31">IF(A31&lt;&gt;"",I30,"")</f>
        <v>4836759.38052502</v>
      </c>
      <c r="D31" s="3516">
        <f t="array" ref="D31">IF(A31&lt;&gt;"",$H$5,"")</f>
        <v>33254.5945333633</v>
      </c>
      <c r="E31" s="3517">
        <v>0</v>
      </c>
      <c r="F31" s="3516">
        <f t="array" ref="F31">IF(A31&lt;&gt;"",D31+E31,"")</f>
        <v>33254.5945333633</v>
      </c>
      <c r="G31" s="3516">
        <f t="array" ref="G31">IF(A31&lt;&gt;"",F31-H31,0)</f>
        <v>7055.48122218614</v>
      </c>
      <c r="H31" s="3516">
        <f t="array" ref="H31">IF(A31&lt;&gt;"",C31*$D$6/$D$8,0)</f>
        <v>26199.1133111772</v>
      </c>
      <c r="I31" s="3516">
        <f t="array" ref="I31">IF(A31&lt;&gt;"",C31-G31,0)</f>
        <v>4829703.89930284</v>
      </c>
      <c r="J31" s="3516">
        <f t="array" ref="J31">IF(A31&lt;&gt;"",J30+H31,J30)</f>
        <v>370173.164981925</v>
      </c>
      <c r="K31" s="666"/>
      <c r="L31" s="1167" t="n"/>
      <c r="M31" s="833" t="n"/>
      <c r="N31" s="1138" t="inlineStr">
        <is>
          <t xml:space="preserve">Roll to perm assuming stabilized fixed for 5 years at 4-5% with a 30 year amortization</t>
        </is>
      </c>
      <c r="O31" s="1139" t="n"/>
      <c r="P31" s="1139" t="n"/>
      <c r="Q31" s="1139" t="n"/>
      <c r="R31" s="1139" t="n"/>
      <c r="S31" s="1139" t="n"/>
      <c r="T31" s="1139" t="n"/>
      <c r="U31" s="1139" t="n"/>
      <c r="V31" s="1140" t="n"/>
      <c r="W31" s="1131" t="n"/>
      <c r="X31" s="1168" t="n"/>
      <c r="Y31" s="1167" t="n"/>
    </row>
    <row r="32" s="3154" customFormat="1" ht="12.75" customHeight="1">
      <c r="A32" s="1117">
        <f t="array" ref="A32">IF(I31&gt;0.5,A31+1,"")</f>
        <v>15</v>
      </c>
      <c r="B32" s="3515">
        <f t="array" ref="B32">IF(A32&lt;&gt;"",DATE(YEAR($D$9),MONTH($D$9)+A32,DAY($D$9)),"")</f>
        <v>47209</v>
      </c>
      <c r="C32" s="3516">
        <f t="array" ref="C32">IF(A32&lt;&gt;"",I31,"")</f>
        <v>4829703.89930284</v>
      </c>
      <c r="D32" s="3516">
        <f t="array" ref="D32">IF(A32&lt;&gt;"",$H$5,"")</f>
        <v>33254.5945333633</v>
      </c>
      <c r="E32" s="3517">
        <v>0</v>
      </c>
      <c r="F32" s="3516">
        <f t="array" ref="F32">IF(A32&lt;&gt;"",D32+E32,"")</f>
        <v>33254.5945333633</v>
      </c>
      <c r="G32" s="3516">
        <f t="array" ref="G32">IF(A32&lt;&gt;"",F32-H32,0)</f>
        <v>7093.69841213965</v>
      </c>
      <c r="H32" s="3516">
        <f t="array" ref="H32">IF(A32&lt;&gt;"",C32*$D$6/$D$8,0)</f>
        <v>26160.8961212237</v>
      </c>
      <c r="I32" s="3516">
        <f t="array" ref="I32">IF(A32&lt;&gt;"",C32-G32,0)</f>
        <v>4822610.2008907</v>
      </c>
      <c r="J32" s="3516">
        <f t="array" ref="J32">IF(A32&lt;&gt;"",J31+H32,J31)</f>
        <v>396334.061103149</v>
      </c>
      <c r="K32" s="666"/>
      <c r="L32" s="1167" t="n"/>
      <c r="M32" s="833" t="n"/>
      <c r="N32" s="1138" t="inlineStr">
        <is>
          <t xml:space="preserve">Due diligence varies per project</t>
        </is>
      </c>
      <c r="O32" s="1139" t="n"/>
      <c r="P32" s="1139" t="n"/>
      <c r="Q32" s="1139" t="n"/>
      <c r="R32" s="1139" t="n"/>
      <c r="S32" s="1139" t="n"/>
      <c r="T32" s="1139" t="n"/>
      <c r="U32" s="1139" t="n"/>
      <c r="V32" s="1140" t="n"/>
      <c r="W32" s="1131" t="n"/>
      <c r="X32" s="1168" t="n"/>
      <c r="Y32" s="1167" t="n"/>
    </row>
    <row r="33" s="3154" customFormat="1" ht="12.75" customHeight="1">
      <c r="A33" s="1117">
        <f t="array" ref="A33">IF(I32&gt;0.5,A32+1,"")</f>
        <v>16</v>
      </c>
      <c r="B33" s="3515">
        <f t="array" ref="B33">IF(A33&lt;&gt;"",DATE(YEAR($D$9),MONTH($D$9)+A33,DAY($D$9)),"")</f>
        <v>47239</v>
      </c>
      <c r="C33" s="3516">
        <f t="array" ref="C33">IF(A33&lt;&gt;"",I32,"")</f>
        <v>4822610.2008907</v>
      </c>
      <c r="D33" s="3516">
        <f t="array" ref="D33">IF(A33&lt;&gt;"",$H$5,"")</f>
        <v>33254.5945333633</v>
      </c>
      <c r="E33" s="3517">
        <v>0</v>
      </c>
      <c r="F33" s="3516">
        <f t="array" ref="F33">IF(A33&lt;&gt;"",D33+E33,"")</f>
        <v>33254.5945333633</v>
      </c>
      <c r="G33" s="3516">
        <f t="array" ref="G33">IF(A33&lt;&gt;"",F33-H33,0)</f>
        <v>7132.12261187207</v>
      </c>
      <c r="H33" s="3516">
        <f t="array" ref="H33">IF(A33&lt;&gt;"",C33*$D$6/$D$8,0)</f>
        <v>26122.4719214913</v>
      </c>
      <c r="I33" s="3516">
        <f t="array" ref="I33">IF(A33&lt;&gt;"",C33-G33,0)</f>
        <v>4815478.07827883</v>
      </c>
      <c r="J33" s="3516">
        <f t="array" ref="J33">IF(A33&lt;&gt;"",J32+H33,J32)</f>
        <v>422456.53302464</v>
      </c>
      <c r="K33" s="666"/>
      <c r="L33" s="1167" t="n"/>
      <c r="M33" s="833" t="n"/>
      <c r="N33" s="1138" t="inlineStr">
        <is>
          <t xml:space="preserve">3 points at closing</t>
        </is>
      </c>
      <c r="O33" s="1139" t="n"/>
      <c r="P33" s="1139" t="n"/>
      <c r="Q33" s="1139" t="n"/>
      <c r="R33" s="1139" t="n"/>
      <c r="S33" s="1139" t="n"/>
      <c r="T33" s="1139" t="n"/>
      <c r="U33" s="1139" t="n"/>
      <c r="V33" s="1140" t="n"/>
      <c r="W33" s="1131" t="n"/>
      <c r="X33" s="1168" t="n"/>
      <c r="Y33" s="1167" t="n"/>
    </row>
    <row r="34" s="3154" customFormat="1" ht="13.5" customHeight="1">
      <c r="A34" s="1117">
        <f t="array" ref="A34">IF(I33&gt;0.5,A33+1,"")</f>
        <v>17</v>
      </c>
      <c r="B34" s="3515">
        <f t="array" ref="B34">IF(A34&lt;&gt;"",DATE(YEAR($D$9),MONTH($D$9)+A34,DAY($D$9)),"")</f>
        <v>47270</v>
      </c>
      <c r="C34" s="3516">
        <f t="array" ref="C34">IF(A34&lt;&gt;"",I33,"")</f>
        <v>4815478.07827883</v>
      </c>
      <c r="D34" s="3516">
        <f t="array" ref="D34">IF(A34&lt;&gt;"",$H$5,"")</f>
        <v>33254.5945333633</v>
      </c>
      <c r="E34" s="3517">
        <v>0</v>
      </c>
      <c r="F34" s="3516">
        <f t="array" ref="F34">IF(A34&lt;&gt;"",D34+E34,"")</f>
        <v>33254.5945333633</v>
      </c>
      <c r="G34" s="3516">
        <f t="array" ref="G34">IF(A34&lt;&gt;"",F34-H34,0)</f>
        <v>7170.75494268638</v>
      </c>
      <c r="H34" s="3516">
        <f t="array" ref="H34">IF(A34&lt;&gt;"",C34*$D$6/$D$8,0)</f>
        <v>26083.839590677</v>
      </c>
      <c r="I34" s="3516">
        <f t="array" ref="I34">IF(A34&lt;&gt;"",C34-G34,0)</f>
        <v>4808307.32333614</v>
      </c>
      <c r="J34" s="3516">
        <f t="array" ref="J34">IF(A34&lt;&gt;"",J33+H34,J33)</f>
        <v>448540.372615317</v>
      </c>
      <c r="K34" s="1122"/>
      <c r="L34" s="642" t="n"/>
      <c r="M34" s="833" t="n"/>
      <c r="N34" s="1138" t="inlineStr">
        <is>
          <t xml:space="preserve">close in 60-90 days</t>
        </is>
      </c>
      <c r="O34" s="1139" t="n"/>
      <c r="P34" s="1139" t="n"/>
      <c r="Q34" s="1139" t="n"/>
      <c r="R34" s="1139" t="n"/>
      <c r="S34" s="1139" t="n"/>
      <c r="T34" s="1139" t="n"/>
      <c r="U34" s="1139" t="n"/>
      <c r="V34" s="1140" t="n"/>
      <c r="W34" s="1131" t="n"/>
      <c r="X34" s="1168" t="n"/>
      <c r="Y34" s="1167" t="n"/>
    </row>
    <row r="35" s="3154" customFormat="1" ht="13.5" customHeight="1">
      <c r="A35" s="1117">
        <f t="array" ref="A35">IF(I34&gt;0.5,A34+1,"")</f>
        <v>18</v>
      </c>
      <c r="B35" s="3515">
        <f t="array" ref="B35">IF(A35&lt;&gt;"",DATE(YEAR($D$9),MONTH($D$9)+A35,DAY($D$9)),"")</f>
        <v>47300</v>
      </c>
      <c r="C35" s="3516">
        <f t="array" ref="C35">IF(A35&lt;&gt;"",I34,"")</f>
        <v>4808307.32333614</v>
      </c>
      <c r="D35" s="3516">
        <f t="array" ref="D35">IF(A35&lt;&gt;"",$H$5,"")</f>
        <v>33254.5945333633</v>
      </c>
      <c r="E35" s="3517">
        <v>0</v>
      </c>
      <c r="F35" s="3516">
        <f t="array" ref="F35">IF(A35&lt;&gt;"",D35+E35,"")</f>
        <v>33254.5945333633</v>
      </c>
      <c r="G35" s="3516">
        <f t="array" ref="G35">IF(A35&lt;&gt;"",F35-H35,0)</f>
        <v>7209.59653195926</v>
      </c>
      <c r="H35" s="3516">
        <f t="array" ref="H35">IF(A35&lt;&gt;"",C35*$D$6/$D$8,0)</f>
        <v>26044.9980014041</v>
      </c>
      <c r="I35" s="3516">
        <f t="array" ref="I35">IF(A35&lt;&gt;"",C35-G35,0)</f>
        <v>4801097.72680418</v>
      </c>
      <c r="J35" s="3518">
        <f t="array" ref="J35">IF(A35&lt;&gt;"",J34+H35,J34)</f>
        <v>474585.370616721</v>
      </c>
      <c r="K35" s="848">
        <is>
          <t xml:space="preserve">Year 2</t>
        </is>
      </c>
      <c r="L35" s="3425" t="n"/>
      <c r="M35" s="1137" t="n"/>
      <c r="N35" s="1153" t="inlineStr">
        <is>
          <t xml:space="preserve">15-20% liquidity requirement or a net worth that totals what the requested loan amount is.</t>
        </is>
      </c>
      <c r="O35" s="1154" t="n"/>
      <c r="P35" s="1154" t="n"/>
      <c r="Q35" s="1154" t="n"/>
      <c r="R35" s="1154" t="n"/>
      <c r="S35" s="1154" t="n"/>
      <c r="T35" s="1154" t="n"/>
      <c r="U35" s="1154" t="n"/>
      <c r="V35" s="1155" t="n"/>
      <c r="W35" s="1131" t="n"/>
      <c r="X35" s="1168" t="n"/>
      <c r="Y35" s="1167" t="n"/>
    </row>
    <row r="36" s="3154" customFormat="1" ht="13.5" customHeight="1">
      <c r="A36" s="1117">
        <f t="array" ref="A36">IF(I35&gt;0.5,A35+1,"")</f>
        <v>19</v>
      </c>
      <c r="B36" s="3515">
        <f t="array" ref="B36">IF(A36&lt;&gt;"",DATE(YEAR($D$9),MONTH($D$9)+A36,DAY($D$9)),"")</f>
        <v>47331</v>
      </c>
      <c r="C36" s="3516">
        <f t="array" ref="C36">IF(A36&lt;&gt;"",I35,"")</f>
        <v>4801097.72680418</v>
      </c>
      <c r="D36" s="3516">
        <f t="array" ref="D36">IF(A36&lt;&gt;"",$H$5,"")</f>
        <v>33254.5945333633</v>
      </c>
      <c r="E36" s="3517">
        <v>0</v>
      </c>
      <c r="F36" s="3516">
        <f t="array" ref="F36">IF(A36&lt;&gt;"",D36+E36,"")</f>
        <v>33254.5945333633</v>
      </c>
      <c r="G36" s="3516">
        <f t="array" ref="G36">IF(A36&lt;&gt;"",F36-H36,0)</f>
        <v>7248.64851317404</v>
      </c>
      <c r="H36" s="3516">
        <f t="array" ref="H36">IF(A36&lt;&gt;"",C36*$D$6/$D$8,0)</f>
        <v>26005.9460201893</v>
      </c>
      <c r="I36" s="3516">
        <f t="array" ref="I36">IF(A36&lt;&gt;"",C36-G36,0)</f>
        <v>4793849.07829101</v>
      </c>
      <c r="J36" s="3518">
        <f t="array" ref="J36">IF(A36&lt;&gt;"",J35+H36,J35)</f>
        <v>500591.316636911</v>
      </c>
      <c r="K36" s="942">
        <is>
          <t xml:space="preserve">Intrest</t>
        </is>
      </c>
      <c r="L36" s="3425" t="n"/>
      <c r="M36" s="793" t="n"/>
      <c r="N36" s="1156" t="n"/>
      <c r="O36" s="1156" t="n"/>
      <c r="P36" s="1156" t="n"/>
      <c r="Q36" s="1156" t="n"/>
      <c r="R36" s="1156" t="n"/>
      <c r="S36" s="1156" t="n"/>
      <c r="T36" s="1156" t="n"/>
      <c r="U36" s="1156" t="n"/>
      <c r="V36" s="1156" t="n"/>
      <c r="W36" s="1168" t="n"/>
      <c r="X36" s="1168" t="n"/>
      <c r="Y36" s="1167" t="n"/>
    </row>
    <row r="37" s="3154" customFormat="1" ht="13.5" customHeight="1">
      <c r="A37" s="1117">
        <f t="array" ref="A37">IF(I36&gt;0.5,A36+1,"")</f>
        <v>20</v>
      </c>
      <c r="B37" s="3515">
        <f t="array" ref="B37">IF(A37&lt;&gt;"",DATE(YEAR($D$9),MONTH($D$9)+A37,DAY($D$9)),"")</f>
        <v>47362</v>
      </c>
      <c r="C37" s="3516">
        <f t="array" ref="C37">IF(A37&lt;&gt;"",I36,"")</f>
        <v>4793849.07829101</v>
      </c>
      <c r="D37" s="3516">
        <f t="array" ref="D37">IF(A37&lt;&gt;"",$H$5,"")</f>
        <v>33254.5945333633</v>
      </c>
      <c r="E37" s="3517">
        <v>0</v>
      </c>
      <c r="F37" s="3516">
        <f t="array" ref="F37">IF(A37&lt;&gt;"",D37+E37,"")</f>
        <v>33254.5945333633</v>
      </c>
      <c r="G37" s="3516">
        <f t="array" ref="G37">IF(A37&lt;&gt;"",F37-H37,0)</f>
        <v>7287.91202595373</v>
      </c>
      <c r="H37" s="3516">
        <f t="array" ref="H37">IF(A37&lt;&gt;"",C37*$D$6/$D$8,0)</f>
        <v>25966.6825074096</v>
      </c>
      <c r="I37" s="3516">
        <f t="array" ref="I37">IF(A37&lt;&gt;"",C37-G37,0)</f>
        <v>4786561.16626505</v>
      </c>
      <c r="J37" s="3518">
        <f t="array" ref="J37">IF(A37&lt;&gt;"",J36+H37,J36)</f>
        <v>526557.99914432</v>
      </c>
      <c r="K37" s="3528">
        <f t="array" ref="K37">SUM(H30:H41)</f>
      </c>
      <c r="L37" s="3425" t="n"/>
      <c r="M37" s="793" t="n"/>
      <c r="N37" s="1168" t="n"/>
      <c r="O37" s="1168" t="n"/>
      <c r="P37" s="1168" t="n"/>
      <c r="Q37" s="1168" t="n"/>
      <c r="R37" s="1168" t="n"/>
      <c r="S37" s="1168" t="n"/>
      <c r="T37" s="1168" t="n"/>
      <c r="U37" s="1168" t="n"/>
      <c r="V37" s="1168" t="n"/>
      <c r="W37" s="1168" t="n"/>
      <c r="X37" s="1168" t="n"/>
      <c r="Y37" s="1167" t="n"/>
    </row>
    <row r="38" s="3154" customFormat="1" ht="15" customHeight="1">
      <c r="A38" s="1117">
        <f t="array" ref="A38">IF(I37&gt;0.5,A37+1,"")</f>
        <v>21</v>
      </c>
      <c r="B38" s="3515">
        <f t="array" ref="B38">IF(A38&lt;&gt;"",DATE(YEAR($D$9),MONTH($D$9)+A38,DAY($D$9)),"")</f>
        <v>47392</v>
      </c>
      <c r="C38" s="3516">
        <f t="array" ref="C38">IF(A38&lt;&gt;"",I37,"")</f>
        <v>4786561.16626505</v>
      </c>
      <c r="D38" s="3516">
        <f t="array" ref="D38">IF(A38&lt;&gt;"",$H$5,"")</f>
        <v>33254.5945333633</v>
      </c>
      <c r="E38" s="3517">
        <v>0</v>
      </c>
      <c r="F38" s="3516">
        <f t="array" ref="F38">IF(A38&lt;&gt;"",D38+E38,"")</f>
        <v>33254.5945333633</v>
      </c>
      <c r="G38" s="3516">
        <f t="array" ref="G38">IF(A38&lt;&gt;"",F38-H38,0)</f>
        <v>7327.38821609431</v>
      </c>
      <c r="H38" s="3516">
        <f t="array" ref="H38">IF(A38&lt;&gt;"",C38*$D$6/$D$8,0)</f>
        <v>25927.206317269</v>
      </c>
      <c r="I38" s="3516">
        <f t="array" ref="I38">IF(A38&lt;&gt;"",C38-G38,0)</f>
        <v>4779233.77804896</v>
      </c>
      <c r="J38" s="3516">
        <f t="array" ref="J38">IF(A38&lt;&gt;"",J37+H38,J37)</f>
        <v>552485.205461589</v>
      </c>
      <c r="K38" s="3533"/>
      <c r="L38" s="3534" t="n"/>
      <c r="M38" s="1167" t="n"/>
      <c r="N38" s="1168" t="n"/>
      <c r="O38" s="1168" t="n"/>
      <c r="P38" s="1168" t="n"/>
      <c r="Q38" s="1168" t="n"/>
      <c r="R38" s="1168" t="n"/>
      <c r="S38" s="1168" t="n"/>
      <c r="T38" s="1168" t="n"/>
      <c r="U38" s="1168" t="n"/>
      <c r="V38" s="1168" t="n"/>
      <c r="W38" s="1168" t="n"/>
      <c r="X38" s="1168" t="n"/>
      <c r="Y38" s="1167" t="n"/>
    </row>
    <row r="39" s="3154" customFormat="1" ht="13.5" customHeight="1">
      <c r="A39" s="1117">
        <f t="array" ref="A39">IF(I38&gt;0.5,A38+1,"")</f>
        <v>22</v>
      </c>
      <c r="B39" s="3515">
        <f t="array" ref="B39">IF(A39&lt;&gt;"",DATE(YEAR($D$9),MONTH($D$9)+A39,DAY($D$9)),"")</f>
        <v>47423</v>
      </c>
      <c r="C39" s="3516">
        <f t="array" ref="C39">IF(A39&lt;&gt;"",I38,"")</f>
        <v>4779233.77804896</v>
      </c>
      <c r="D39" s="3516">
        <f t="array" ref="D39">IF(A39&lt;&gt;"",$H$5,"")</f>
        <v>33254.5945333633</v>
      </c>
      <c r="E39" s="3517">
        <v>0</v>
      </c>
      <c r="F39" s="3516">
        <f t="array" ref="F39">IF(A39&lt;&gt;"",D39+E39,"")</f>
        <v>33254.5945333633</v>
      </c>
      <c r="G39" s="3516">
        <f t="array" ref="G39">IF(A39&lt;&gt;"",F39-H39,0)</f>
        <v>7367.07823559816</v>
      </c>
      <c r="H39" s="3516">
        <f t="array" ref="H39">IF(A39&lt;&gt;"",C39*$D$6/$D$8,0)</f>
        <v>25887.5162977652</v>
      </c>
      <c r="I39" s="3516">
        <f t="array" ref="I39">IF(A39&lt;&gt;"",C39-G39,0)</f>
        <v>4771866.69981336</v>
      </c>
      <c r="J39" s="3516">
        <f t="array" ref="J39">IF(A39&lt;&gt;"",J38+H39,J38)</f>
        <v>578372.721759354</v>
      </c>
      <c r="K39" s="3535"/>
      <c r="L39" s="3536" t="n"/>
      <c r="M39" s="1167" t="n"/>
      <c r="N39" s="1168" t="n"/>
      <c r="O39" s="1168" t="n"/>
      <c r="P39" s="1168" t="n"/>
      <c r="Q39" s="1168" t="n"/>
      <c r="R39" s="1168" t="n"/>
      <c r="S39" s="1168" t="n"/>
      <c r="T39" s="1168" t="n"/>
      <c r="U39" s="1168" t="n"/>
      <c r="V39" s="1168" t="n"/>
      <c r="W39" s="1168" t="n"/>
      <c r="X39" s="1168" t="n"/>
      <c r="Y39" s="1167" t="n"/>
    </row>
    <row r="40" s="3154" customFormat="1" ht="13.5" customHeight="1">
      <c r="A40" s="1132">
        <f t="array" ref="A40">IF(I39&gt;0.5,A39+1,"")</f>
        <v>23</v>
      </c>
      <c r="B40" s="3519">
        <f t="array" ref="B40">IF(A40&lt;&gt;"",DATE(YEAR($D$9),MONTH($D$9)+A40,DAY($D$9)),"")</f>
        <v>47453</v>
      </c>
      <c r="C40" s="3520">
        <f t="array" ref="C40">IF(A40&lt;&gt;"",I39,"")</f>
        <v>4771866.69981336</v>
      </c>
      <c r="D40" s="3520">
        <f t="array" ref="D40">IF(A40&lt;&gt;"",$H$5,"")</f>
        <v>33254.5945333633</v>
      </c>
      <c r="E40" s="3521">
        <v>0</v>
      </c>
      <c r="F40" s="3520">
        <f t="array" ref="F40">IF(A40&lt;&gt;"",D40+E40,"")</f>
        <v>33254.5945333633</v>
      </c>
      <c r="G40" s="3520">
        <f t="array" ref="G40">IF(A40&lt;&gt;"",F40-H40,0)</f>
        <v>7406.98324270765</v>
      </c>
      <c r="H40" s="3520">
        <f t="array" ref="H40">IF(A40&lt;&gt;"",C40*$D$6/$D$8,0)</f>
        <v>25847.6112906557</v>
      </c>
      <c r="I40" s="3520">
        <f t="array" ref="I40">IF(A40&lt;&gt;"",C40-G40,0)</f>
        <v>4764459.71657065</v>
      </c>
      <c r="J40" s="3522">
        <f t="array" ref="J40">IF(A40&lt;&gt;"",J39+H40,J39)</f>
        <v>604220.33305001</v>
      </c>
      <c r="K40" s="942">
        <is>
          <t xml:space="preserve">Principle</t>
        </is>
      </c>
      <c r="L40" s="3425" t="n"/>
      <c r="M40" s="793" t="n"/>
      <c r="N40" s="1168" t="n"/>
      <c r="O40" s="1168" t="n"/>
      <c r="P40" s="1168" t="n"/>
      <c r="Q40" s="1168" t="n"/>
      <c r="R40" s="1168" t="n"/>
      <c r="S40" s="1168" t="n"/>
      <c r="T40" s="1168" t="n"/>
      <c r="U40" s="1168" t="n"/>
      <c r="V40" s="1168" t="n"/>
      <c r="W40" s="1168" t="n"/>
      <c r="X40" s="1168" t="n"/>
      <c r="Y40" s="1167" t="n"/>
    </row>
    <row r="41" s="3154" customFormat="1" ht="13.5" customHeight="1">
      <c r="A41" s="1141">
        <f t="array" ref="A41">IF(I40&gt;0.5,A40+1,"")</f>
        <v>24</v>
      </c>
      <c r="B41" s="3523">
        <f t="array" ref="B41">IF(A41&lt;&gt;"",DATE(YEAR($D$9),MONTH($D$9)+A41,DAY($D$9)),"")</f>
        <v>47484</v>
      </c>
      <c r="C41" s="3524">
        <f t="array" ref="C41">IF(A41&lt;&gt;"",I40,"")</f>
        <v>4764459.71657065</v>
      </c>
      <c r="D41" s="3524">
        <f t="array" ref="D41">IF(A41&lt;&gt;"",$H$5,"")</f>
        <v>33254.5945333633</v>
      </c>
      <c r="E41" s="3525">
        <v>0</v>
      </c>
      <c r="F41" s="3524">
        <f t="array" ref="F41">IF(A41&lt;&gt;"",D41+E41,"")</f>
        <v>33254.5945333633</v>
      </c>
      <c r="G41" s="3524">
        <f t="array" ref="G41">IF(A41&lt;&gt;"",F41-H41,0)</f>
        <v>7447.10440193898</v>
      </c>
      <c r="H41" s="3526">
        <f t="array" ref="H41">IF(A41&lt;&gt;"",C41*$D$6/$D$8,0)</f>
        <v>25807.4901314244</v>
      </c>
      <c r="I41" s="3527">
        <f t="array" ref="I41">IF(A41&lt;&gt;"",C41-G41,0)</f>
        <v>4757012.61216871</v>
      </c>
      <c r="J41" s="3527">
        <f t="array" ref="J41">IF(A41&lt;&gt;"",J40+H41,J40)</f>
        <v>630027.823181434</v>
      </c>
      <c r="K41" s="3528">
        <f t="array" ref="K41">SUM(G30:G41)</f>
        <v>86764.2382830599</v>
      </c>
      <c r="L41" s="3425" t="n"/>
      <c r="M41" s="793" t="n"/>
      <c r="N41" s="1168" t="n"/>
      <c r="O41" s="1168" t="n"/>
      <c r="P41" s="1168" t="n"/>
      <c r="Q41" s="1168" t="n"/>
      <c r="R41" s="1168" t="n"/>
      <c r="S41" s="1168" t="n"/>
      <c r="T41" s="1168" t="n"/>
      <c r="U41" s="1168" t="n"/>
      <c r="V41" s="1168" t="n"/>
      <c r="W41" s="1168" t="n"/>
      <c r="X41" s="1168" t="n"/>
      <c r="Y41" s="1167" t="n"/>
    </row>
    <row r="42" s="3154" customFormat="1" ht="12.75" customHeight="1">
      <c r="A42" s="1149">
        <f t="array" ref="A42">IF(I41&gt;0.5,A41+1,"")</f>
        <v>25</v>
      </c>
      <c r="B42" s="3530">
        <f t="array" ref="B42">IF(A42&lt;&gt;"",DATE(YEAR($D$9),MONTH($D$9)+A42,DAY($D$9)),"")</f>
        <v>47515</v>
      </c>
      <c r="C42" s="3531">
        <f t="array" ref="C42">IF(A42&lt;&gt;"",I41,"")</f>
        <v>4757012.61216871</v>
      </c>
      <c r="D42" s="3531">
        <f t="array" ref="D42">IF(A42&lt;&gt;"",$H$5,"")</f>
        <v>33254.5945333633</v>
      </c>
      <c r="E42" s="3532">
        <v>0</v>
      </c>
      <c r="F42" s="3531">
        <f t="array" ref="F42">IF(A42&lt;&gt;"",D42+E42,"")</f>
        <v>33254.5945333633</v>
      </c>
      <c r="G42" s="3531">
        <f t="array" ref="G42">IF(A42&lt;&gt;"",F42-H42,0)</f>
        <v>7487.44288411615</v>
      </c>
      <c r="H42" s="3531">
        <f t="array" ref="H42">IF(A42&lt;&gt;"",C42*$D$6/$D$8,0)</f>
        <v>25767.1516492472</v>
      </c>
      <c r="I42" s="3531">
        <f t="array" ref="I42">IF(A42&lt;&gt;"",C42-G42,0)</f>
        <v>4749525.1692846</v>
      </c>
      <c r="J42" s="3531">
        <f t="array" ref="J42">IF(A42&lt;&gt;"",J41+H42,J41)</f>
        <v>655794.974830682</v>
      </c>
      <c r="K42" s="1125"/>
      <c r="L42" s="652" t="n"/>
      <c r="M42" s="1167" t="n"/>
      <c r="N42" s="1168" t="n"/>
      <c r="O42" s="1168" t="n"/>
      <c r="P42" s="1168" t="n"/>
      <c r="Q42" s="1168" t="n"/>
      <c r="R42" s="1168" t="n"/>
      <c r="S42" s="1168" t="n"/>
      <c r="T42" s="1168" t="n"/>
      <c r="U42" s="1168" t="n"/>
      <c r="V42" s="1168" t="n"/>
      <c r="W42" s="1168" t="n"/>
      <c r="X42" s="1168" t="n"/>
      <c r="Y42" s="1167" t="n"/>
    </row>
    <row r="43" s="3154" customFormat="1" ht="12.75" customHeight="1">
      <c r="A43" s="1117">
        <f t="array" ref="A43">IF(I42&gt;0.5,A42+1,"")</f>
        <v>26</v>
      </c>
      <c r="B43" s="3515">
        <f t="array" ref="B43">IF(A43&lt;&gt;"",DATE(YEAR($D$9),MONTH($D$9)+A43,DAY($D$9)),"")</f>
        <v>47543</v>
      </c>
      <c r="C43" s="3516">
        <f t="array" ref="C43">IF(A43&lt;&gt;"",I42,"")</f>
        <v>4749525.1692846</v>
      </c>
      <c r="D43" s="3516">
        <f t="array" ref="D43">IF(A43&lt;&gt;"",$H$5,"")</f>
        <v>33254.5945333633</v>
      </c>
      <c r="E43" s="3517">
        <v>0</v>
      </c>
      <c r="F43" s="3516">
        <f t="array" ref="F43">IF(A43&lt;&gt;"",D43+E43,"")</f>
        <v>33254.5945333633</v>
      </c>
      <c r="G43" s="3516">
        <f t="array" ref="G43">IF(A43&lt;&gt;"",F43-H43,0)</f>
        <v>7527.99986640511</v>
      </c>
      <c r="H43" s="3516">
        <f t="array" ref="H43">IF(A43&lt;&gt;"",C43*$D$6/$D$8,0)</f>
        <v>25726.5946669582</v>
      </c>
      <c r="I43" s="3516">
        <f t="array" ref="I43">IF(A43&lt;&gt;"",C43-G43,0)</f>
        <v>4741997.16941819</v>
      </c>
      <c r="J43" s="3516">
        <f t="array" ref="J43">IF(A43&lt;&gt;"",J42+H43,J42)</f>
        <v>681521.56949764</v>
      </c>
      <c r="K43" s="666"/>
      <c r="L43" s="1167" t="n"/>
      <c r="M43" s="1167" t="n"/>
      <c r="N43" s="1168" t="n"/>
      <c r="O43" s="1168" t="n"/>
      <c r="P43" s="1168" t="n"/>
      <c r="Q43" s="1168" t="n"/>
      <c r="R43" s="1168" t="n"/>
      <c r="S43" s="1168" t="n"/>
      <c r="T43" s="1168" t="n"/>
      <c r="U43" s="1168" t="n"/>
      <c r="V43" s="1168" t="n"/>
      <c r="W43" s="1168" t="n"/>
      <c r="X43" s="1168" t="n"/>
      <c r="Y43" s="1167" t="n"/>
    </row>
    <row r="44" s="3154" customFormat="1" ht="12.75" customHeight="1">
      <c r="A44" s="1117">
        <f t="array" ref="A44">IF(I43&gt;0.5,A43+1,"")</f>
        <v>27</v>
      </c>
      <c r="B44" s="3515">
        <f t="array" ref="B44">IF(A44&lt;&gt;"",DATE(YEAR($D$9),MONTH($D$9)+A44,DAY($D$9)),"")</f>
        <v>47574</v>
      </c>
      <c r="C44" s="3516">
        <f t="array" ref="C44">IF(A44&lt;&gt;"",I43,"")</f>
        <v>4741997.16941819</v>
      </c>
      <c r="D44" s="3516">
        <f t="array" ref="D44">IF(A44&lt;&gt;"",$H$5,"")</f>
        <v>33254.5945333633</v>
      </c>
      <c r="E44" s="3517">
        <v>0</v>
      </c>
      <c r="F44" s="3516">
        <f t="array" ref="F44">IF(A44&lt;&gt;"",D44+E44,"")</f>
        <v>33254.5945333633</v>
      </c>
      <c r="G44" s="3516">
        <f t="array" ref="G44">IF(A44&lt;&gt;"",F44-H44,0)</f>
        <v>7568.77653234814</v>
      </c>
      <c r="H44" s="3516">
        <f t="array" ref="H44">IF(A44&lt;&gt;"",C44*$D$6/$D$8,0)</f>
        <v>25685.8180010152</v>
      </c>
      <c r="I44" s="3516">
        <f t="array" ref="I44">IF(A44&lt;&gt;"",C44-G44,0)</f>
        <v>4734428.39288584</v>
      </c>
      <c r="J44" s="3516">
        <f t="array" ref="J44">IF(A44&lt;&gt;"",J43+H44,J43)</f>
        <v>707207.387498655</v>
      </c>
      <c r="K44" s="666"/>
      <c r="L44" s="1167" t="n"/>
      <c r="M44" s="1167" t="n"/>
      <c r="N44" s="1168" t="n"/>
      <c r="O44" s="1168" t="n"/>
      <c r="P44" s="1168" t="n"/>
      <c r="Q44" s="1168" t="n"/>
      <c r="R44" s="1168" t="n"/>
      <c r="S44" s="1168" t="n"/>
      <c r="T44" s="1168" t="n"/>
      <c r="U44" s="1168" t="n"/>
      <c r="V44" s="1168" t="n"/>
      <c r="W44" s="1168" t="n"/>
      <c r="X44" s="1168" t="n"/>
      <c r="Y44" s="1167" t="n"/>
    </row>
    <row r="45" s="3154" customFormat="1" ht="12.75" customHeight="1">
      <c r="A45" s="1117">
        <f t="array" ref="A45">IF(I44&gt;0.5,A44+1,"")</f>
        <v>28</v>
      </c>
      <c r="B45" s="3515">
        <f t="array" ref="B45">IF(A45&lt;&gt;"",DATE(YEAR($D$9),MONTH($D$9)+A45,DAY($D$9)),"")</f>
        <v>47604</v>
      </c>
      <c r="C45" s="3516">
        <f t="array" ref="C45">IF(A45&lt;&gt;"",I44,"")</f>
        <v>4734428.39288584</v>
      </c>
      <c r="D45" s="3516">
        <f t="array" ref="D45">IF(A45&lt;&gt;"",$H$5,"")</f>
        <v>33254.5945333633</v>
      </c>
      <c r="E45" s="3517">
        <v>0</v>
      </c>
      <c r="F45" s="3516">
        <f t="array" ref="F45">IF(A45&lt;&gt;"",D45+E45,"")</f>
        <v>33254.5945333633</v>
      </c>
      <c r="G45" s="3516">
        <f t="array" ref="G45">IF(A45&lt;&gt;"",F45-H45,0)</f>
        <v>7609.77407189836</v>
      </c>
      <c r="H45" s="3516">
        <f t="array" ref="H45">IF(A45&lt;&gt;"",C45*$D$6/$D$8,0)</f>
        <v>25644.820461465</v>
      </c>
      <c r="I45" s="3516">
        <f t="array" ref="I45">IF(A45&lt;&gt;"",C45-G45,0)</f>
        <v>4726818.61881395</v>
      </c>
      <c r="J45" s="3516">
        <f t="array" ref="J45">IF(A45&lt;&gt;"",J44+H45,J44)</f>
        <v>732852.20796012</v>
      </c>
      <c r="K45" s="666"/>
      <c r="L45" s="1167" t="n"/>
      <c r="M45" s="1167" t="n"/>
      <c r="N45" s="1168" t="n"/>
      <c r="O45" s="1168" t="n"/>
      <c r="P45" s="1168" t="n"/>
      <c r="Q45" s="1168" t="n"/>
      <c r="R45" s="1168" t="n"/>
      <c r="S45" s="1168" t="n"/>
      <c r="T45" s="1168" t="n"/>
      <c r="U45" s="1168" t="n"/>
      <c r="V45" s="1168" t="n"/>
      <c r="W45" s="1168" t="n"/>
      <c r="X45" s="1168" t="n"/>
      <c r="Y45" s="1167" t="n"/>
    </row>
    <row r="46" s="3154" customFormat="1" ht="13.5" customHeight="1">
      <c r="A46" s="1117">
        <f t="array" ref="A46">IF(I45&gt;0.5,A45+1,"")</f>
        <v>29</v>
      </c>
      <c r="B46" s="3515">
        <f t="array" ref="B46">IF(A46&lt;&gt;"",DATE(YEAR($D$9),MONTH($D$9)+A46,DAY($D$9)),"")</f>
        <v>47635</v>
      </c>
      <c r="C46" s="3516">
        <f t="array" ref="C46">IF(A46&lt;&gt;"",I45,"")</f>
        <v>4726818.61881395</v>
      </c>
      <c r="D46" s="3516">
        <f t="array" ref="D46">IF(A46&lt;&gt;"",$H$5,"")</f>
        <v>33254.5945333633</v>
      </c>
      <c r="E46" s="3517">
        <v>0</v>
      </c>
      <c r="F46" s="3516">
        <f t="array" ref="F46">IF(A46&lt;&gt;"",D46+E46,"")</f>
        <v>33254.5945333633</v>
      </c>
      <c r="G46" s="3516">
        <f t="array" ref="G46">IF(A46&lt;&gt;"",F46-H46,0)</f>
        <v>7650.99368145447</v>
      </c>
      <c r="H46" s="3516">
        <f t="array" ref="H46">IF(A46&lt;&gt;"",C46*$D$6/$D$8,0)</f>
        <v>25603.6008519089</v>
      </c>
      <c r="I46" s="3516">
        <f t="array" ref="I46">IF(A46&lt;&gt;"",C46-G46,0)</f>
        <v>4719167.62513249</v>
      </c>
      <c r="J46" s="3516">
        <f t="array" ref="J46">IF(A46&lt;&gt;"",J45+H46,J45)</f>
        <v>758455.808812029</v>
      </c>
      <c r="K46" s="1122"/>
      <c r="L46" s="642" t="n"/>
      <c r="M46" s="1167" t="n"/>
      <c r="N46" s="1168" t="n"/>
      <c r="O46" s="1168" t="n"/>
      <c r="P46" s="1168" t="n"/>
      <c r="Q46" s="1168" t="n"/>
      <c r="R46" s="1168" t="n"/>
      <c r="S46" s="1168" t="n"/>
      <c r="T46" s="1168" t="n"/>
      <c r="U46" s="1168" t="n"/>
      <c r="V46" s="1168" t="n"/>
      <c r="W46" s="1168" t="n"/>
      <c r="X46" s="1168" t="n"/>
      <c r="Y46" s="1167" t="n"/>
    </row>
    <row r="47" s="3154" customFormat="1" ht="13.5" customHeight="1">
      <c r="A47" s="1117">
        <f t="array" ref="A47">IF(I46&gt;0.5,A46+1,"")</f>
        <v>30</v>
      </c>
      <c r="B47" s="3515">
        <f t="array" ref="B47">IF(A47&lt;&gt;"",DATE(YEAR($D$9),MONTH($D$9)+A47,DAY($D$9)),"")</f>
        <v>47665</v>
      </c>
      <c r="C47" s="3516">
        <f t="array" ref="C47">IF(A47&lt;&gt;"",I46,"")</f>
        <v>4719167.62513249</v>
      </c>
      <c r="D47" s="3516">
        <f t="array" ref="D47">IF(A47&lt;&gt;"",$H$5,"")</f>
        <v>33254.5945333633</v>
      </c>
      <c r="E47" s="3517">
        <v>0</v>
      </c>
      <c r="F47" s="3516">
        <f t="array" ref="F47">IF(A47&lt;&gt;"",D47+E47,"")</f>
        <v>33254.5945333633</v>
      </c>
      <c r="G47" s="3516">
        <f t="array" ref="G47">IF(A47&lt;&gt;"",F47-H47,0)</f>
        <v>7692.43656389568</v>
      </c>
      <c r="H47" s="3516">
        <f t="array" ref="H47">IF(A47&lt;&gt;"",C47*$D$6/$D$8,0)</f>
        <v>25562.1579694677</v>
      </c>
      <c r="I47" s="3516">
        <f t="array" ref="I47">IF(A47&lt;&gt;"",C47-G47,0)</f>
        <v>4711475.1885686</v>
      </c>
      <c r="J47" s="3518">
        <f t="array" ref="J47">IF(A47&lt;&gt;"",J46+H47,J46)</f>
        <v>784017.966781497</v>
      </c>
      <c r="K47" s="848">
        <is>
          <t xml:space="preserve">Year 3</t>
        </is>
      </c>
      <c r="L47" s="3425" t="n"/>
      <c r="M47" s="793" t="n"/>
      <c r="N47" s="1168" t="n"/>
      <c r="O47" s="1168" t="n"/>
      <c r="P47" s="1168" t="n"/>
      <c r="Q47" s="1168" t="n"/>
      <c r="R47" s="1168" t="n"/>
      <c r="S47" s="1168" t="n"/>
      <c r="T47" s="1168" t="n"/>
      <c r="U47" s="1168" t="n"/>
      <c r="V47" s="1168" t="n"/>
      <c r="W47" s="1168" t="n"/>
      <c r="X47" s="1168" t="n"/>
      <c r="Y47" s="1167" t="n"/>
    </row>
    <row r="48" s="3154" customFormat="1" ht="13.5" customHeight="1">
      <c r="A48" s="1117">
        <f t="array" ref="A48">IF(I47&gt;0.5,A47+1,"")</f>
        <v>31</v>
      </c>
      <c r="B48" s="3515">
        <f t="array" ref="B48">IF(A48&lt;&gt;"",DATE(YEAR($D$9),MONTH($D$9)+A48,DAY($D$9)),"")</f>
        <v>47696</v>
      </c>
      <c r="C48" s="3516">
        <f t="array" ref="C48">IF(A48&lt;&gt;"",I47,"")</f>
        <v>4711475.1885686</v>
      </c>
      <c r="D48" s="3516">
        <f t="array" ref="D48">IF(A48&lt;&gt;"",$H$5,"")</f>
        <v>33254.5945333633</v>
      </c>
      <c r="E48" s="3517">
        <v>0</v>
      </c>
      <c r="F48" s="3516">
        <f t="array" ref="F48">IF(A48&lt;&gt;"",D48+E48,"")</f>
        <v>33254.5945333633</v>
      </c>
      <c r="G48" s="3516">
        <f t="array" ref="G48">IF(A48&lt;&gt;"",F48-H48,0)</f>
        <v>7734.10392861679</v>
      </c>
      <c r="H48" s="3516">
        <f t="array" ref="H48">IF(A48&lt;&gt;"",C48*$D$6/$D$8,0)</f>
        <v>25520.4906047466</v>
      </c>
      <c r="I48" s="3516">
        <f t="array" ref="I48">IF(A48&lt;&gt;"",C48-G48,0)</f>
        <v>4703741.08463998</v>
      </c>
      <c r="J48" s="3518">
        <f t="array" ref="J48">IF(A48&lt;&gt;"",J47+H48,J47)</f>
        <v>809538.457386243</v>
      </c>
      <c r="K48" s="942">
        <is>
          <t xml:space="preserve">Intrest</t>
        </is>
      </c>
      <c r="L48" s="3425" t="n"/>
      <c r="M48" s="793" t="n"/>
      <c r="N48" s="1168" t="n"/>
      <c r="O48" s="1168" t="n"/>
      <c r="P48" s="1168" t="n"/>
      <c r="Q48" s="1168" t="n"/>
      <c r="R48" s="1168" t="n"/>
      <c r="S48" s="1168" t="n"/>
      <c r="T48" s="1168" t="n"/>
      <c r="U48" s="1168" t="n"/>
      <c r="V48" s="1168" t="n"/>
      <c r="W48" s="1168" t="n"/>
      <c r="X48" s="1168" t="n"/>
      <c r="Y48" s="1167" t="n"/>
    </row>
    <row r="49" s="3154" customFormat="1" ht="13.5" customHeight="1">
      <c r="A49" s="1117">
        <f t="array" ref="A49">IF(I48&gt;0.5,A48+1,"")</f>
        <v>32</v>
      </c>
      <c r="B49" s="3515">
        <f t="array" ref="B49">IF(A49&lt;&gt;"",DATE(YEAR($D$9),MONTH($D$9)+A49,DAY($D$9)),"")</f>
        <v>47727</v>
      </c>
      <c r="C49" s="3516">
        <f t="array" ref="C49">IF(A49&lt;&gt;"",I48,"")</f>
        <v>4703741.08463998</v>
      </c>
      <c r="D49" s="3516">
        <f t="array" ref="D49">IF(A49&lt;&gt;"",$H$5,"")</f>
        <v>33254.5945333633</v>
      </c>
      <c r="E49" s="3517">
        <v>0</v>
      </c>
      <c r="F49" s="3516">
        <f t="array" ref="F49">IF(A49&lt;&gt;"",D49+E49,"")</f>
        <v>33254.5945333633</v>
      </c>
      <c r="G49" s="3516">
        <f t="array" ref="G49">IF(A49&lt;&gt;"",F49-H49,0)</f>
        <v>7775.99699156346</v>
      </c>
      <c r="H49" s="3516">
        <f t="array" ref="H49">IF(A49&lt;&gt;"",C49*$D$6/$D$8,0)</f>
        <v>25478.5975417999</v>
      </c>
      <c r="I49" s="3516">
        <f t="array" ref="I49">IF(A49&lt;&gt;"",C49-G49,0)</f>
        <v>4695965.08764842</v>
      </c>
      <c r="J49" s="3518">
        <f t="array" ref="J49">IF(A49&lt;&gt;"",J48+H49,J48)</f>
        <v>835017.054928043</v>
      </c>
      <c r="K49" s="3537">
        <f t="array" ref="K49">SUM(H42:H53)</f>
      </c>
      <c r="L49" s="960" t="n"/>
      <c r="M49" s="793" t="n"/>
      <c r="N49" s="1168" t="n"/>
      <c r="O49" s="1168" t="n"/>
      <c r="P49" s="1168" t="n"/>
      <c r="Q49" s="1168" t="n"/>
      <c r="R49" s="1168" t="n"/>
      <c r="S49" s="1168" t="n"/>
      <c r="T49" s="1168" t="n"/>
      <c r="U49" s="1168" t="n"/>
      <c r="V49" s="1168" t="n"/>
      <c r="W49" s="1168" t="n"/>
      <c r="X49" s="1168" t="n"/>
      <c r="Y49" s="1167" t="n"/>
    </row>
    <row r="50" s="3154" customFormat="1" ht="12.75" customHeight="1">
      <c r="A50" s="1117">
        <f t="array" ref="A50">IF(I49&gt;0.5,A49+1,"")</f>
        <v>33</v>
      </c>
      <c r="B50" s="3515">
        <f t="array" ref="B50">IF(A50&lt;&gt;"",DATE(YEAR($D$9),MONTH($D$9)+A50,DAY($D$9)),"")</f>
        <v>47757</v>
      </c>
      <c r="C50" s="3516">
        <f t="array" ref="C50">IF(A50&lt;&gt;"",I49,"")</f>
        <v>4695965.08764842</v>
      </c>
      <c r="D50" s="3516">
        <f t="array" ref="D50">IF(A50&lt;&gt;"",$H$5,"")</f>
        <v>33254.5945333633</v>
      </c>
      <c r="E50" s="3517">
        <v>0</v>
      </c>
      <c r="F50" s="3516">
        <f t="array" ref="F50">IF(A50&lt;&gt;"",D50+E50,"")</f>
        <v>33254.5945333633</v>
      </c>
      <c r="G50" s="3516">
        <f t="array" ref="G50">IF(A50&lt;&gt;"",F50-H50,0)</f>
        <v>7818.11697526777</v>
      </c>
      <c r="H50" s="3516">
        <f t="array" ref="H50">IF(A50&lt;&gt;"",C50*$D$6/$D$8,0)</f>
        <v>25436.4775580956</v>
      </c>
      <c r="I50" s="3516">
        <f t="array" ref="I50">IF(A50&lt;&gt;"",C50-G50,0)</f>
        <v>4688146.97067315</v>
      </c>
      <c r="J50" s="3516">
        <f t="array" ref="J50">IF(A50&lt;&gt;"",J49+H50,J49)</f>
        <v>860453.532486139</v>
      </c>
      <c r="K50" s="1125"/>
      <c r="L50" s="652" t="n"/>
      <c r="M50" s="1167" t="n"/>
      <c r="N50" s="1168" t="n"/>
      <c r="O50" s="1168" t="n"/>
      <c r="P50" s="1168" t="n"/>
      <c r="Q50" s="1168" t="n"/>
      <c r="R50" s="1168" t="n"/>
      <c r="S50" s="1168" t="n"/>
      <c r="T50" s="1168" t="n"/>
      <c r="U50" s="1168" t="n"/>
      <c r="V50" s="1168" t="n"/>
      <c r="W50" s="1168" t="n"/>
      <c r="X50" s="1168" t="n"/>
      <c r="Y50" s="1167" t="n"/>
    </row>
    <row r="51" s="3154" customFormat="1" ht="13.5" customHeight="1">
      <c r="A51" s="1117">
        <f t="array" ref="A51">IF(I50&gt;0.5,A50+1,"")</f>
        <v>34</v>
      </c>
      <c r="B51" s="3515">
        <f t="array" ref="B51">IF(A51&lt;&gt;"",DATE(YEAR($D$9),MONTH($D$9)+A51,DAY($D$9)),"")</f>
        <v>47788</v>
      </c>
      <c r="C51" s="3516">
        <f t="array" ref="C51">IF(A51&lt;&gt;"",I50,"")</f>
        <v>4688146.97067315</v>
      </c>
      <c r="D51" s="3516">
        <f t="array" ref="D51">IF(A51&lt;&gt;"",$H$5,"")</f>
        <v>33254.5945333633</v>
      </c>
      <c r="E51" s="3517">
        <v>0</v>
      </c>
      <c r="F51" s="3516">
        <f t="array" ref="F51">IF(A51&lt;&gt;"",D51+E51,"")</f>
        <v>33254.5945333633</v>
      </c>
      <c r="G51" s="3516">
        <f t="array" ref="G51">IF(A51&lt;&gt;"",F51-H51,0)</f>
        <v>7860.4651088838</v>
      </c>
      <c r="H51" s="3516">
        <f t="array" ref="H51">IF(A51&lt;&gt;"",C51*$D$6/$D$8,0)</f>
        <v>25394.1294244795</v>
      </c>
      <c r="I51" s="3516">
        <f t="array" ref="I51">IF(A51&lt;&gt;"",C51-G51,0)</f>
        <v>4680286.50556426</v>
      </c>
      <c r="J51" s="3516">
        <f t="array" ref="J51">IF(A51&lt;&gt;"",J50+H51,J50)</f>
        <v>885847.661910618</v>
      </c>
      <c r="K51" s="1122"/>
      <c r="L51" s="642" t="n"/>
      <c r="M51" s="1167" t="n"/>
      <c r="N51" s="1168" t="n"/>
      <c r="O51" s="1168" t="n"/>
      <c r="P51" s="1168" t="n"/>
      <c r="Q51" s="1168" t="n"/>
      <c r="R51" s="1168" t="n"/>
      <c r="S51" s="1168" t="n"/>
      <c r="T51" s="1168" t="n"/>
      <c r="U51" s="1168" t="n"/>
      <c r="V51" s="1168" t="n"/>
      <c r="W51" s="1168" t="n"/>
      <c r="X51" s="1168" t="n"/>
      <c r="Y51" s="1167" t="n"/>
    </row>
    <row r="52" s="3154" customFormat="1" ht="13.5" customHeight="1">
      <c r="A52" s="1132">
        <f t="array" ref="A52">IF(I51&gt;0.5,A51+1,"")</f>
        <v>35</v>
      </c>
      <c r="B52" s="3519">
        <f t="array" ref="B52">IF(A52&lt;&gt;"",DATE(YEAR($D$9),MONTH($D$9)+A52,DAY($D$9)),"")</f>
        <v>47818</v>
      </c>
      <c r="C52" s="3520">
        <f t="array" ref="C52">IF(A52&lt;&gt;"",I51,"")</f>
        <v>4680286.50556426</v>
      </c>
      <c r="D52" s="3520">
        <f t="array" ref="D52">IF(A52&lt;&gt;"",$H$5,"")</f>
        <v>33254.5945333633</v>
      </c>
      <c r="E52" s="3521">
        <v>0</v>
      </c>
      <c r="F52" s="3520">
        <f t="array" ref="F52">IF(A52&lt;&gt;"",D52+E52,"")</f>
        <v>33254.5945333633</v>
      </c>
      <c r="G52" s="3520">
        <f t="array" ref="G52">IF(A52&lt;&gt;"",F52-H52,0)</f>
        <v>7903.04262822359</v>
      </c>
      <c r="H52" s="3520">
        <f t="array" ref="H52">IF(A52&lt;&gt;"",C52*$D$6/$D$8,0)</f>
        <v>25351.5519051398</v>
      </c>
      <c r="I52" s="3520">
        <f t="array" ref="I52">IF(A52&lt;&gt;"",C52-G52,0)</f>
        <v>4672383.46293604</v>
      </c>
      <c r="J52" s="3522">
        <f t="array" ref="J52">IF(A52&lt;&gt;"",J51+H52,J51)</f>
        <v>911199.213815758</v>
      </c>
      <c r="K52" s="942">
        <is>
          <t xml:space="preserve">Principle</t>
        </is>
      </c>
      <c r="L52" s="3425" t="n"/>
      <c r="M52" s="793" t="n"/>
      <c r="N52" s="1168" t="n"/>
      <c r="O52" s="1168" t="n"/>
      <c r="P52" s="1168" t="n"/>
      <c r="Q52" s="1168" t="n"/>
      <c r="R52" s="1168" t="n"/>
      <c r="S52" s="1168" t="n"/>
      <c r="T52" s="1168" t="n"/>
      <c r="U52" s="1168" t="n"/>
      <c r="V52" s="1168" t="n"/>
      <c r="W52" s="1168" t="n"/>
      <c r="X52" s="1168" t="n"/>
      <c r="Y52" s="1167" t="n"/>
    </row>
    <row r="53" s="3154" customFormat="1" ht="13.5" customHeight="1">
      <c r="A53" s="1141">
        <f t="array" ref="A53">IF(I52&gt;0.5,A52+1,"")</f>
        <v>36</v>
      </c>
      <c r="B53" s="3523">
        <f t="array" ref="B53">IF(A53&lt;&gt;"",DATE(YEAR($D$9),MONTH($D$9)+A53,DAY($D$9)),"")</f>
        <v>47849</v>
      </c>
      <c r="C53" s="3524">
        <f t="array" ref="C53">IF(A53&lt;&gt;"",I52,"")</f>
        <v>4672383.46293604</v>
      </c>
      <c r="D53" s="3524">
        <f t="array" ref="D53">IF(A53&lt;&gt;"",$H$5,"")</f>
        <v>33254.5945333633</v>
      </c>
      <c r="E53" s="3525">
        <v>0</v>
      </c>
      <c r="F53" s="3524">
        <f t="array" ref="F53">IF(A53&lt;&gt;"",D53+E53,"")</f>
        <v>33254.5945333633</v>
      </c>
      <c r="G53" s="3524">
        <f t="array" ref="G53">IF(A53&lt;&gt;"",F53-H53,0)</f>
        <v>7945.85077579313</v>
      </c>
      <c r="H53" s="3526">
        <f t="array" ref="H53">IF(A53&lt;&gt;"",C53*$D$6/$D$8,0)</f>
        <v>25308.7437575702</v>
      </c>
      <c r="I53" s="3527">
        <f t="array" ref="I53">IF(A53&lt;&gt;"",C53-G53,0)</f>
        <v>4664437.61216025</v>
      </c>
      <c r="J53" s="3527">
        <f t="array" ref="J53">IF(A53&lt;&gt;"",J52+H53,J52)</f>
        <v>936507.957573328</v>
      </c>
      <c r="K53" s="3537">
        <f t="array" ref="K53">SUM(G42:G53)</f>
        <v>92575.0000084664</v>
      </c>
      <c r="L53" s="960" t="n"/>
      <c r="M53" s="793" t="n"/>
      <c r="N53" s="1168" t="n"/>
      <c r="O53" s="1168" t="n"/>
      <c r="P53" s="1168" t="n"/>
      <c r="Q53" s="1168" t="n"/>
      <c r="R53" s="1168" t="n"/>
      <c r="S53" s="1168" t="n"/>
      <c r="T53" s="1168" t="n"/>
      <c r="U53" s="1168" t="n"/>
      <c r="V53" s="1168" t="n"/>
      <c r="W53" s="1168" t="n"/>
      <c r="X53" s="1168" t="n"/>
      <c r="Y53" s="1167" t="n"/>
    </row>
    <row r="54" s="3154" customFormat="1" ht="12.75" customHeight="1">
      <c r="A54" s="1149">
        <f t="array" ref="A54">IF(I53&gt;0.5,A53+1,"")</f>
        <v>37</v>
      </c>
      <c r="B54" s="3530">
        <f t="array" ref="B54">IF(A54&lt;&gt;"",DATE(YEAR($D$9),MONTH($D$9)+A54,DAY($D$9)),"")</f>
        <v>47880</v>
      </c>
      <c r="C54" s="3531">
        <f t="array" ref="C54">IF(A54&lt;&gt;"",I53,"")</f>
        <v>4664437.61216025</v>
      </c>
      <c r="D54" s="3531">
        <f t="array" ref="D54">IF(A54&lt;&gt;"",$H$5,"")</f>
        <v>33254.5945333633</v>
      </c>
      <c r="E54" s="3532">
        <v>0</v>
      </c>
      <c r="F54" s="3531">
        <f t="array" ref="F54">IF(A54&lt;&gt;"",D54+E54,"")</f>
        <v>33254.5945333633</v>
      </c>
      <c r="G54" s="3531">
        <f t="array" ref="G54">IF(A54&lt;&gt;"",F54-H54,0)</f>
        <v>7988.89080082868</v>
      </c>
      <c r="H54" s="3531">
        <f t="array" ref="H54">IF(A54&lt;&gt;"",C54*$D$6/$D$8,0)</f>
        <v>25265.7037325347</v>
      </c>
      <c r="I54" s="3531">
        <f t="array" ref="I54">IF(A54&lt;&gt;"",C54-G54,0)</f>
        <v>4656448.72135942</v>
      </c>
      <c r="J54" s="3531">
        <f t="array" ref="J54">IF(A54&lt;&gt;"",J53+H54,J53)</f>
        <v>961773.661305863</v>
      </c>
      <c r="K54" s="1125"/>
      <c r="L54" s="652" t="n"/>
      <c r="M54" s="1167" t="n"/>
      <c r="N54" s="1168" t="n"/>
      <c r="O54" s="1168" t="n"/>
      <c r="P54" s="1168" t="n"/>
      <c r="Q54" s="1168" t="n"/>
      <c r="R54" s="1168" t="n"/>
      <c r="S54" s="1168" t="n"/>
      <c r="T54" s="1168" t="n"/>
      <c r="U54" s="1168" t="n"/>
      <c r="V54" s="1168" t="n"/>
      <c r="W54" s="1168" t="n"/>
      <c r="X54" s="1168" t="n"/>
      <c r="Y54" s="1167" t="n"/>
    </row>
    <row r="55" s="3154" customFormat="1" ht="12.75" customHeight="1">
      <c r="A55" s="1117">
        <f t="array" ref="A55">IF(I54&gt;0.5,A54+1,"")</f>
        <v>38</v>
      </c>
      <c r="B55" s="3515">
        <f t="array" ref="B55">IF(A55&lt;&gt;"",DATE(YEAR($D$9),MONTH($D$9)+A55,DAY($D$9)),"")</f>
        <v>47908</v>
      </c>
      <c r="C55" s="3516">
        <f t="array" ref="C55">IF(A55&lt;&gt;"",I54,"")</f>
        <v>4656448.72135942</v>
      </c>
      <c r="D55" s="3516">
        <f t="array" ref="D55">IF(A55&lt;&gt;"",$H$5,"")</f>
        <v>33254.5945333633</v>
      </c>
      <c r="E55" s="3517">
        <v>0</v>
      </c>
      <c r="F55" s="3516">
        <f t="array" ref="F55">IF(A55&lt;&gt;"",D55+E55,"")</f>
        <v>33254.5945333633</v>
      </c>
      <c r="G55" s="3516">
        <f t="array" ref="G55">IF(A55&lt;&gt;"",F55-H55,0)</f>
        <v>8032.16395933317</v>
      </c>
      <c r="H55" s="3516">
        <f t="array" ref="H55">IF(A55&lt;&gt;"",C55*$D$6/$D$8,0)</f>
        <v>25222.4305740302</v>
      </c>
      <c r="I55" s="3516">
        <f t="array" ref="I55">IF(A55&lt;&gt;"",C55-G55,0)</f>
        <v>4648416.55740009</v>
      </c>
      <c r="J55" s="3516">
        <f t="array" ref="J55">IF(A55&lt;&gt;"",J54+H55,J54)</f>
        <v>986996.091879893</v>
      </c>
      <c r="K55" s="666"/>
      <c r="L55" s="1167" t="n"/>
      <c r="M55" s="1167" t="n"/>
      <c r="N55" s="1168" t="n"/>
      <c r="O55" s="1168" t="n"/>
      <c r="P55" s="1168" t="n"/>
      <c r="Q55" s="1168" t="n"/>
      <c r="R55" s="1168" t="n"/>
      <c r="S55" s="1168" t="n"/>
      <c r="T55" s="1168" t="n"/>
      <c r="U55" s="1168" t="n"/>
      <c r="V55" s="1168" t="n"/>
      <c r="W55" s="1168" t="n"/>
      <c r="X55" s="1168" t="n"/>
      <c r="Y55" s="1167" t="n"/>
    </row>
    <row r="56" s="3154" customFormat="1" ht="12.75" customHeight="1">
      <c r="A56" s="1117">
        <f t="array" ref="A56">IF(I55&gt;0.5,A55+1,"")</f>
        <v>39</v>
      </c>
      <c r="B56" s="3515">
        <f t="array" ref="B56">IF(A56&lt;&gt;"",DATE(YEAR($D$9),MONTH($D$9)+A56,DAY($D$9)),"")</f>
        <v>47939</v>
      </c>
      <c r="C56" s="3516">
        <f t="array" ref="C56">IF(A56&lt;&gt;"",I55,"")</f>
        <v>4648416.55740009</v>
      </c>
      <c r="D56" s="3516">
        <f t="array" ref="D56">IF(A56&lt;&gt;"",$H$5,"")</f>
        <v>33254.5945333633</v>
      </c>
      <c r="E56" s="3517">
        <v>0</v>
      </c>
      <c r="F56" s="3516">
        <f t="array" ref="F56">IF(A56&lt;&gt;"",D56+E56,"")</f>
        <v>33254.5945333633</v>
      </c>
      <c r="G56" s="3516">
        <f t="array" ref="G56">IF(A56&lt;&gt;"",F56-H56,0)</f>
        <v>8075.67151411289</v>
      </c>
      <c r="H56" s="3516">
        <f t="array" ref="H56">IF(A56&lt;&gt;"",C56*$D$6/$D$8,0)</f>
        <v>25178.9230192505</v>
      </c>
      <c r="I56" s="3516">
        <f t="array" ref="I56">IF(A56&lt;&gt;"",C56-G56,0)</f>
        <v>4640340.88588597</v>
      </c>
      <c r="J56" s="3516">
        <f t="array" ref="J56">IF(A56&lt;&gt;"",J55+H56,J55)</f>
        <v>1012175.01489914</v>
      </c>
      <c r="K56" s="666"/>
      <c r="L56" s="1167" t="n"/>
      <c r="M56" s="1167" t="n"/>
      <c r="N56" s="1168" t="n"/>
      <c r="O56" s="1168" t="n"/>
      <c r="P56" s="1168" t="n"/>
      <c r="Q56" s="1168" t="n"/>
      <c r="R56" s="1168" t="n"/>
      <c r="S56" s="1168" t="n"/>
      <c r="T56" s="1168" t="n"/>
      <c r="U56" s="1168" t="n"/>
      <c r="V56" s="1168" t="n"/>
      <c r="W56" s="1168" t="n"/>
      <c r="X56" s="1168" t="n"/>
      <c r="Y56" s="1167" t="n"/>
    </row>
    <row r="57" s="3154" customFormat="1" ht="12.75" customHeight="1">
      <c r="A57" s="1117">
        <f t="array" ref="A57">IF(I56&gt;0.5,A56+1,"")</f>
        <v>40</v>
      </c>
      <c r="B57" s="3515">
        <f t="array" ref="B57">IF(A57&lt;&gt;"",DATE(YEAR($D$9),MONTH($D$9)+A57,DAY($D$9)),"")</f>
        <v>47969</v>
      </c>
      <c r="C57" s="3516">
        <f t="array" ref="C57">IF(A57&lt;&gt;"",I56,"")</f>
        <v>4640340.88588597</v>
      </c>
      <c r="D57" s="3516">
        <f t="array" ref="D57">IF(A57&lt;&gt;"",$H$5,"")</f>
        <v>33254.5945333633</v>
      </c>
      <c r="E57" s="3517">
        <v>0</v>
      </c>
      <c r="F57" s="3516">
        <f t="array" ref="F57">IF(A57&lt;&gt;"",D57+E57,"")</f>
        <v>33254.5945333633</v>
      </c>
      <c r="G57" s="3516">
        <f t="array" ref="G57">IF(A57&lt;&gt;"",F57-H57,0)</f>
        <v>8119.41473481433</v>
      </c>
      <c r="H57" s="3516">
        <f t="array" ref="H57">IF(A57&lt;&gt;"",C57*$D$6/$D$8,0)</f>
        <v>25135.179798549</v>
      </c>
      <c r="I57" s="3516">
        <f t="array" ref="I57">IF(A57&lt;&gt;"",C57-G57,0)</f>
        <v>4632221.47115116</v>
      </c>
      <c r="J57" s="3516">
        <f t="array" ref="J57">IF(A57&lt;&gt;"",J56+H57,J56)</f>
        <v>1037310.19469769</v>
      </c>
      <c r="K57" s="666"/>
      <c r="L57" s="1167" t="n"/>
      <c r="M57" s="1167" t="n"/>
      <c r="N57" s="1168" t="n"/>
      <c r="O57" s="1168" t="n"/>
      <c r="P57" s="1168" t="n"/>
      <c r="Q57" s="1168" t="n"/>
      <c r="R57" s="1168" t="n"/>
      <c r="S57" s="1168" t="n"/>
      <c r="T57" s="1168" t="n"/>
      <c r="U57" s="1168" t="n"/>
      <c r="V57" s="1168" t="n"/>
      <c r="W57" s="1168" t="n"/>
      <c r="X57" s="1168" t="n"/>
      <c r="Y57" s="1167" t="n"/>
    </row>
    <row r="58" s="3154" customFormat="1" ht="13.5" customHeight="1">
      <c r="A58" s="1117">
        <f t="array" ref="A58">IF(I57&gt;0.5,A57+1,"")</f>
        <v>41</v>
      </c>
      <c r="B58" s="3515">
        <f t="array" ref="B58">IF(A58&lt;&gt;"",DATE(YEAR($D$9),MONTH($D$9)+A58,DAY($D$9)),"")</f>
        <v>48000</v>
      </c>
      <c r="C58" s="3516">
        <f t="array" ref="C58">IF(A58&lt;&gt;"",I57,"")</f>
        <v>4632221.47115116</v>
      </c>
      <c r="D58" s="3516">
        <f t="array" ref="D58">IF(A58&lt;&gt;"",$H$5,"")</f>
        <v>33254.5945333633</v>
      </c>
      <c r="E58" s="3517">
        <v>0</v>
      </c>
      <c r="F58" s="3516">
        <f t="array" ref="F58">IF(A58&lt;&gt;"",D58+E58,"")</f>
        <v>33254.5945333633</v>
      </c>
      <c r="G58" s="3516">
        <f t="array" ref="G58">IF(A58&lt;&gt;"",F58-H58,0)</f>
        <v>8163.39489796124</v>
      </c>
      <c r="H58" s="3516">
        <f t="array" ref="H58">IF(A58&lt;&gt;"",C58*$D$6/$D$8,0)</f>
        <v>25091.1996354021</v>
      </c>
      <c r="I58" s="3516">
        <f t="array" ref="I58">IF(A58&lt;&gt;"",C58-G58,0)</f>
        <v>4624058.0762532</v>
      </c>
      <c r="J58" s="3516">
        <f t="array" ref="J58">IF(A58&lt;&gt;"",J57+H58,J57)</f>
        <v>1062401.39433309</v>
      </c>
      <c r="K58" s="1122"/>
      <c r="L58" s="642" t="n"/>
      <c r="M58" s="1167" t="n"/>
      <c r="N58" s="1168" t="n"/>
      <c r="O58" s="1168" t="n"/>
      <c r="P58" s="1168" t="n"/>
      <c r="Q58" s="1168" t="n"/>
      <c r="R58" s="1168" t="n"/>
      <c r="S58" s="1168" t="n"/>
      <c r="T58" s="1168" t="n"/>
      <c r="U58" s="1168" t="n"/>
      <c r="V58" s="1168" t="n"/>
      <c r="W58" s="1168" t="n"/>
      <c r="X58" s="1168" t="n"/>
      <c r="Y58" s="1167" t="n"/>
    </row>
    <row r="59" s="3154" customFormat="1" ht="13.5" customHeight="1">
      <c r="A59" s="1117">
        <f t="array" ref="A59">IF(I58&gt;0.5,A58+1,"")</f>
        <v>42</v>
      </c>
      <c r="B59" s="3515">
        <f t="array" ref="B59">IF(A59&lt;&gt;"",DATE(YEAR($D$9),MONTH($D$9)+A59,DAY($D$9)),"")</f>
        <v>48030</v>
      </c>
      <c r="C59" s="3516">
        <f t="array" ref="C59">IF(A59&lt;&gt;"",I58,"")</f>
        <v>4624058.0762532</v>
      </c>
      <c r="D59" s="3516">
        <f t="array" ref="D59">IF(A59&lt;&gt;"",$H$5,"")</f>
        <v>33254.5945333633</v>
      </c>
      <c r="E59" s="3517">
        <v>0</v>
      </c>
      <c r="F59" s="3516">
        <f t="array" ref="F59">IF(A59&lt;&gt;"",D59+E59,"")</f>
        <v>33254.5945333633</v>
      </c>
      <c r="G59" s="3516">
        <f t="array" ref="G59">IF(A59&lt;&gt;"",F59-H59,0)</f>
        <v>8207.61328699187</v>
      </c>
      <c r="H59" s="3516">
        <f t="array" ref="H59">IF(A59&lt;&gt;"",C59*$D$6/$D$8,0)</f>
        <v>25046.9812463715</v>
      </c>
      <c r="I59" s="3516">
        <f t="array" ref="I59">IF(A59&lt;&gt;"",C59-G59,0)</f>
        <v>4615850.46296621</v>
      </c>
      <c r="J59" s="3518">
        <f t="array" ref="J59">IF(A59&lt;&gt;"",J58+H59,J58)</f>
        <v>1087448.37557947</v>
      </c>
      <c r="K59" s="848">
        <is>
          <t xml:space="preserve">Year 4</t>
        </is>
      </c>
      <c r="L59" s="3425" t="n"/>
      <c r="M59" s="793" t="n"/>
      <c r="N59" s="1168" t="n"/>
      <c r="O59" s="1168" t="n"/>
      <c r="P59" s="1168" t="n"/>
      <c r="Q59" s="1168" t="n"/>
      <c r="R59" s="1168" t="n"/>
      <c r="S59" s="1168" t="n"/>
      <c r="T59" s="1168" t="n"/>
      <c r="U59" s="1168" t="n"/>
      <c r="V59" s="1168" t="n"/>
      <c r="W59" s="1168" t="n"/>
      <c r="X59" s="1168" t="n"/>
      <c r="Y59" s="1167" t="n"/>
    </row>
    <row r="60" s="3154" customFormat="1" ht="13.5" customHeight="1">
      <c r="A60" s="1117">
        <f t="array" ref="A60">IF(I59&gt;0.5,A59+1,"")</f>
        <v>43</v>
      </c>
      <c r="B60" s="3515">
        <f t="array" ref="B60">IF(A60&lt;&gt;"",DATE(YEAR($D$9),MONTH($D$9)+A60,DAY($D$9)),"")</f>
        <v>48061</v>
      </c>
      <c r="C60" s="3516">
        <f t="array" ref="C60">IF(A60&lt;&gt;"",I59,"")</f>
        <v>4615850.46296621</v>
      </c>
      <c r="D60" s="3516">
        <f t="array" ref="D60">IF(A60&lt;&gt;"",$H$5,"")</f>
        <v>33254.5945333633</v>
      </c>
      <c r="E60" s="3517">
        <v>0</v>
      </c>
      <c r="F60" s="3516">
        <f t="array" ref="F60">IF(A60&lt;&gt;"",D60+E60,"")</f>
        <v>33254.5945333633</v>
      </c>
      <c r="G60" s="3516">
        <f t="array" ref="G60">IF(A60&lt;&gt;"",F60-H60,0)</f>
        <v>8252.0711922964</v>
      </c>
      <c r="H60" s="3516">
        <f t="array" ref="H60">IF(A60&lt;&gt;"",C60*$D$6/$D$8,0)</f>
        <v>25002.5233410669</v>
      </c>
      <c r="I60" s="3516">
        <f t="array" ref="I60">IF(A60&lt;&gt;"",C60-G60,0)</f>
        <v>4607598.39177391</v>
      </c>
      <c r="J60" s="3518">
        <f t="array" ref="J60">IF(A60&lt;&gt;"",J59+H60,J59)</f>
        <v>1112450.89892053</v>
      </c>
      <c r="K60" s="942">
        <is>
          <t xml:space="preserve">Intrest</t>
        </is>
      </c>
      <c r="L60" s="3425" t="n"/>
      <c r="M60" s="793" t="n"/>
      <c r="N60" s="1168" t="n"/>
      <c r="O60" s="1168" t="n"/>
      <c r="P60" s="1168" t="n"/>
      <c r="Q60" s="1168" t="n"/>
      <c r="R60" s="1168" t="n"/>
      <c r="S60" s="1168" t="n"/>
      <c r="T60" s="1168" t="n"/>
      <c r="U60" s="1168" t="n"/>
      <c r="V60" s="1168" t="n"/>
      <c r="W60" s="1168" t="n"/>
      <c r="X60" s="1168" t="n"/>
      <c r="Y60" s="1167" t="n"/>
    </row>
    <row r="61" s="3154" customFormat="1" ht="13.5" customHeight="1">
      <c r="A61" s="1117">
        <f t="array" ref="A61">IF(I60&gt;0.5,A60+1,"")</f>
        <v>44</v>
      </c>
      <c r="B61" s="3515">
        <f t="array" ref="B61">IF(A61&lt;&gt;"",DATE(YEAR($D$9),MONTH($D$9)+A61,DAY($D$9)),"")</f>
        <v>48092</v>
      </c>
      <c r="C61" s="3516">
        <f t="array" ref="C61">IF(A61&lt;&gt;"",I60,"")</f>
        <v>4607598.39177391</v>
      </c>
      <c r="D61" s="3516">
        <f t="array" ref="D61">IF(A61&lt;&gt;"",$H$5,"")</f>
        <v>33254.5945333633</v>
      </c>
      <c r="E61" s="3517">
        <v>0</v>
      </c>
      <c r="F61" s="3516">
        <f t="array" ref="F61">IF(A61&lt;&gt;"",D61+E61,"")</f>
        <v>33254.5945333633</v>
      </c>
      <c r="G61" s="3516">
        <f t="array" ref="G61">IF(A61&lt;&gt;"",F61-H61,0)</f>
        <v>8296.76991125467</v>
      </c>
      <c r="H61" s="3516">
        <f t="array" ref="H61">IF(A61&lt;&gt;"",C61*$D$6/$D$8,0)</f>
        <v>24957.8246221087</v>
      </c>
      <c r="I61" s="3516">
        <f t="array" ref="I61">IF(A61&lt;&gt;"",C61-G61,0)</f>
        <v>4599301.62186265</v>
      </c>
      <c r="J61" s="3518">
        <f t="array" ref="J61">IF(A61&lt;&gt;"",J60+H61,J60)</f>
        <v>1137408.72354264</v>
      </c>
      <c r="K61" s="3537">
        <f t="array" ref="K61">SUM(H54:H65)</f>
      </c>
      <c r="L61" s="960" t="n"/>
      <c r="M61" s="793" t="n"/>
      <c r="N61" s="1168" t="n"/>
      <c r="O61" s="1168" t="n"/>
      <c r="P61" s="1168" t="n"/>
      <c r="Q61" s="1168" t="n"/>
      <c r="R61" s="1168" t="n"/>
      <c r="S61" s="1168" t="n"/>
      <c r="T61" s="1168" t="n"/>
      <c r="U61" s="1168" t="n"/>
      <c r="V61" s="1168" t="n"/>
      <c r="W61" s="1168" t="n"/>
      <c r="X61" s="1168" t="n"/>
      <c r="Y61" s="1167" t="n"/>
    </row>
    <row r="62" s="3154" customFormat="1" ht="12.75" customHeight="1">
      <c r="A62" s="1117">
        <f t="array" ref="A62">IF(I61&gt;0.5,A61+1,"")</f>
        <v>45</v>
      </c>
      <c r="B62" s="3515">
        <f t="array" ref="B62">IF(A62&lt;&gt;"",DATE(YEAR($D$9),MONTH($D$9)+A62,DAY($D$9)),"")</f>
        <v>48122</v>
      </c>
      <c r="C62" s="3516">
        <f t="array" ref="C62">IF(A62&lt;&gt;"",I61,"")</f>
        <v>4599301.62186265</v>
      </c>
      <c r="D62" s="3516">
        <f t="array" ref="D62">IF(A62&lt;&gt;"",$H$5,"")</f>
        <v>33254.5945333633</v>
      </c>
      <c r="E62" s="3517">
        <v>0</v>
      </c>
      <c r="F62" s="3516">
        <f t="array" ref="F62">IF(A62&lt;&gt;"",D62+E62,"")</f>
        <v>33254.5945333633</v>
      </c>
      <c r="G62" s="3516">
        <f t="array" ref="G62">IF(A62&lt;&gt;"",F62-H62,0)</f>
        <v>8341.71074827397</v>
      </c>
      <c r="H62" s="3516">
        <f t="array" ref="H62">IF(A62&lt;&gt;"",C62*$D$6/$D$8,0)</f>
        <v>24912.8837850894</v>
      </c>
      <c r="I62" s="3516">
        <f t="array" ref="I62">IF(A62&lt;&gt;"",C62-G62,0)</f>
        <v>4590959.91111438</v>
      </c>
      <c r="J62" s="3516">
        <f t="array" ref="J62">IF(A62&lt;&gt;"",J61+H62,J61)</f>
        <v>1162321.60732773</v>
      </c>
      <c r="K62" s="1125"/>
      <c r="L62" s="652" t="n"/>
      <c r="M62" s="1167" t="n"/>
      <c r="N62" s="1168" t="n"/>
      <c r="O62" s="1168" t="n"/>
      <c r="P62" s="1168" t="n"/>
      <c r="Q62" s="1168" t="n"/>
      <c r="R62" s="1168" t="n"/>
      <c r="S62" s="1168" t="n"/>
      <c r="T62" s="1168" t="n"/>
      <c r="U62" s="1168" t="n"/>
      <c r="V62" s="1168" t="n"/>
      <c r="W62" s="1168" t="n"/>
      <c r="X62" s="1168" t="n"/>
      <c r="Y62" s="1167" t="n"/>
    </row>
    <row r="63" s="3154" customFormat="1" ht="13.5" customHeight="1">
      <c r="A63" s="1117">
        <f t="array" ref="A63">IF(I62&gt;0.5,A62+1,"")</f>
        <v>46</v>
      </c>
      <c r="B63" s="3515">
        <f t="array" ref="B63">IF(A63&lt;&gt;"",DATE(YEAR($D$9),MONTH($D$9)+A63,DAY($D$9)),"")</f>
        <v>48153</v>
      </c>
      <c r="C63" s="3516">
        <f t="array" ref="C63">IF(A63&lt;&gt;"",I62,"")</f>
        <v>4590959.91111438</v>
      </c>
      <c r="D63" s="3516">
        <f t="array" ref="D63">IF(A63&lt;&gt;"",$H$5,"")</f>
        <v>33254.5945333633</v>
      </c>
      <c r="E63" s="3517">
        <v>0</v>
      </c>
      <c r="F63" s="3516">
        <f t="array" ref="F63">IF(A63&lt;&gt;"",D63+E63,"")</f>
        <v>33254.5945333633</v>
      </c>
      <c r="G63" s="3516">
        <f t="array" ref="G63">IF(A63&lt;&gt;"",F63-H63,0)</f>
        <v>8386.89501482712</v>
      </c>
      <c r="H63" s="3516">
        <f t="array" ref="H63">IF(A63&lt;&gt;"",C63*$D$6/$D$8,0)</f>
        <v>24867.6995185362</v>
      </c>
      <c r="I63" s="3516">
        <f t="array" ref="I63">IF(A63&lt;&gt;"",C63-G63,0)</f>
        <v>4582573.01609955</v>
      </c>
      <c r="J63" s="3516">
        <f t="array" ref="J63">IF(A63&lt;&gt;"",J62+H63,J62)</f>
        <v>1187189.30684627</v>
      </c>
      <c r="K63" s="1122"/>
      <c r="L63" s="642" t="n"/>
      <c r="M63" s="1167" t="n"/>
      <c r="N63" s="1168" t="n"/>
      <c r="O63" s="1168" t="n"/>
      <c r="P63" s="1168" t="n"/>
      <c r="Q63" s="1168" t="n"/>
      <c r="R63" s="1168" t="n"/>
      <c r="S63" s="1168" t="n"/>
      <c r="T63" s="1168" t="n"/>
      <c r="U63" s="1168" t="n"/>
      <c r="V63" s="1168" t="n"/>
      <c r="W63" s="1168" t="n"/>
      <c r="X63" s="1168" t="n"/>
      <c r="Y63" s="1167" t="n"/>
    </row>
    <row r="64" s="3154" customFormat="1" ht="13.5" customHeight="1">
      <c r="A64" s="1132">
        <f t="array" ref="A64">IF(I63&gt;0.5,A63+1,"")</f>
        <v>47</v>
      </c>
      <c r="B64" s="3519">
        <f t="array" ref="B64">IF(A64&lt;&gt;"",DATE(YEAR($D$9),MONTH($D$9)+A64,DAY($D$9)),"")</f>
        <v>48183</v>
      </c>
      <c r="C64" s="3520">
        <f t="array" ref="C64">IF(A64&lt;&gt;"",I63,"")</f>
        <v>4582573.01609955</v>
      </c>
      <c r="D64" s="3520">
        <f t="array" ref="D64">IF(A64&lt;&gt;"",$H$5,"")</f>
        <v>33254.5945333633</v>
      </c>
      <c r="E64" s="3521">
        <v>0</v>
      </c>
      <c r="F64" s="3520">
        <f t="array" ref="F64">IF(A64&lt;&gt;"",D64+E64,"")</f>
        <v>33254.5945333633</v>
      </c>
      <c r="G64" s="3520">
        <f t="array" ref="G64">IF(A64&lt;&gt;"",F64-H64,0)</f>
        <v>8432.32402949077</v>
      </c>
      <c r="H64" s="3520">
        <f t="array" ref="H64">IF(A64&lt;&gt;"",C64*$D$6/$D$8,0)</f>
        <v>24822.2705038726</v>
      </c>
      <c r="I64" s="3520">
        <f t="array" ref="I64">IF(A64&lt;&gt;"",C64-G64,0)</f>
        <v>4574140.69207006</v>
      </c>
      <c r="J64" s="3522">
        <f t="array" ref="J64">IF(A64&lt;&gt;"",J63+H64,J63)</f>
        <v>1212011.57735014</v>
      </c>
      <c r="K64" s="942">
        <is>
          <t xml:space="preserve">Principle</t>
        </is>
      </c>
      <c r="L64" s="3425" t="n"/>
      <c r="M64" s="793" t="n"/>
      <c r="N64" s="1168" t="n"/>
      <c r="O64" s="1168" t="n"/>
      <c r="P64" s="1168" t="n"/>
      <c r="Q64" s="1168" t="n"/>
      <c r="R64" s="1168" t="n"/>
      <c r="S64" s="1168" t="n"/>
      <c r="T64" s="1168" t="n"/>
      <c r="U64" s="1168" t="n"/>
      <c r="V64" s="1168" t="n"/>
      <c r="W64" s="1168" t="n"/>
      <c r="X64" s="1168" t="n"/>
      <c r="Y64" s="1167" t="n"/>
    </row>
    <row r="65" s="3154" customFormat="1" ht="13.5" customHeight="1">
      <c r="A65" s="1141">
        <f t="array" ref="A65">IF(I64&gt;0.5,A64+1,"")</f>
        <v>48</v>
      </c>
      <c r="B65" s="3523">
        <f t="array" ref="B65">IF(A65&lt;&gt;"",DATE(YEAR($D$9),MONTH($D$9)+A65,DAY($D$9)),"")</f>
        <v>48214</v>
      </c>
      <c r="C65" s="3524">
        <f t="array" ref="C65">IF(A65&lt;&gt;"",I64,"")</f>
        <v>4574140.69207006</v>
      </c>
      <c r="D65" s="3524">
        <f t="array" ref="D65">IF(A65&lt;&gt;"",$H$5,"")</f>
        <v>33254.5945333633</v>
      </c>
      <c r="E65" s="3525">
        <v>0</v>
      </c>
      <c r="F65" s="3524">
        <f t="array" ref="F65">IF(A65&lt;&gt;"",D65+E65,"")</f>
        <v>33254.5945333633</v>
      </c>
      <c r="G65" s="3524">
        <f t="array" ref="G65">IF(A65&lt;&gt;"",F65-H65,0)</f>
        <v>8477.99911798384</v>
      </c>
      <c r="H65" s="3526">
        <f t="array" ref="H65">IF(A65&lt;&gt;"",C65*$D$6/$D$8,0)</f>
        <v>24776.5954153795</v>
      </c>
      <c r="I65" s="3527">
        <f t="array" ref="I65">IF(A65&lt;&gt;"",C65-G65,0)</f>
        <v>4565662.69295208</v>
      </c>
      <c r="J65" s="3527">
        <f t="array" ref="J65">IF(A65&lt;&gt;"",J64+H65,J64)</f>
        <v>1236788.17276552</v>
      </c>
      <c r="K65" s="3537">
        <f t="array" ref="K65">SUM(G54:G65)</f>
        <v>98774.9192081689</v>
      </c>
      <c r="L65" s="960" t="n"/>
      <c r="M65" s="793" t="n"/>
      <c r="N65" s="1168" t="n"/>
      <c r="O65" s="1168" t="n"/>
      <c r="P65" s="1168" t="n"/>
      <c r="Q65" s="1168" t="n"/>
      <c r="R65" s="1168" t="n"/>
      <c r="S65" s="1168" t="n"/>
      <c r="T65" s="1168" t="n"/>
      <c r="U65" s="1168" t="n"/>
      <c r="V65" s="1168" t="n"/>
      <c r="W65" s="1168" t="n"/>
      <c r="X65" s="1168" t="n"/>
      <c r="Y65" s="1167" t="n"/>
    </row>
    <row r="66" s="3154" customFormat="1" ht="12.75" customHeight="1">
      <c r="A66" s="1149">
        <f t="array" ref="A66">IF(I65&gt;0.5,A65+1,"")</f>
        <v>49</v>
      </c>
      <c r="B66" s="3530">
        <f t="array" ref="B66">IF(A66&lt;&gt;"",DATE(YEAR($D$9),MONTH($D$9)+A66,DAY($D$9)),"")</f>
        <v>48245</v>
      </c>
      <c r="C66" s="3531">
        <f t="array" ref="C66">IF(A66&lt;&gt;"",I65,"")</f>
        <v>4565662.69295208</v>
      </c>
      <c r="D66" s="3531">
        <f t="array" ref="D66">IF(A66&lt;&gt;"",$H$5,"")</f>
        <v>33254.5945333633</v>
      </c>
      <c r="E66" s="3532">
        <v>0</v>
      </c>
      <c r="F66" s="3531">
        <f t="array" ref="F66">IF(A66&lt;&gt;"",D66+E66,"")</f>
        <v>33254.5945333633</v>
      </c>
      <c r="G66" s="3531">
        <f t="array" ref="G66">IF(A66&lt;&gt;"",F66-H66,0)</f>
        <v>8523.92161320625</v>
      </c>
      <c r="H66" s="3531">
        <f t="array" ref="H66">IF(A66&lt;&gt;"",C66*$D$6/$D$8,0)</f>
        <v>24730.6729201571</v>
      </c>
      <c r="I66" s="3531">
        <f t="array" ref="I66">IF(A66&lt;&gt;"",C66-G66,0)</f>
        <v>4557138.77133887</v>
      </c>
      <c r="J66" s="3531">
        <f t="array" ref="J66">IF(A66&lt;&gt;"",J65+H66,J65)</f>
        <v>1261518.84568568</v>
      </c>
      <c r="K66" s="1125"/>
      <c r="L66" s="652" t="n"/>
      <c r="M66" s="1167" t="n"/>
      <c r="N66" s="1168" t="n"/>
      <c r="O66" s="1168" t="n"/>
      <c r="P66" s="1168" t="n"/>
      <c r="Q66" s="1168" t="n"/>
      <c r="R66" s="1168" t="n"/>
      <c r="S66" s="1168" t="n"/>
      <c r="T66" s="1168" t="n"/>
      <c r="U66" s="1168" t="n"/>
      <c r="V66" s="1168" t="n"/>
      <c r="W66" s="1168" t="n"/>
      <c r="X66" s="1168" t="n"/>
      <c r="Y66" s="1167" t="n"/>
    </row>
    <row r="67" s="3154" customFormat="1" ht="12.75" customHeight="1">
      <c r="A67" s="1117">
        <f t="array" ref="A67">IF(I66&gt;0.5,A66+1,"")</f>
        <v>50</v>
      </c>
      <c r="B67" s="3515">
        <f t="array" ref="B67">IF(A67&lt;&gt;"",DATE(YEAR($D$9),MONTH($D$9)+A67,DAY($D$9)),"")</f>
        <v>48274</v>
      </c>
      <c r="C67" s="3516">
        <f t="array" ref="C67">IF(A67&lt;&gt;"",I66,"")</f>
        <v>4557138.77133887</v>
      </c>
      <c r="D67" s="3516">
        <f t="array" ref="D67">IF(A67&lt;&gt;"",$H$5,"")</f>
        <v>33254.5945333633</v>
      </c>
      <c r="E67" s="3517">
        <v>0</v>
      </c>
      <c r="F67" s="3516">
        <f t="array" ref="F67">IF(A67&lt;&gt;"",D67+E67,"")</f>
        <v>33254.5945333633</v>
      </c>
      <c r="G67" s="3516">
        <f t="array" ref="G67">IF(A67&lt;&gt;"",F67-H67,0)</f>
        <v>8570.09285527778</v>
      </c>
      <c r="H67" s="3516">
        <f t="array" ref="H67">IF(A67&lt;&gt;"",C67*$D$6/$D$8,0)</f>
        <v>24684.5016780856</v>
      </c>
      <c r="I67" s="3516">
        <f t="array" ref="I67">IF(A67&lt;&gt;"",C67-G67,0)</f>
        <v>4548568.6784836</v>
      </c>
      <c r="J67" s="3516">
        <f t="array" ref="J67">IF(A67&lt;&gt;"",J66+H67,J66)</f>
        <v>1286203.34736376</v>
      </c>
      <c r="K67" s="666"/>
      <c r="L67" s="1167" t="n"/>
      <c r="M67" s="1167" t="n"/>
      <c r="N67" s="1168" t="n"/>
      <c r="O67" s="1168" t="n"/>
      <c r="P67" s="1168" t="n"/>
      <c r="Q67" s="1168" t="n"/>
      <c r="R67" s="1168" t="n"/>
      <c r="S67" s="1168" t="n"/>
      <c r="T67" s="1168" t="n"/>
      <c r="U67" s="1168" t="n"/>
      <c r="V67" s="1168" t="n"/>
      <c r="W67" s="1168" t="n"/>
      <c r="X67" s="1168" t="n"/>
      <c r="Y67" s="1167" t="n"/>
    </row>
    <row r="68" s="3154" customFormat="1" ht="12.75" customHeight="1">
      <c r="A68" s="1117">
        <f t="array" ref="A68">IF(I67&gt;0.5,A67+1,"")</f>
        <v>51</v>
      </c>
      <c r="B68" s="3515">
        <f t="array" ref="B68">IF(A68&lt;&gt;"",DATE(YEAR($D$9),MONTH($D$9)+A68,DAY($D$9)),"")</f>
        <v>48305</v>
      </c>
      <c r="C68" s="3516">
        <f t="array" ref="C68">IF(A68&lt;&gt;"",I67,"")</f>
        <v>4548568.6784836</v>
      </c>
      <c r="D68" s="3516">
        <f t="array" ref="D68">IF(A68&lt;&gt;"",$H$5,"")</f>
        <v>33254.5945333633</v>
      </c>
      <c r="E68" s="3517">
        <v>0</v>
      </c>
      <c r="F68" s="3516">
        <f t="array" ref="F68">IF(A68&lt;&gt;"",D68+E68,"")</f>
        <v>33254.5945333633</v>
      </c>
      <c r="G68" s="3516">
        <f t="array" ref="G68">IF(A68&lt;&gt;"",F68-H68,0)</f>
        <v>8616.5141915772</v>
      </c>
      <c r="H68" s="3516">
        <f t="array" ref="H68">IF(A68&lt;&gt;"",C68*$D$6/$D$8,0)</f>
        <v>24638.0803417861</v>
      </c>
      <c r="I68" s="3516">
        <f t="array" ref="I68">IF(A68&lt;&gt;"",C68-G68,0)</f>
        <v>4539952.16429202</v>
      </c>
      <c r="J68" s="3516">
        <f t="array" ref="J68">IF(A68&lt;&gt;"",J67+H68,J67)</f>
        <v>1310841.42770555</v>
      </c>
      <c r="K68" s="666"/>
      <c r="L68" s="1167" t="n"/>
      <c r="M68" s="1167" t="n"/>
      <c r="N68" s="1168" t="n"/>
      <c r="O68" s="1168" t="n"/>
      <c r="P68" s="1168" t="n"/>
      <c r="Q68" s="1168" t="n"/>
      <c r="R68" s="1168" t="n"/>
      <c r="S68" s="1168" t="n"/>
      <c r="T68" s="1168" t="n"/>
      <c r="U68" s="1168" t="n"/>
      <c r="V68" s="1168" t="n"/>
      <c r="W68" s="1168" t="n"/>
      <c r="X68" s="1168" t="n"/>
      <c r="Y68" s="1167" t="n"/>
    </row>
    <row r="69" s="3154" customFormat="1" ht="12.75" customHeight="1">
      <c r="A69" s="1117">
        <f t="array" ref="A69">IF(I68&gt;0.5,A68+1,"")</f>
        <v>52</v>
      </c>
      <c r="B69" s="3515">
        <f t="array" ref="B69">IF(A69&lt;&gt;"",DATE(YEAR($D$9),MONTH($D$9)+A69,DAY($D$9)),"")</f>
        <v>48335</v>
      </c>
      <c r="C69" s="3516">
        <f t="array" ref="C69">IF(A69&lt;&gt;"",I68,"")</f>
        <v>4539952.16429202</v>
      </c>
      <c r="D69" s="3516">
        <f t="array" ref="D69">IF(A69&lt;&gt;"",$H$5,"")</f>
        <v>33254.5945333633</v>
      </c>
      <c r="E69" s="3517">
        <v>0</v>
      </c>
      <c r="F69" s="3516">
        <f t="array" ref="F69">IF(A69&lt;&gt;"",D69+E69,"")</f>
        <v>33254.5945333633</v>
      </c>
      <c r="G69" s="3516">
        <f t="array" ref="G69">IF(A69&lt;&gt;"",F69-H69,0)</f>
        <v>8663.18697678158</v>
      </c>
      <c r="H69" s="3516">
        <f t="array" ref="H69">IF(A69&lt;&gt;"",C69*$D$6/$D$8,0)</f>
        <v>24591.4075565818</v>
      </c>
      <c r="I69" s="3516">
        <f t="array" ref="I69">IF(A69&lt;&gt;"",C69-G69,0)</f>
        <v>4531288.97731524</v>
      </c>
      <c r="J69" s="3516">
        <f t="array" ref="J69">IF(A69&lt;&gt;"",J68+H69,J68)</f>
        <v>1335432.83526213</v>
      </c>
      <c r="K69" s="666"/>
      <c r="L69" s="1167" t="n"/>
      <c r="M69" s="1167" t="n"/>
      <c r="N69" s="1168" t="n"/>
      <c r="O69" s="1168" t="n"/>
      <c r="P69" s="1168" t="n"/>
      <c r="Q69" s="1168" t="n"/>
      <c r="R69" s="1168" t="n"/>
      <c r="S69" s="1168" t="n"/>
      <c r="T69" s="1168" t="n"/>
      <c r="U69" s="1168" t="n"/>
      <c r="V69" s="1168" t="n"/>
      <c r="W69" s="1168" t="n"/>
      <c r="X69" s="1168" t="n"/>
      <c r="Y69" s="1167" t="n"/>
    </row>
    <row r="70" s="3154" customFormat="1" ht="13.5" customHeight="1">
      <c r="A70" s="1117">
        <f t="array" ref="A70">IF(I69&gt;0.5,A69+1,"")</f>
        <v>53</v>
      </c>
      <c r="B70" s="3515">
        <f t="array" ref="B70">IF(A70&lt;&gt;"",DATE(YEAR($D$9),MONTH($D$9)+A70,DAY($D$9)),"")</f>
        <v>48366</v>
      </c>
      <c r="C70" s="3516">
        <f t="array" ref="C70">IF(A70&lt;&gt;"",I69,"")</f>
        <v>4531288.97731524</v>
      </c>
      <c r="D70" s="3516">
        <f t="array" ref="D70">IF(A70&lt;&gt;"",$H$5,"")</f>
        <v>33254.5945333633</v>
      </c>
      <c r="E70" s="3517">
        <v>0</v>
      </c>
      <c r="F70" s="3516">
        <f t="array" ref="F70">IF(A70&lt;&gt;"",D70+E70,"")</f>
        <v>33254.5945333633</v>
      </c>
      <c r="G70" s="3516">
        <f t="array" ref="G70">IF(A70&lt;&gt;"",F70-H70,0)</f>
        <v>8710.11257290581</v>
      </c>
      <c r="H70" s="3516">
        <f t="array" ref="H70">IF(A70&lt;&gt;"",C70*$D$6/$D$8,0)</f>
        <v>24544.4819604575</v>
      </c>
      <c r="I70" s="3516">
        <f t="array" ref="I70">IF(A70&lt;&gt;"",C70-G70,0)</f>
        <v>4522578.86474233</v>
      </c>
      <c r="J70" s="3516">
        <f t="array" ref="J70">IF(A70&lt;&gt;"",J69+H70,J69)</f>
        <v>1359977.31722259</v>
      </c>
      <c r="K70" s="1122"/>
      <c r="L70" s="642" t="n"/>
      <c r="M70" s="1167" t="n"/>
      <c r="N70" s="1168" t="n"/>
      <c r="O70" s="1168" t="n"/>
      <c r="P70" s="1168" t="n"/>
      <c r="Q70" s="1168" t="n"/>
      <c r="R70" s="1168" t="n"/>
      <c r="S70" s="1168" t="n"/>
      <c r="T70" s="1168" t="n"/>
      <c r="U70" s="1168" t="n"/>
      <c r="V70" s="1168" t="n"/>
      <c r="W70" s="1168" t="n"/>
      <c r="X70" s="1168" t="n"/>
      <c r="Y70" s="1167" t="n"/>
    </row>
    <row r="71" s="3154" customFormat="1" ht="13.5" customHeight="1">
      <c r="A71" s="1117">
        <f t="array" ref="A71">IF(I70&gt;0.5,A70+1,"")</f>
        <v>54</v>
      </c>
      <c r="B71" s="3515">
        <f t="array" ref="B71">IF(A71&lt;&gt;"",DATE(YEAR($D$9),MONTH($D$9)+A71,DAY($D$9)),"")</f>
        <v>48396</v>
      </c>
      <c r="C71" s="3516">
        <f t="array" ref="C71">IF(A71&lt;&gt;"",I70,"")</f>
        <v>4522578.86474233</v>
      </c>
      <c r="D71" s="3516">
        <f t="array" ref="D71">IF(A71&lt;&gt;"",$H$5,"")</f>
        <v>33254.5945333633</v>
      </c>
      <c r="E71" s="3517">
        <v>0</v>
      </c>
      <c r="F71" s="3516">
        <f t="array" ref="F71">IF(A71&lt;&gt;"",D71+E71,"")</f>
        <v>33254.5945333633</v>
      </c>
      <c r="G71" s="3516">
        <f t="array" ref="G71">IF(A71&lt;&gt;"",F71-H71,0)</f>
        <v>8757.29234934238</v>
      </c>
      <c r="H71" s="3516">
        <f t="array" ref="H71">IF(A71&lt;&gt;"",C71*$D$6/$D$8,0)</f>
        <v>24497.302184021</v>
      </c>
      <c r="I71" s="3516">
        <f t="array" ref="I71">IF(A71&lt;&gt;"",C71-G71,0)</f>
        <v>4513821.57239299</v>
      </c>
      <c r="J71" s="3518">
        <f t="array" ref="J71">IF(A71&lt;&gt;"",J70+H71,J70)</f>
        <v>1384474.61940661</v>
      </c>
      <c r="K71" s="848">
        <is>
          <t xml:space="preserve">Year 5</t>
        </is>
      </c>
      <c r="L71" s="3425" t="n"/>
      <c r="M71" s="793" t="n"/>
      <c r="N71" s="1168" t="n"/>
      <c r="O71" s="1168" t="n"/>
      <c r="P71" s="1168" t="n"/>
      <c r="Q71" s="1168" t="n"/>
      <c r="R71" s="1168" t="n"/>
      <c r="S71" s="1168" t="n"/>
      <c r="T71" s="1168" t="n"/>
      <c r="U71" s="1168" t="n"/>
      <c r="V71" s="1168" t="n"/>
      <c r="W71" s="1168" t="n"/>
      <c r="X71" s="1168" t="n"/>
      <c r="Y71" s="1167" t="n"/>
    </row>
    <row r="72" s="3154" customFormat="1" ht="13.5" customHeight="1">
      <c r="A72" s="1117">
        <f t="array" ref="A72">IF(I71&gt;0.5,A71+1,"")</f>
        <v>55</v>
      </c>
      <c r="B72" s="3515">
        <f t="array" ref="B72">IF(A72&lt;&gt;"",DATE(YEAR($D$9),MONTH($D$9)+A72,DAY($D$9)),"")</f>
        <v>48427</v>
      </c>
      <c r="C72" s="3516">
        <f t="array" ref="C72">IF(A72&lt;&gt;"",I71,"")</f>
        <v>4513821.57239299</v>
      </c>
      <c r="D72" s="3516">
        <f t="array" ref="D72">IF(A72&lt;&gt;"",$H$5,"")</f>
        <v>33254.5945333633</v>
      </c>
      <c r="E72" s="3517">
        <v>0</v>
      </c>
      <c r="F72" s="3516">
        <f t="array" ref="F72">IF(A72&lt;&gt;"",D72+E72,"")</f>
        <v>33254.5945333633</v>
      </c>
      <c r="G72" s="3516">
        <f t="array" ref="G72">IF(A72&lt;&gt;"",F72-H72,0)</f>
        <v>8804.72768290132</v>
      </c>
      <c r="H72" s="3516">
        <f t="array" ref="H72">IF(A72&lt;&gt;"",C72*$D$6/$D$8,0)</f>
        <v>24449.866850462</v>
      </c>
      <c r="I72" s="3516">
        <f t="array" ref="I72">IF(A72&lt;&gt;"",C72-G72,0)</f>
        <v>4505016.84471009</v>
      </c>
      <c r="J72" s="3518">
        <f t="array" ref="J72">IF(A72&lt;&gt;"",J71+H72,J71)</f>
        <v>1408924.48625707</v>
      </c>
      <c r="K72" s="942">
        <is>
          <t xml:space="preserve">Intrest</t>
        </is>
      </c>
      <c r="L72" s="3425" t="n"/>
      <c r="M72" s="793" t="n"/>
      <c r="N72" s="1168" t="n"/>
      <c r="O72" s="1168" t="n"/>
      <c r="P72" s="1168" t="n"/>
      <c r="Q72" s="1168" t="n"/>
      <c r="R72" s="1168" t="n"/>
      <c r="S72" s="1168" t="n"/>
      <c r="T72" s="1168" t="n"/>
      <c r="U72" s="1168" t="n"/>
      <c r="V72" s="1168" t="n"/>
      <c r="W72" s="1168" t="n"/>
      <c r="X72" s="1168" t="n"/>
      <c r="Y72" s="1167" t="n"/>
    </row>
    <row r="73" s="3154" customFormat="1" ht="13.5" customHeight="1">
      <c r="A73" s="1117">
        <f t="array" ref="A73">IF(I72&gt;0.5,A72+1,"")</f>
        <v>56</v>
      </c>
      <c r="B73" s="3515">
        <f t="array" ref="B73">IF(A73&lt;&gt;"",DATE(YEAR($D$9),MONTH($D$9)+A73,DAY($D$9)),"")</f>
        <v>48458</v>
      </c>
      <c r="C73" s="3516">
        <f t="array" ref="C73">IF(A73&lt;&gt;"",I72,"")</f>
        <v>4505016.84471009</v>
      </c>
      <c r="D73" s="3516">
        <f t="array" ref="D73">IF(A73&lt;&gt;"",$H$5,"")</f>
        <v>33254.5945333633</v>
      </c>
      <c r="E73" s="3517">
        <v>0</v>
      </c>
      <c r="F73" s="3516">
        <f t="array" ref="F73">IF(A73&lt;&gt;"",D73+E73,"")</f>
        <v>33254.5945333633</v>
      </c>
      <c r="G73" s="3516">
        <f t="array" ref="G73">IF(A73&lt;&gt;"",F73-H73,0)</f>
        <v>8852.41995785037</v>
      </c>
      <c r="H73" s="3516">
        <f t="array" ref="H73">IF(A73&lt;&gt;"",C73*$D$6/$D$8,0)</f>
        <v>24402.174575513</v>
      </c>
      <c r="I73" s="3516">
        <f t="array" ref="I73">IF(A73&lt;&gt;"",C73-G73,0)</f>
        <v>4496164.42475224</v>
      </c>
      <c r="J73" s="3518">
        <f t="array" ref="J73">IF(A73&lt;&gt;"",J72+H73,J72)</f>
        <v>1433326.66083258</v>
      </c>
      <c r="K73" s="3537">
        <f t="array" ref="K73">SUM(H66:H77)</f>
      </c>
      <c r="L73" s="960" t="n"/>
      <c r="M73" s="793" t="n"/>
      <c r="N73" s="1168" t="n"/>
      <c r="O73" s="1168" t="n"/>
      <c r="P73" s="1168" t="n"/>
      <c r="Q73" s="1168" t="n"/>
      <c r="R73" s="1168" t="n"/>
      <c r="S73" s="1168" t="n"/>
      <c r="T73" s="1168" t="n"/>
      <c r="U73" s="1168" t="n"/>
      <c r="V73" s="1168" t="n"/>
      <c r="W73" s="1168" t="n"/>
      <c r="X73" s="1168" t="n"/>
      <c r="Y73" s="1167" t="n"/>
    </row>
    <row r="74" s="3154" customFormat="1" ht="12.75" customHeight="1">
      <c r="A74" s="1117">
        <f t="array" ref="A74">IF(I73&gt;0.5,A73+1,"")</f>
        <v>57</v>
      </c>
      <c r="B74" s="3515">
        <f t="array" ref="B74">IF(A74&lt;&gt;"",DATE(YEAR($D$9),MONTH($D$9)+A74,DAY($D$9)),"")</f>
        <v>48488</v>
      </c>
      <c r="C74" s="3516">
        <f t="array" ref="C74">IF(A74&lt;&gt;"",I73,"")</f>
        <v>4496164.42475224</v>
      </c>
      <c r="D74" s="3516">
        <f t="array" ref="D74">IF(A74&lt;&gt;"",$H$5,"")</f>
        <v>33254.5945333633</v>
      </c>
      <c r="E74" s="3517">
        <v>0</v>
      </c>
      <c r="F74" s="3516">
        <f t="array" ref="F74">IF(A74&lt;&gt;"",D74+E74,"")</f>
        <v>33254.5945333633</v>
      </c>
      <c r="G74" s="3516">
        <f t="array" ref="G74">IF(A74&lt;&gt;"",F74-H74,0)</f>
        <v>8900.37056595539</v>
      </c>
      <c r="H74" s="3516">
        <f t="array" ref="H74">IF(A74&lt;&gt;"",C74*$D$6/$D$8,0)</f>
        <v>24354.223967408</v>
      </c>
      <c r="I74" s="3516">
        <f t="array" ref="I74">IF(A74&lt;&gt;"",C74-G74,0)</f>
        <v>4487264.05418628</v>
      </c>
      <c r="J74" s="3516">
        <f t="array" ref="J74">IF(A74&lt;&gt;"",J73+H74,J73)</f>
        <v>1457680.88479999</v>
      </c>
      <c r="K74" s="1125"/>
      <c r="L74" s="652" t="n"/>
      <c r="M74" s="1167" t="n"/>
      <c r="N74" s="1168" t="n"/>
      <c r="O74" s="1168" t="n"/>
      <c r="P74" s="1168" t="n"/>
      <c r="Q74" s="1168" t="n"/>
      <c r="R74" s="1168" t="n"/>
      <c r="S74" s="1168" t="n"/>
      <c r="T74" s="1168" t="n"/>
      <c r="U74" s="1168" t="n"/>
      <c r="V74" s="1168" t="n"/>
      <c r="W74" s="1168" t="n"/>
      <c r="X74" s="1168" t="n"/>
      <c r="Y74" s="1167" t="n"/>
    </row>
    <row r="75" s="3154" customFormat="1" ht="13.5" customHeight="1">
      <c r="A75" s="1117">
        <f t="array" ref="A75">IF(I74&gt;0.5,A74+1,"")</f>
        <v>58</v>
      </c>
      <c r="B75" s="3515">
        <f t="array" ref="B75">IF(A75&lt;&gt;"",DATE(YEAR($D$9),MONTH($D$9)+A75,DAY($D$9)),"")</f>
        <v>48519</v>
      </c>
      <c r="C75" s="3516">
        <f t="array" ref="C75">IF(A75&lt;&gt;"",I74,"")</f>
        <v>4487264.05418628</v>
      </c>
      <c r="D75" s="3516">
        <f t="array" ref="D75">IF(A75&lt;&gt;"",$H$5,"")</f>
        <v>33254.5945333633</v>
      </c>
      <c r="E75" s="3517">
        <v>0</v>
      </c>
      <c r="F75" s="3516">
        <f t="array" ref="F75">IF(A75&lt;&gt;"",D75+E75,"")</f>
        <v>33254.5945333633</v>
      </c>
      <c r="G75" s="3516">
        <f t="array" ref="G75">IF(A75&lt;&gt;"",F75-H75,0)</f>
        <v>8948.58090652098</v>
      </c>
      <c r="H75" s="3516">
        <f t="array" ref="H75">IF(A75&lt;&gt;"",C75*$D$6/$D$8,0)</f>
        <v>24306.0136268424</v>
      </c>
      <c r="I75" s="3516">
        <f t="array" ref="I75">IF(A75&lt;&gt;"",C75-G75,0)</f>
        <v>4478315.47327976</v>
      </c>
      <c r="J75" s="3516">
        <f t="array" ref="J75">IF(A75&lt;&gt;"",J74+H75,J74)</f>
        <v>1481986.89842683</v>
      </c>
      <c r="K75" s="1122"/>
      <c r="L75" s="642" t="n"/>
      <c r="M75" s="1167" t="n"/>
      <c r="N75" s="1168" t="n"/>
      <c r="O75" s="1168" t="n"/>
      <c r="P75" s="1168" t="n"/>
      <c r="Q75" s="1168" t="n"/>
      <c r="R75" s="1168" t="n"/>
      <c r="S75" s="1168" t="n"/>
      <c r="T75" s="1168" t="n"/>
      <c r="U75" s="1168" t="n"/>
      <c r="V75" s="1168" t="n"/>
      <c r="W75" s="1168" t="n"/>
      <c r="X75" s="1168" t="n"/>
      <c r="Y75" s="1167" t="n"/>
    </row>
    <row r="76" s="3154" customFormat="1" ht="13.5" customHeight="1">
      <c r="A76" s="1132">
        <f t="array" ref="A76">IF(I75&gt;0.5,A75+1,"")</f>
        <v>59</v>
      </c>
      <c r="B76" s="3519">
        <f t="array" ref="B76">IF(A76&lt;&gt;"",DATE(YEAR($D$9),MONTH($D$9)+A76,DAY($D$9)),"")</f>
        <v>48549</v>
      </c>
      <c r="C76" s="3520">
        <f t="array" ref="C76">IF(A76&lt;&gt;"",I75,"")</f>
        <v>4478315.47327976</v>
      </c>
      <c r="D76" s="3520">
        <f t="array" ref="D76">IF(A76&lt;&gt;"",$H$5,"")</f>
        <v>33254.5945333633</v>
      </c>
      <c r="E76" s="3521">
        <v>0</v>
      </c>
      <c r="F76" s="3520">
        <f t="array" ref="F76">IF(A76&lt;&gt;"",D76+E76,"")</f>
        <v>33254.5945333633</v>
      </c>
      <c r="G76" s="3520">
        <f t="array" ref="G76">IF(A76&lt;&gt;"",F76-H76,0)</f>
        <v>8997.0523864313</v>
      </c>
      <c r="H76" s="3520">
        <f t="array" ref="H76">IF(A76&lt;&gt;"",C76*$D$6/$D$8,0)</f>
        <v>24257.542146932</v>
      </c>
      <c r="I76" s="3520">
        <f t="array" ref="I76">IF(A76&lt;&gt;"",C76-G76,0)</f>
        <v>4469318.42089333</v>
      </c>
      <c r="J76" s="3522">
        <f t="array" ref="J76">IF(A76&lt;&gt;"",J75+H76,J75)</f>
        <v>1506244.44057377</v>
      </c>
      <c r="K76" s="942">
        <is>
          <t xml:space="preserve">Principle</t>
        </is>
      </c>
      <c r="L76" s="3425" t="n"/>
      <c r="M76" s="793" t="n"/>
      <c r="N76" s="1168" t="n"/>
      <c r="O76" s="1168" t="n"/>
      <c r="P76" s="1168" t="n"/>
      <c r="Q76" s="1168" t="n"/>
      <c r="R76" s="1168" t="n"/>
      <c r="S76" s="1168" t="n"/>
      <c r="T76" s="1168" t="n"/>
      <c r="U76" s="1168" t="n"/>
      <c r="V76" s="1168" t="n"/>
      <c r="W76" s="1168" t="n"/>
      <c r="X76" s="1168" t="n"/>
      <c r="Y76" s="1167" t="n"/>
    </row>
    <row r="77" s="3154" customFormat="1" ht="13.5" customHeight="1">
      <c r="A77" s="1141">
        <f t="array" ref="A77">IF(I76&gt;0.5,A76+1,"")</f>
        <v>60</v>
      </c>
      <c r="B77" s="3523">
        <f t="array" ref="B77">IF(A77&lt;&gt;"",DATE(YEAR($D$9),MONTH($D$9)+A77,DAY($D$9)),"")</f>
        <v>48580</v>
      </c>
      <c r="C77" s="3524">
        <f t="array" ref="C77">IF(A77&lt;&gt;"",I76,"")</f>
        <v>4469318.42089333</v>
      </c>
      <c r="D77" s="3524">
        <f t="array" ref="D77">IF(A77&lt;&gt;"",$H$5,"")</f>
        <v>33254.5945333633</v>
      </c>
      <c r="E77" s="3525">
        <v>0</v>
      </c>
      <c r="F77" s="3524">
        <f t="array" ref="F77">IF(A77&lt;&gt;"",D77+E77,"")</f>
        <v>33254.5945333633</v>
      </c>
      <c r="G77" s="3524">
        <f t="array" ref="G77">IF(A77&lt;&gt;"",F77-H77,0)</f>
        <v>9045.78642019114</v>
      </c>
      <c r="H77" s="3526">
        <f t="array" ref="H77">IF(A77&lt;&gt;"",C77*$D$6/$D$8,0)</f>
        <v>24208.8081131722</v>
      </c>
      <c r="I77" s="3527">
        <f t="array" ref="I77">IF(A77&lt;&gt;"",C77-G77,0)</f>
        <v>4460272.63447314</v>
      </c>
      <c r="J77" s="3527">
        <f t="array" ref="J77">IF(A77&lt;&gt;"",J76+H77,J76)</f>
        <v>1530453.24868694</v>
      </c>
      <c r="K77" s="3537">
        <f t="array" ref="K77">SUM(G66:G77)</f>
        <v>105390.058478942</v>
      </c>
      <c r="L77" s="960" t="n"/>
      <c r="M77" s="793" t="n"/>
      <c r="N77" s="1168" t="n"/>
      <c r="O77" s="1168" t="n"/>
      <c r="P77" s="1168" t="n"/>
      <c r="Q77" s="1168" t="n"/>
      <c r="R77" s="1168" t="n"/>
      <c r="S77" s="1168" t="n"/>
      <c r="T77" s="1168" t="n"/>
      <c r="U77" s="1168" t="n"/>
      <c r="V77" s="1168" t="n"/>
      <c r="W77" s="1168" t="n"/>
      <c r="X77" s="1168" t="n"/>
      <c r="Y77" s="1167" t="n"/>
    </row>
    <row r="78" s="3154" customFormat="1" ht="12.75" customHeight="1">
      <c r="A78" s="1149">
        <f t="array" ref="A78">IF(I77&gt;0.5,A77+1,"")</f>
        <v>61</v>
      </c>
      <c r="B78" s="3530">
        <f t="array" ref="B78">IF(A78&lt;&gt;"",DATE(YEAR($D$9),MONTH($D$9)+A78,DAY($D$9)),"")</f>
        <v>48611</v>
      </c>
      <c r="C78" s="3531">
        <f t="array" ref="C78">IF(A78&lt;&gt;"",I77,"")</f>
        <v>4460272.63447314</v>
      </c>
      <c r="D78" s="3531">
        <f t="array" ref="D78">IF(A78&lt;&gt;"",$H$5,"")</f>
        <v>33254.5945333633</v>
      </c>
      <c r="E78" s="3532">
        <v>0</v>
      </c>
      <c r="F78" s="3531">
        <f t="array" ref="F78">IF(A78&lt;&gt;"",D78+E78,"")</f>
        <v>33254.5945333633</v>
      </c>
      <c r="G78" s="3531">
        <f t="array" ref="G78">IF(A78&lt;&gt;"",F78-H78,0)</f>
        <v>9094.78442996717</v>
      </c>
      <c r="H78" s="3531">
        <f t="array" ref="H78">IF(A78&lt;&gt;"",C78*$D$6/$D$8,0)</f>
        <v>24159.8101033962</v>
      </c>
      <c r="I78" s="3531">
        <f t="array" ref="I78">IF(A78&lt;&gt;"",C78-G78,0)</f>
        <v>4451177.85004317</v>
      </c>
      <c r="J78" s="3531">
        <f t="array" ref="J78">IF(A78&lt;&gt;"",J77+H78,J77)</f>
        <v>1554613.05879033</v>
      </c>
      <c r="K78" s="1125"/>
      <c r="L78" s="652" t="n"/>
      <c r="M78" s="1167" t="n"/>
      <c r="N78" s="1168" t="n"/>
      <c r="O78" s="1168" t="n"/>
      <c r="P78" s="1168" t="n"/>
      <c r="Q78" s="1168" t="n"/>
      <c r="R78" s="1168" t="n"/>
      <c r="S78" s="1168" t="n"/>
      <c r="T78" s="1168" t="n"/>
      <c r="U78" s="1168" t="n"/>
      <c r="V78" s="1168" t="n"/>
      <c r="W78" s="1168" t="n"/>
      <c r="X78" s="1168" t="n"/>
      <c r="Y78" s="1167" t="n"/>
    </row>
    <row r="79" s="3154" customFormat="1" ht="12.75" customHeight="1">
      <c r="A79" s="1117">
        <f t="array" ref="A79">IF(I78&gt;0.5,A78+1,"")</f>
        <v>62</v>
      </c>
      <c r="B79" s="3515">
        <f t="array" ref="B79">IF(A79&lt;&gt;"",DATE(YEAR($D$9),MONTH($D$9)+A79,DAY($D$9)),"")</f>
        <v>48639</v>
      </c>
      <c r="C79" s="3516">
        <f t="array" ref="C79">IF(A79&lt;&gt;"",I78,"")</f>
        <v>4451177.85004317</v>
      </c>
      <c r="D79" s="3516">
        <f t="array" ref="D79">IF(A79&lt;&gt;"",$H$5,"")</f>
        <v>33254.5945333633</v>
      </c>
      <c r="E79" s="3517">
        <v>0</v>
      </c>
      <c r="F79" s="3516">
        <f t="array" ref="F79">IF(A79&lt;&gt;"",D79+E79,"")</f>
        <v>33254.5945333633</v>
      </c>
      <c r="G79" s="3516">
        <f t="array" ref="G79">IF(A79&lt;&gt;"",F79-H79,0)</f>
        <v>9144.04784562949</v>
      </c>
      <c r="H79" s="3516">
        <f t="array" ref="H79">IF(A79&lt;&gt;"",C79*$D$6/$D$8,0)</f>
        <v>24110.5466877339</v>
      </c>
      <c r="I79" s="3516">
        <f t="array" ref="I79">IF(A79&lt;&gt;"",C79-G79,0)</f>
        <v>4442033.80219754</v>
      </c>
      <c r="J79" s="3516">
        <f t="array" ref="J79">IF(A79&lt;&gt;"",J78+H79,J78)</f>
        <v>1578723.60547807</v>
      </c>
      <c r="K79" s="666"/>
      <c r="L79" s="1167" t="n"/>
      <c r="M79" s="1167" t="n"/>
      <c r="N79" s="1168" t="n"/>
      <c r="O79" s="1168" t="n"/>
      <c r="P79" s="1168" t="n"/>
      <c r="Q79" s="1168" t="n"/>
      <c r="R79" s="1168" t="n"/>
      <c r="S79" s="1168" t="n"/>
      <c r="T79" s="1168" t="n"/>
      <c r="U79" s="1168" t="n"/>
      <c r="V79" s="1168" t="n"/>
      <c r="W79" s="1168" t="n"/>
      <c r="X79" s="1168" t="n"/>
      <c r="Y79" s="1167" t="n"/>
    </row>
    <row r="80" s="3154" customFormat="1" ht="12.75" customHeight="1">
      <c r="A80" s="1117">
        <f t="array" ref="A80">IF(I79&gt;0.5,A79+1,"")</f>
        <v>63</v>
      </c>
      <c r="B80" s="3515">
        <f t="array" ref="B80">IF(A80&lt;&gt;"",DATE(YEAR($D$9),MONTH($D$9)+A80,DAY($D$9)),"")</f>
        <v>48670</v>
      </c>
      <c r="C80" s="3516">
        <f t="array" ref="C80">IF(A80&lt;&gt;"",I79,"")</f>
        <v>4442033.80219754</v>
      </c>
      <c r="D80" s="3516">
        <f t="array" ref="D80">IF(A80&lt;&gt;"",$H$5,"")</f>
        <v>33254.5945333633</v>
      </c>
      <c r="E80" s="3517">
        <v>0</v>
      </c>
      <c r="F80" s="3516">
        <f t="array" ref="F80">IF(A80&lt;&gt;"",D80+E80,"")</f>
        <v>33254.5945333633</v>
      </c>
      <c r="G80" s="3516">
        <f t="array" ref="G80">IF(A80&lt;&gt;"",F80-H80,0)</f>
        <v>9193.57810479332</v>
      </c>
      <c r="H80" s="3516">
        <f t="array" ref="H80">IF(A80&lt;&gt;"",C80*$D$6/$D$8,0)</f>
        <v>24061.01642857</v>
      </c>
      <c r="I80" s="3516">
        <f t="array" ref="I80">IF(A80&lt;&gt;"",C80-G80,0)</f>
        <v>4432840.22409275</v>
      </c>
      <c r="J80" s="3516">
        <f t="array" ref="J80">IF(A80&lt;&gt;"",J79+H80,J79)</f>
        <v>1602784.62190664</v>
      </c>
      <c r="K80" s="666"/>
      <c r="L80" s="1167" t="n"/>
      <c r="M80" s="1167" t="n"/>
      <c r="N80" s="1168" t="n"/>
      <c r="O80" s="1168" t="n"/>
      <c r="P80" s="1168" t="n"/>
      <c r="Q80" s="1168" t="n"/>
      <c r="R80" s="1168" t="n"/>
      <c r="S80" s="1168" t="n"/>
      <c r="T80" s="1168" t="n"/>
      <c r="U80" s="1168" t="n"/>
      <c r="V80" s="1168" t="n"/>
      <c r="W80" s="1168" t="n"/>
      <c r="X80" s="1168" t="n"/>
      <c r="Y80" s="1167" t="n"/>
    </row>
    <row r="81" s="3154" customFormat="1" ht="12.75" customHeight="1">
      <c r="A81" s="1117">
        <f t="array" ref="A81">IF(I80&gt;0.5,A80+1,"")</f>
        <v>64</v>
      </c>
      <c r="B81" s="3515">
        <f t="array" ref="B81">IF(A81&lt;&gt;"",DATE(YEAR($D$9),MONTH($D$9)+A81,DAY($D$9)),"")</f>
        <v>48700</v>
      </c>
      <c r="C81" s="3516">
        <f t="array" ref="C81">IF(A81&lt;&gt;"",I80,"")</f>
        <v>4432840.22409275</v>
      </c>
      <c r="D81" s="3516">
        <f t="array" ref="D81">IF(A81&lt;&gt;"",$H$5,"")</f>
        <v>33254.5945333633</v>
      </c>
      <c r="E81" s="3517">
        <v>0</v>
      </c>
      <c r="F81" s="3516">
        <f t="array" ref="F81">IF(A81&lt;&gt;"",D81+E81,"")</f>
        <v>33254.5945333633</v>
      </c>
      <c r="G81" s="3516">
        <f t="array" ref="G81">IF(A81&lt;&gt;"",F81-H81,0)</f>
        <v>9243.37665286095</v>
      </c>
      <c r="H81" s="3516">
        <f t="array" ref="H81">IF(A81&lt;&gt;"",C81*$D$6/$D$8,0)</f>
        <v>24011.2178805024</v>
      </c>
      <c r="I81" s="3516">
        <f t="array" ref="I81">IF(A81&lt;&gt;"",C81-G81,0)</f>
        <v>4423596.84743989</v>
      </c>
      <c r="J81" s="3516">
        <f t="array" ref="J81">IF(A81&lt;&gt;"",J80+H81,J80)</f>
        <v>1626795.83978714</v>
      </c>
      <c r="K81" s="666"/>
      <c r="L81" s="1167" t="n"/>
      <c r="M81" s="1167" t="n"/>
      <c r="N81" s="1168" t="n"/>
      <c r="O81" s="1168" t="n"/>
      <c r="P81" s="1168" t="n"/>
      <c r="Q81" s="1168" t="n"/>
      <c r="R81" s="1168" t="n"/>
      <c r="S81" s="1168" t="n"/>
      <c r="T81" s="1168" t="n"/>
      <c r="U81" s="1168" t="n"/>
      <c r="V81" s="1168" t="n"/>
      <c r="W81" s="1168" t="n"/>
      <c r="X81" s="1168" t="n"/>
      <c r="Y81" s="1167" t="n"/>
    </row>
    <row r="82" s="3154" customFormat="1" ht="13.5" customHeight="1">
      <c r="A82" s="1117">
        <f t="array" ref="A82">IF(I81&gt;0.5,A81+1,"")</f>
        <v>65</v>
      </c>
      <c r="B82" s="3515">
        <f t="array" ref="B82">IF(A82&lt;&gt;"",DATE(YEAR($D$9),MONTH($D$9)+A82,DAY($D$9)),"")</f>
        <v>48731</v>
      </c>
      <c r="C82" s="3516">
        <f t="array" ref="C82">IF(A82&lt;&gt;"",I81,"")</f>
        <v>4423596.84743989</v>
      </c>
      <c r="D82" s="3516">
        <f t="array" ref="D82">IF(A82&lt;&gt;"",$H$5,"")</f>
        <v>33254.5945333633</v>
      </c>
      <c r="E82" s="3517">
        <v>0</v>
      </c>
      <c r="F82" s="3516">
        <f t="array" ref="F82">IF(A82&lt;&gt;"",D82+E82,"")</f>
        <v>33254.5945333633</v>
      </c>
      <c r="G82" s="3516">
        <f t="array" ref="G82">IF(A82&lt;&gt;"",F82-H82,0)</f>
        <v>9293.44494306395</v>
      </c>
      <c r="H82" s="3516">
        <f t="array" ref="H82">IF(A82&lt;&gt;"",C82*$D$6/$D$8,0)</f>
        <v>23961.1495902994</v>
      </c>
      <c r="I82" s="3516">
        <f t="array" ref="I82">IF(A82&lt;&gt;"",C82-G82,0)</f>
        <v>4414303.40249683</v>
      </c>
      <c r="J82" s="3516">
        <f t="array" ref="J82">IF(A82&lt;&gt;"",J81+H82,J81)</f>
        <v>1650756.98937744</v>
      </c>
      <c r="K82" s="1122"/>
      <c r="L82" s="642" t="n"/>
      <c r="M82" s="1167" t="n"/>
      <c r="N82" s="1168" t="n"/>
      <c r="O82" s="1168" t="n"/>
      <c r="P82" s="1168" t="n"/>
      <c r="Q82" s="1168" t="n"/>
      <c r="R82" s="1168" t="n"/>
      <c r="S82" s="1168" t="n"/>
      <c r="T82" s="1168" t="n"/>
      <c r="U82" s="1168" t="n"/>
      <c r="V82" s="1168" t="n"/>
      <c r="W82" s="1168" t="n"/>
      <c r="X82" s="1168" t="n"/>
      <c r="Y82" s="1167" t="n"/>
    </row>
    <row r="83" s="3154" customFormat="1" ht="13.5" customHeight="1">
      <c r="A83" s="1117">
        <f t="array" ref="A83">IF(I82&gt;0.5,A82+1,"")</f>
        <v>66</v>
      </c>
      <c r="B83" s="3515">
        <f t="array" ref="B83">IF(A83&lt;&gt;"",DATE(YEAR($D$9),MONTH($D$9)+A83,DAY($D$9)),"")</f>
        <v>48761</v>
      </c>
      <c r="C83" s="3516">
        <f t="array" ref="C83">IF(A83&lt;&gt;"",I82,"")</f>
        <v>4414303.40249683</v>
      </c>
      <c r="D83" s="3516">
        <f t="array" ref="D83">IF(A83&lt;&gt;"",$H$5,"")</f>
        <v>33254.5945333633</v>
      </c>
      <c r="E83" s="3517">
        <v>0</v>
      </c>
      <c r="F83" s="3516">
        <f t="array" ref="F83">IF(A83&lt;&gt;"",D83+E83,"")</f>
        <v>33254.5945333633</v>
      </c>
      <c r="G83" s="3516">
        <f t="array" ref="G83">IF(A83&lt;&gt;"",F83-H83,0)</f>
        <v>9343.78443650554</v>
      </c>
      <c r="H83" s="3516">
        <f t="array" ref="H83">IF(A83&lt;&gt;"",C83*$D$6/$D$8,0)</f>
        <v>23910.8100968578</v>
      </c>
      <c r="I83" s="3516">
        <f t="array" ref="I83">IF(A83&lt;&gt;"",C83-G83,0)</f>
        <v>4404959.61806032</v>
      </c>
      <c r="J83" s="3518">
        <f t="array" ref="J83">IF(A83&lt;&gt;"",J82+H83,J82)</f>
        <v>1674667.7994743</v>
      </c>
      <c r="K83" s="848">
        <is>
          <t xml:space="preserve">Year 6</t>
        </is>
      </c>
      <c r="L83" s="3425" t="n"/>
      <c r="M83" s="793" t="n"/>
      <c r="N83" s="1168" t="n"/>
      <c r="O83" s="1168" t="n"/>
      <c r="P83" s="1168" t="n"/>
      <c r="Q83" s="1168" t="n"/>
      <c r="R83" s="1168" t="n"/>
      <c r="S83" s="1168" t="n"/>
      <c r="T83" s="1168" t="n"/>
      <c r="U83" s="1168" t="n"/>
      <c r="V83" s="1168" t="n"/>
      <c r="W83" s="1168" t="n"/>
      <c r="X83" s="1168" t="n"/>
      <c r="Y83" s="1167" t="n"/>
    </row>
    <row r="84" s="3154" customFormat="1" ht="13.5" customHeight="1">
      <c r="A84" s="1117">
        <f t="array" ref="A84">IF(I83&gt;0.5,A83+1,"")</f>
        <v>67</v>
      </c>
      <c r="B84" s="3515">
        <f t="array" ref="B84">IF(A84&lt;&gt;"",DATE(YEAR($D$9),MONTH($D$9)+A84,DAY($D$9)),"")</f>
        <v>48792</v>
      </c>
      <c r="C84" s="3516">
        <f t="array" ref="C84">IF(A84&lt;&gt;"",I83,"")</f>
        <v>4404959.61806032</v>
      </c>
      <c r="D84" s="3516">
        <f t="array" ref="D84">IF(A84&lt;&gt;"",$H$5,"")</f>
        <v>33254.5945333633</v>
      </c>
      <c r="E84" s="3517">
        <v>0</v>
      </c>
      <c r="F84" s="3516">
        <f t="array" ref="F84">IF(A84&lt;&gt;"",D84+E84,"")</f>
        <v>33254.5945333633</v>
      </c>
      <c r="G84" s="3516">
        <f t="array" ref="G84">IF(A84&lt;&gt;"",F84-H84,0)</f>
        <v>9394.39660220328</v>
      </c>
      <c r="H84" s="3516">
        <f t="array" ref="H84">IF(A84&lt;&gt;"",C84*$D$6/$D$8,0)</f>
        <v>23860.1979311601</v>
      </c>
      <c r="I84" s="3516">
        <f t="array" ref="I84">IF(A84&lt;&gt;"",C84-G84,0)</f>
        <v>4395565.22145812</v>
      </c>
      <c r="J84" s="3518">
        <f t="array" ref="J84">IF(A84&lt;&gt;"",J83+H84,J83)</f>
        <v>1698527.99740546</v>
      </c>
      <c r="K84" s="942">
        <is>
          <t xml:space="preserve">Intrest</t>
        </is>
      </c>
      <c r="L84" s="3425" t="n"/>
      <c r="M84" s="793" t="n"/>
      <c r="N84" s="1168" t="n"/>
      <c r="O84" s="1168" t="n"/>
      <c r="P84" s="1168" t="n"/>
      <c r="Q84" s="1168" t="n"/>
      <c r="R84" s="1168" t="n"/>
      <c r="S84" s="1168" t="n"/>
      <c r="T84" s="1168" t="n"/>
      <c r="U84" s="1168" t="n"/>
      <c r="V84" s="1168" t="n"/>
      <c r="W84" s="1168" t="n"/>
      <c r="X84" s="1168" t="n"/>
      <c r="Y84" s="1167" t="n"/>
    </row>
    <row r="85" s="3154" customFormat="1" ht="13.5" customHeight="1">
      <c r="A85" s="1117">
        <f t="array" ref="A85">IF(I84&gt;0.5,A84+1,"")</f>
        <v>68</v>
      </c>
      <c r="B85" s="3515">
        <f t="array" ref="B85">IF(A85&lt;&gt;"",DATE(YEAR($D$9),MONTH($D$9)+A85,DAY($D$9)),"")</f>
        <v>48823</v>
      </c>
      <c r="C85" s="3516">
        <f t="array" ref="C85">IF(A85&lt;&gt;"",I84,"")</f>
        <v>4395565.22145812</v>
      </c>
      <c r="D85" s="3516">
        <f t="array" ref="D85">IF(A85&lt;&gt;"",$H$5,"")</f>
        <v>33254.5945333633</v>
      </c>
      <c r="E85" s="3517">
        <v>0</v>
      </c>
      <c r="F85" s="3516">
        <f t="array" ref="F85">IF(A85&lt;&gt;"",D85+E85,"")</f>
        <v>33254.5945333633</v>
      </c>
      <c r="G85" s="3516">
        <f t="array" ref="G85">IF(A85&lt;&gt;"",F85-H85,0)</f>
        <v>9445.28291713188</v>
      </c>
      <c r="H85" s="3516">
        <f t="array" ref="H85">IF(A85&lt;&gt;"",C85*$D$6/$D$8,0)</f>
        <v>23809.3116162315</v>
      </c>
      <c r="I85" s="3516">
        <f t="array" ref="I85">IF(A85&lt;&gt;"",C85-G85,0)</f>
        <v>4386119.93854099</v>
      </c>
      <c r="J85" s="3518">
        <f t="array" ref="J85">IF(A85&lt;&gt;"",J84+H85,J84)</f>
        <v>1722337.30902169</v>
      </c>
      <c r="K85" s="3537">
        <f t="array" ref="K85">SUM(H78:H89)</f>
      </c>
      <c r="L85" s="960" t="n"/>
      <c r="M85" s="793" t="n"/>
      <c r="N85" s="1168" t="n"/>
      <c r="O85" s="1168" t="n"/>
      <c r="P85" s="1168" t="n"/>
      <c r="Q85" s="1168" t="n"/>
      <c r="R85" s="1168" t="n"/>
      <c r="S85" s="1168" t="n"/>
      <c r="T85" s="1168" t="n"/>
      <c r="U85" s="1168" t="n"/>
      <c r="V85" s="1168" t="n"/>
      <c r="W85" s="1168" t="n"/>
      <c r="X85" s="1168" t="n"/>
      <c r="Y85" s="1167" t="n"/>
    </row>
    <row r="86" s="3154" customFormat="1" ht="12.75" customHeight="1">
      <c r="A86" s="1117">
        <f t="array" ref="A86">IF(I85&gt;0.5,A85+1,"")</f>
        <v>69</v>
      </c>
      <c r="B86" s="3515">
        <f t="array" ref="B86">IF(A86&lt;&gt;"",DATE(YEAR($D$9),MONTH($D$9)+A86,DAY($D$9)),"")</f>
        <v>48853</v>
      </c>
      <c r="C86" s="3516">
        <f t="array" ref="C86">IF(A86&lt;&gt;"",I85,"")</f>
        <v>4386119.93854099</v>
      </c>
      <c r="D86" s="3516">
        <f t="array" ref="D86">IF(A86&lt;&gt;"",$H$5,"")</f>
        <v>33254.5945333633</v>
      </c>
      <c r="E86" s="3517">
        <v>0</v>
      </c>
      <c r="F86" s="3516">
        <f t="array" ref="F86">IF(A86&lt;&gt;"",D86+E86,"")</f>
        <v>33254.5945333633</v>
      </c>
      <c r="G86" s="3516">
        <f t="array" ref="G86">IF(A86&lt;&gt;"",F86-H86,0)</f>
        <v>9496.44486626634</v>
      </c>
      <c r="H86" s="3516">
        <f t="array" ref="H86">IF(A86&lt;&gt;"",C86*$D$6/$D$8,0)</f>
        <v>23758.149667097</v>
      </c>
      <c r="I86" s="3516">
        <f t="array" ref="I86">IF(A86&lt;&gt;"",C86-G86,0)</f>
        <v>4376623.49367472</v>
      </c>
      <c r="J86" s="3516">
        <f t="array" ref="J86">IF(A86&lt;&gt;"",J85+H86,J85)</f>
        <v>1746095.45868879</v>
      </c>
      <c r="K86" s="1125"/>
      <c r="L86" s="652" t="n"/>
      <c r="M86" s="1167" t="n"/>
      <c r="N86" s="1168" t="n"/>
      <c r="O86" s="1168" t="n"/>
      <c r="P86" s="1168" t="n"/>
      <c r="Q86" s="1168" t="n"/>
      <c r="R86" s="1168" t="n"/>
      <c r="S86" s="1168" t="n"/>
      <c r="T86" s="1168" t="n"/>
      <c r="U86" s="1168" t="n"/>
      <c r="V86" s="1168" t="n"/>
      <c r="W86" s="1168" t="n"/>
      <c r="X86" s="1168" t="n"/>
      <c r="Y86" s="1167" t="n"/>
    </row>
    <row r="87" s="3154" customFormat="1" ht="13.5" customHeight="1">
      <c r="A87" s="1117">
        <f t="array" ref="A87">IF(I86&gt;0.5,A86+1,"")</f>
        <v>70</v>
      </c>
      <c r="B87" s="3515">
        <f t="array" ref="B87">IF(A87&lt;&gt;"",DATE(YEAR($D$9),MONTH($D$9)+A87,DAY($D$9)),"")</f>
        <v>48884</v>
      </c>
      <c r="C87" s="3516">
        <f t="array" ref="C87">IF(A87&lt;&gt;"",I86,"")</f>
        <v>4376623.49367472</v>
      </c>
      <c r="D87" s="3516">
        <f t="array" ref="D87">IF(A87&lt;&gt;"",$H$5,"")</f>
        <v>33254.5945333633</v>
      </c>
      <c r="E87" s="3517">
        <v>0</v>
      </c>
      <c r="F87" s="3516">
        <f t="array" ref="F87">IF(A87&lt;&gt;"",D87+E87,"")</f>
        <v>33254.5945333633</v>
      </c>
      <c r="G87" s="3516">
        <f t="array" ref="G87">IF(A87&lt;&gt;"",F87-H87,0)</f>
        <v>9547.88394262529</v>
      </c>
      <c r="H87" s="3516">
        <f t="array" ref="H87">IF(A87&lt;&gt;"",C87*$D$6/$D$8,0)</f>
        <v>23706.7105907381</v>
      </c>
      <c r="I87" s="3516">
        <f t="array" ref="I87">IF(A87&lt;&gt;"",C87-G87,0)</f>
        <v>4367075.60973209</v>
      </c>
      <c r="J87" s="3516">
        <f t="array" ref="J87">IF(A87&lt;&gt;"",J86+H87,J86)</f>
        <v>1769802.16927952</v>
      </c>
      <c r="K87" s="1122"/>
      <c r="L87" s="642" t="n"/>
      <c r="M87" s="1167" t="n"/>
      <c r="N87" s="1168" t="n"/>
      <c r="O87" s="1168" t="n"/>
      <c r="P87" s="1168" t="n"/>
      <c r="Q87" s="1168" t="n"/>
      <c r="R87" s="1168" t="n"/>
      <c r="S87" s="1168" t="n"/>
      <c r="T87" s="1168" t="n"/>
      <c r="U87" s="1168" t="n"/>
      <c r="V87" s="1168" t="n"/>
      <c r="W87" s="1168" t="n"/>
      <c r="X87" s="1168" t="n"/>
      <c r="Y87" s="1167" t="n"/>
    </row>
    <row r="88" s="3154" customFormat="1" ht="13.5" customHeight="1">
      <c r="A88" s="1132">
        <f t="array" ref="A88">IF(I87&gt;0.5,A87+1,"")</f>
        <v>71</v>
      </c>
      <c r="B88" s="3519">
        <f t="array" ref="B88">IF(A88&lt;&gt;"",DATE(YEAR($D$9),MONTH($D$9)+A88,DAY($D$9)),"")</f>
        <v>48914</v>
      </c>
      <c r="C88" s="3520">
        <f t="array" ref="C88">IF(A88&lt;&gt;"",I87,"")</f>
        <v>4367075.60973209</v>
      </c>
      <c r="D88" s="3520">
        <f t="array" ref="D88">IF(A88&lt;&gt;"",$H$5,"")</f>
        <v>33254.5945333633</v>
      </c>
      <c r="E88" s="3521">
        <v>0</v>
      </c>
      <c r="F88" s="3520">
        <f t="array" ref="F88">IF(A88&lt;&gt;"",D88+E88,"")</f>
        <v>33254.5945333633</v>
      </c>
      <c r="G88" s="3520">
        <f t="array" ref="G88">IF(A88&lt;&gt;"",F88-H88,0)</f>
        <v>9599.60164731451</v>
      </c>
      <c r="H88" s="3520">
        <f t="array" ref="H88">IF(A88&lt;&gt;"",C88*$D$6/$D$8,0)</f>
        <v>23654.9928860488</v>
      </c>
      <c r="I88" s="3520">
        <f t="array" ref="I88">IF(A88&lt;&gt;"",C88-G88,0)</f>
        <v>4357476.00808478</v>
      </c>
      <c r="J88" s="3522">
        <f t="array" ref="J88">IF(A88&lt;&gt;"",J87+H88,J87)</f>
        <v>1793457.16216557</v>
      </c>
      <c r="K88" s="942">
        <is>
          <t xml:space="preserve">Principle</t>
        </is>
      </c>
      <c r="L88" s="3425" t="n"/>
      <c r="M88" s="793" t="n"/>
      <c r="N88" s="1168" t="n"/>
      <c r="O88" s="1168" t="n"/>
      <c r="P88" s="1168" t="n"/>
      <c r="Q88" s="1168" t="n"/>
      <c r="R88" s="1168" t="n"/>
      <c r="S88" s="1168" t="n"/>
      <c r="T88" s="1168" t="n"/>
      <c r="U88" s="1168" t="n"/>
      <c r="V88" s="1168" t="n"/>
      <c r="W88" s="1168" t="n"/>
      <c r="X88" s="1168" t="n"/>
      <c r="Y88" s="1167" t="n"/>
    </row>
    <row r="89" s="3154" customFormat="1" ht="13.5" customHeight="1">
      <c r="A89" s="1141">
        <f t="array" ref="A89">IF(I88&gt;0.5,A88+1,"")</f>
        <v>72</v>
      </c>
      <c r="B89" s="3523">
        <f t="array" ref="B89">IF(A89&lt;&gt;"",DATE(YEAR($D$9),MONTH($D$9)+A89,DAY($D$9)),"")</f>
        <v>48945</v>
      </c>
      <c r="C89" s="3524">
        <f t="array" ref="C89">IF(A89&lt;&gt;"",I88,"")</f>
        <v>4357476.00808478</v>
      </c>
      <c r="D89" s="3524">
        <f t="array" ref="D89">IF(A89&lt;&gt;"",$H$5,"")</f>
        <v>33254.5945333633</v>
      </c>
      <c r="E89" s="3525">
        <v>0</v>
      </c>
      <c r="F89" s="3524">
        <f t="array" ref="F89">IF(A89&lt;&gt;"",D89+E89,"")</f>
        <v>33254.5945333633</v>
      </c>
      <c r="G89" s="3524">
        <f t="array" ref="G89">IF(A89&lt;&gt;"",F89-H89,0)</f>
        <v>9651.59948957079</v>
      </c>
      <c r="H89" s="3526">
        <f t="array" ref="H89">IF(A89&lt;&gt;"",C89*$D$6/$D$8,0)</f>
        <v>23602.9950437926</v>
      </c>
      <c r="I89" s="3527">
        <f t="array" ref="I89">IF(A89&lt;&gt;"",C89-G89,0)</f>
        <v>4347824.40859521</v>
      </c>
      <c r="J89" s="3527">
        <f t="array" ref="J89">IF(A89&lt;&gt;"",J88+H89,J88)</f>
        <v>1817060.15720937</v>
      </c>
      <c r="K89" s="3537">
        <f t="array" ref="K89">SUM(G78:G89)</f>
        <v>112448.225877933</v>
      </c>
      <c r="L89" s="960" t="n"/>
      <c r="M89" s="793" t="n"/>
      <c r="N89" s="1168" t="n"/>
      <c r="O89" s="1168" t="n"/>
      <c r="P89" s="1168" t="n"/>
      <c r="Q89" s="1168" t="n"/>
      <c r="R89" s="1168" t="n"/>
      <c r="S89" s="1168" t="n"/>
      <c r="T89" s="1168" t="n"/>
      <c r="U89" s="1168" t="n"/>
      <c r="V89" s="1168" t="n"/>
      <c r="W89" s="1168" t="n"/>
      <c r="X89" s="1168" t="n"/>
      <c r="Y89" s="1167" t="n"/>
    </row>
    <row r="90" s="3154" customFormat="1" ht="12.75" customHeight="1">
      <c r="A90" s="1149">
        <f t="array" ref="A90">IF(I89&gt;0.5,A89+1,"")</f>
        <v>73</v>
      </c>
      <c r="B90" s="3530">
        <f t="array" ref="B90">IF(A90&lt;&gt;"",DATE(YEAR($D$9),MONTH($D$9)+A90,DAY($D$9)),"")</f>
        <v>48976</v>
      </c>
      <c r="C90" s="3531">
        <f t="array" ref="C90">IF(A90&lt;&gt;"",I89,"")</f>
        <v>4347824.40859521</v>
      </c>
      <c r="D90" s="3531">
        <f t="array" ref="D90">IF(A90&lt;&gt;"",$H$5,"")</f>
        <v>33254.5945333633</v>
      </c>
      <c r="E90" s="3532">
        <v>0</v>
      </c>
      <c r="F90" s="3531">
        <f t="array" ref="F90">IF(A90&lt;&gt;"",D90+E90,"")</f>
        <v>33254.5945333633</v>
      </c>
      <c r="G90" s="3531">
        <f t="array" ref="G90">IF(A90&lt;&gt;"",F90-H90,0)</f>
        <v>9703.87898680597</v>
      </c>
      <c r="H90" s="3531">
        <f t="array" ref="H90">IF(A90&lt;&gt;"",C90*$D$6/$D$8,0)</f>
        <v>23550.7155465574</v>
      </c>
      <c r="I90" s="3531">
        <f t="array" ref="I90">IF(A90&lt;&gt;"",C90-G90,0)</f>
        <v>4338120.5296084</v>
      </c>
      <c r="J90" s="3531">
        <f t="array" ref="J90">IF(A90&lt;&gt;"",J89+H90,J89)</f>
        <v>1840610.87275592</v>
      </c>
      <c r="K90" s="1125"/>
      <c r="L90" s="652" t="n"/>
      <c r="M90" s="1167" t="n"/>
      <c r="N90" s="1168" t="n"/>
      <c r="O90" s="1168" t="n"/>
      <c r="P90" s="1168" t="n"/>
      <c r="Q90" s="1168" t="n"/>
      <c r="R90" s="1168" t="n"/>
      <c r="S90" s="1168" t="n"/>
      <c r="T90" s="1168" t="n"/>
      <c r="U90" s="1168" t="n"/>
      <c r="V90" s="1168" t="n"/>
      <c r="W90" s="1168" t="n"/>
      <c r="X90" s="1168" t="n"/>
      <c r="Y90" s="1167" t="n"/>
    </row>
    <row r="91" s="3154" customFormat="1" ht="12.75" customHeight="1">
      <c r="A91" s="1117">
        <f t="array" ref="A91">IF(I90&gt;0.5,A90+1,"")</f>
        <v>74</v>
      </c>
      <c r="B91" s="3515">
        <f t="array" ref="B91">IF(A91&lt;&gt;"",DATE(YEAR($D$9),MONTH($D$9)+A91,DAY($D$9)),"")</f>
        <v>49004</v>
      </c>
      <c r="C91" s="3516">
        <f t="array" ref="C91">IF(A91&lt;&gt;"",I90,"")</f>
        <v>4338120.5296084</v>
      </c>
      <c r="D91" s="3516">
        <f t="array" ref="D91">IF(A91&lt;&gt;"",$H$5,"")</f>
        <v>33254.5945333633</v>
      </c>
      <c r="E91" s="3517">
        <v>0</v>
      </c>
      <c r="F91" s="3516">
        <f t="array" ref="F91">IF(A91&lt;&gt;"",D91+E91,"")</f>
        <v>33254.5945333633</v>
      </c>
      <c r="G91" s="3516">
        <f t="array" ref="G91">IF(A91&lt;&gt;"",F91-H91,0)</f>
        <v>9756.44166465116</v>
      </c>
      <c r="H91" s="3516">
        <f t="array" ref="H91">IF(A91&lt;&gt;"",C91*$D$6/$D$8,0)</f>
        <v>23498.1528687122</v>
      </c>
      <c r="I91" s="3516">
        <f t="array" ref="I91">IF(A91&lt;&gt;"",C91-G91,0)</f>
        <v>4328364.08794375</v>
      </c>
      <c r="J91" s="3516">
        <f t="array" ref="J91">IF(A91&lt;&gt;"",J90+H91,J90)</f>
        <v>1864109.02562464</v>
      </c>
      <c r="K91" s="666"/>
      <c r="L91" s="1167" t="n"/>
      <c r="M91" s="1167" t="n"/>
      <c r="N91" s="1168" t="n"/>
      <c r="O91" s="1168" t="n"/>
      <c r="P91" s="1168" t="n"/>
      <c r="Q91" s="1168" t="n"/>
      <c r="R91" s="1168" t="n"/>
      <c r="S91" s="1168" t="n"/>
      <c r="T91" s="1168" t="n"/>
      <c r="U91" s="1168" t="n"/>
      <c r="V91" s="1168" t="n"/>
      <c r="W91" s="1168" t="n"/>
      <c r="X91" s="1168" t="n"/>
      <c r="Y91" s="1167" t="n"/>
    </row>
    <row r="92" s="3154" customFormat="1" ht="12.75" customHeight="1">
      <c r="A92" s="1117">
        <f t="array" ref="A92">IF(I91&gt;0.5,A91+1,"")</f>
        <v>75</v>
      </c>
      <c r="B92" s="3515">
        <f t="array" ref="B92">IF(A92&lt;&gt;"",DATE(YEAR($D$9),MONTH($D$9)+A92,DAY($D$9)),"")</f>
        <v>49035</v>
      </c>
      <c r="C92" s="3516">
        <f t="array" ref="C92">IF(A92&lt;&gt;"",I91,"")</f>
        <v>4328364.08794375</v>
      </c>
      <c r="D92" s="3516">
        <f t="array" ref="D92">IF(A92&lt;&gt;"",$H$5,"")</f>
        <v>33254.5945333633</v>
      </c>
      <c r="E92" s="3517">
        <v>0</v>
      </c>
      <c r="F92" s="3516">
        <f t="array" ref="F92">IF(A92&lt;&gt;"",D92+E92,"")</f>
        <v>33254.5945333633</v>
      </c>
      <c r="G92" s="3516">
        <f t="array" ref="G92">IF(A92&lt;&gt;"",F92-H92,0)</f>
        <v>9809.28905700136</v>
      </c>
      <c r="H92" s="3516">
        <f t="array" ref="H92">IF(A92&lt;&gt;"",C92*$D$6/$D$8,0)</f>
        <v>23445.305476362</v>
      </c>
      <c r="I92" s="3516">
        <f t="array" ref="I92">IF(A92&lt;&gt;"",C92-G92,0)</f>
        <v>4318554.79888675</v>
      </c>
      <c r="J92" s="3516">
        <f t="array" ref="J92">IF(A92&lt;&gt;"",J91+H92,J91)</f>
        <v>1887554.331101</v>
      </c>
      <c r="K92" s="666"/>
      <c r="L92" s="1167" t="n"/>
      <c r="M92" s="1167" t="n"/>
      <c r="N92" s="1168" t="n"/>
      <c r="O92" s="1168" t="n"/>
      <c r="P92" s="1168" t="n"/>
      <c r="Q92" s="1168" t="n"/>
      <c r="R92" s="1168" t="n"/>
      <c r="S92" s="1168" t="n"/>
      <c r="T92" s="1168" t="n"/>
      <c r="U92" s="1168" t="n"/>
      <c r="V92" s="1168" t="n"/>
      <c r="W92" s="1168" t="n"/>
      <c r="X92" s="1168" t="n"/>
      <c r="Y92" s="1167" t="n"/>
    </row>
    <row r="93" s="3154" customFormat="1" ht="12.75" customHeight="1">
      <c r="A93" s="1117">
        <f t="array" ref="A93">IF(I92&gt;0.5,A92+1,"")</f>
        <v>76</v>
      </c>
      <c r="B93" s="3515">
        <f t="array" ref="B93">IF(A93&lt;&gt;"",DATE(YEAR($D$9),MONTH($D$9)+A93,DAY($D$9)),"")</f>
        <v>49065</v>
      </c>
      <c r="C93" s="3516">
        <f t="array" ref="C93">IF(A93&lt;&gt;"",I92,"")</f>
        <v>4318554.79888675</v>
      </c>
      <c r="D93" s="3516">
        <f t="array" ref="D93">IF(A93&lt;&gt;"",$H$5,"")</f>
        <v>33254.5945333633</v>
      </c>
      <c r="E93" s="3517">
        <v>0</v>
      </c>
      <c r="F93" s="3516">
        <f t="array" ref="F93">IF(A93&lt;&gt;"",D93+E93,"")</f>
        <v>33254.5945333633</v>
      </c>
      <c r="G93" s="3516">
        <f t="array" ref="G93">IF(A93&lt;&gt;"",F93-H93,0)</f>
        <v>9862.42270606012</v>
      </c>
      <c r="H93" s="3516">
        <f t="array" ref="H93">IF(A93&lt;&gt;"",C93*$D$6/$D$8,0)</f>
        <v>23392.1718273032</v>
      </c>
      <c r="I93" s="3516">
        <f t="array" ref="I93">IF(A93&lt;&gt;"",C93-G93,0)</f>
        <v>4308692.37618069</v>
      </c>
      <c r="J93" s="3516">
        <f t="array" ref="J93">IF(A93&lt;&gt;"",J92+H93,J92)</f>
        <v>1910946.5029283</v>
      </c>
      <c r="K93" s="666"/>
      <c r="L93" s="1167" t="n"/>
      <c r="M93" s="1167" t="n"/>
      <c r="N93" s="1168" t="n"/>
      <c r="O93" s="1168" t="n"/>
      <c r="P93" s="1168" t="n"/>
      <c r="Q93" s="1168" t="n"/>
      <c r="R93" s="1168" t="n"/>
      <c r="S93" s="1168" t="n"/>
      <c r="T93" s="1168" t="n"/>
      <c r="U93" s="1168" t="n"/>
      <c r="V93" s="1168" t="n"/>
      <c r="W93" s="1168" t="n"/>
      <c r="X93" s="1168" t="n"/>
      <c r="Y93" s="1167" t="n"/>
    </row>
    <row r="94" s="3154" customFormat="1" ht="13.5" customHeight="1">
      <c r="A94" s="1117">
        <f t="array" ref="A94">IF(I93&gt;0.5,A93+1,"")</f>
        <v>77</v>
      </c>
      <c r="B94" s="3515">
        <f t="array" ref="B94">IF(A94&lt;&gt;"",DATE(YEAR($D$9),MONTH($D$9)+A94,DAY($D$9)),"")</f>
        <v>49096</v>
      </c>
      <c r="C94" s="3516">
        <f t="array" ref="C94">IF(A94&lt;&gt;"",I93,"")</f>
        <v>4308692.37618069</v>
      </c>
      <c r="D94" s="3516">
        <f t="array" ref="D94">IF(A94&lt;&gt;"",$H$5,"")</f>
        <v>33254.5945333633</v>
      </c>
      <c r="E94" s="3517">
        <v>0</v>
      </c>
      <c r="F94" s="3516">
        <f t="array" ref="F94">IF(A94&lt;&gt;"",D94+E94,"")</f>
        <v>33254.5945333633</v>
      </c>
      <c r="G94" s="3516">
        <f t="array" ref="G94">IF(A94&lt;&gt;"",F94-H94,0)</f>
        <v>9915.84416238461</v>
      </c>
      <c r="H94" s="3516">
        <f t="array" ref="H94">IF(A94&lt;&gt;"",C94*$D$6/$D$8,0)</f>
        <v>23338.7503709787</v>
      </c>
      <c r="I94" s="3516">
        <f t="array" ref="I94">IF(A94&lt;&gt;"",C94-G94,0)</f>
        <v>4298776.53201831</v>
      </c>
      <c r="J94" s="3516">
        <f t="array" ref="J94">IF(A94&lt;&gt;"",J93+H94,J93)</f>
        <v>1934285.25329928</v>
      </c>
      <c r="K94" s="1122"/>
      <c r="L94" s="642" t="n"/>
      <c r="M94" s="1167" t="n"/>
      <c r="N94" s="1168" t="n"/>
      <c r="O94" s="1168" t="n"/>
      <c r="P94" s="1168" t="n"/>
      <c r="Q94" s="1168" t="n"/>
      <c r="R94" s="1168" t="n"/>
      <c r="S94" s="1168" t="n"/>
      <c r="T94" s="1168" t="n"/>
      <c r="U94" s="1168" t="n"/>
      <c r="V94" s="1168" t="n"/>
      <c r="W94" s="1168" t="n"/>
      <c r="X94" s="1168" t="n"/>
      <c r="Y94" s="1167" t="n"/>
    </row>
    <row r="95" s="3154" customFormat="1" ht="13.5" customHeight="1">
      <c r="A95" s="1117">
        <f t="array" ref="A95">IF(I94&gt;0.5,A94+1,"")</f>
        <v>78</v>
      </c>
      <c r="B95" s="3515">
        <f t="array" ref="B95">IF(A95&lt;&gt;"",DATE(YEAR($D$9),MONTH($D$9)+A95,DAY($D$9)),"")</f>
        <v>49126</v>
      </c>
      <c r="C95" s="3516">
        <f t="array" ref="C95">IF(A95&lt;&gt;"",I94,"")</f>
        <v>4298776.53201831</v>
      </c>
      <c r="D95" s="3516">
        <f t="array" ref="D95">IF(A95&lt;&gt;"",$H$5,"")</f>
        <v>33254.5945333633</v>
      </c>
      <c r="E95" s="3517">
        <v>0</v>
      </c>
      <c r="F95" s="3516">
        <f t="array" ref="F95">IF(A95&lt;&gt;"",D95+E95,"")</f>
        <v>33254.5945333633</v>
      </c>
      <c r="G95" s="3516">
        <f t="array" ref="G95">IF(A95&lt;&gt;"",F95-H95,0)</f>
        <v>9969.55498493086</v>
      </c>
      <c r="H95" s="3516">
        <f t="array" ref="H95">IF(A95&lt;&gt;"",C95*$D$6/$D$8,0)</f>
        <v>23285.0395484325</v>
      </c>
      <c r="I95" s="3516">
        <f t="array" ref="I95">IF(A95&lt;&gt;"",C95-G95,0)</f>
        <v>4288806.97703337</v>
      </c>
      <c r="J95" s="3518">
        <f t="array" ref="J95">IF(A95&lt;&gt;"",J94+H95,J94)</f>
        <v>1957570.29284771</v>
      </c>
      <c r="K95" s="848">
        <is>
          <t xml:space="preserve">Year 7</t>
        </is>
      </c>
      <c r="L95" s="3425" t="n"/>
      <c r="M95" s="793" t="n"/>
      <c r="N95" s="1168" t="n"/>
      <c r="O95" s="1168" t="n"/>
      <c r="P95" s="1168" t="n"/>
      <c r="Q95" s="1168" t="n"/>
      <c r="R95" s="1168" t="n"/>
      <c r="S95" s="1168" t="n"/>
      <c r="T95" s="1168" t="n"/>
      <c r="U95" s="1168" t="n"/>
      <c r="V95" s="1168" t="n"/>
      <c r="W95" s="1168" t="n"/>
      <c r="X95" s="1168" t="n"/>
      <c r="Y95" s="1167" t="n"/>
    </row>
    <row r="96" s="3154" customFormat="1" ht="13.5" customHeight="1">
      <c r="A96" s="1117">
        <f t="array" ref="A96">IF(I95&gt;0.5,A95+1,"")</f>
        <v>79</v>
      </c>
      <c r="B96" s="3515">
        <f t="array" ref="B96">IF(A96&lt;&gt;"",DATE(YEAR($D$9),MONTH($D$9)+A96,DAY($D$9)),"")</f>
        <v>49157</v>
      </c>
      <c r="C96" s="3516">
        <f t="array" ref="C96">IF(A96&lt;&gt;"",I95,"")</f>
        <v>4288806.97703337</v>
      </c>
      <c r="D96" s="3516">
        <f t="array" ref="D96">IF(A96&lt;&gt;"",$H$5,"")</f>
        <v>33254.5945333633</v>
      </c>
      <c r="E96" s="3517">
        <v>0</v>
      </c>
      <c r="F96" s="3516">
        <f t="array" ref="F96">IF(A96&lt;&gt;"",D96+E96,"")</f>
        <v>33254.5945333633</v>
      </c>
      <c r="G96" s="3516">
        <f t="array" ref="G96">IF(A96&lt;&gt;"",F96-H96,0)</f>
        <v>10023.5567410992</v>
      </c>
      <c r="H96" s="3516">
        <f t="array" ref="H96">IF(A96&lt;&gt;"",C96*$D$6/$D$8,0)</f>
        <v>23231.0377922641</v>
      </c>
      <c r="I96" s="3516">
        <f t="array" ref="I96">IF(A96&lt;&gt;"",C96-G96,0)</f>
        <v>4278783.42029228</v>
      </c>
      <c r="J96" s="3518">
        <f t="array" ref="J96">IF(A96&lt;&gt;"",J95+H96,J95)</f>
        <v>1980801.33063998</v>
      </c>
      <c r="K96" s="942">
        <is>
          <t xml:space="preserve">Intrest</t>
        </is>
      </c>
      <c r="L96" s="3425" t="n"/>
      <c r="M96" s="793" t="n"/>
      <c r="N96" s="1168" t="n"/>
      <c r="O96" s="1168" t="n"/>
      <c r="P96" s="1168" t="n"/>
      <c r="Q96" s="1168" t="n"/>
      <c r="R96" s="1168" t="n"/>
      <c r="S96" s="1168" t="n"/>
      <c r="T96" s="1168" t="n"/>
      <c r="U96" s="1168" t="n"/>
      <c r="V96" s="1168" t="n"/>
      <c r="W96" s="1168" t="n"/>
      <c r="X96" s="1168" t="n"/>
      <c r="Y96" s="1167" t="n"/>
    </row>
    <row r="97" s="3154" customFormat="1" ht="13.5" customHeight="1">
      <c r="A97" s="1117">
        <f t="array" ref="A97">IF(I96&gt;0.5,A96+1,"")</f>
        <v>80</v>
      </c>
      <c r="B97" s="3515">
        <f t="array" ref="B97">IF(A97&lt;&gt;"",DATE(YEAR($D$9),MONTH($D$9)+A97,DAY($D$9)),"")</f>
        <v>49188</v>
      </c>
      <c r="C97" s="3516">
        <f t="array" ref="C97">IF(A97&lt;&gt;"",I96,"")</f>
        <v>4278783.42029228</v>
      </c>
      <c r="D97" s="3516">
        <f t="array" ref="D97">IF(A97&lt;&gt;"",$H$5,"")</f>
        <v>33254.5945333633</v>
      </c>
      <c r="E97" s="3517">
        <v>0</v>
      </c>
      <c r="F97" s="3516">
        <f t="array" ref="F97">IF(A97&lt;&gt;"",D97+E97,"")</f>
        <v>33254.5945333633</v>
      </c>
      <c r="G97" s="3516">
        <f t="array" ref="G97">IF(A97&lt;&gt;"",F97-H97,0)</f>
        <v>10077.8510067802</v>
      </c>
      <c r="H97" s="3516">
        <f t="array" ref="H97">IF(A97&lt;&gt;"",C97*$D$6/$D$8,0)</f>
        <v>23176.7435265832</v>
      </c>
      <c r="I97" s="3516">
        <f t="array" ref="I97">IF(A97&lt;&gt;"",C97-G97,0)</f>
        <v>4268705.5692855</v>
      </c>
      <c r="J97" s="3518">
        <f t="array" ref="J97">IF(A97&lt;&gt;"",J96+H97,J96)</f>
        <v>2003978.07416656</v>
      </c>
      <c r="K97" s="3537">
        <f t="array" ref="K97">SUM(H90:H101)</f>
      </c>
      <c r="L97" s="960" t="n"/>
      <c r="M97" s="793" t="n"/>
      <c r="N97" s="1168" t="n"/>
      <c r="O97" s="1168" t="n"/>
      <c r="P97" s="1168" t="n"/>
      <c r="Q97" s="1168" t="n"/>
      <c r="R97" s="1168" t="n"/>
      <c r="S97" s="1168" t="n"/>
      <c r="T97" s="1168" t="n"/>
      <c r="U97" s="1168" t="n"/>
      <c r="V97" s="1168" t="n"/>
      <c r="W97" s="1168" t="n"/>
      <c r="X97" s="1168" t="n"/>
      <c r="Y97" s="1167" t="n"/>
    </row>
    <row r="98" s="3154" customFormat="1" ht="12.75" customHeight="1">
      <c r="A98" s="1117">
        <f t="array" ref="A98">IF(I97&gt;0.5,A97+1,"")</f>
        <v>81</v>
      </c>
      <c r="B98" s="3515">
        <f t="array" ref="B98">IF(A98&lt;&gt;"",DATE(YEAR($D$9),MONTH($D$9)+A98,DAY($D$9)),"")</f>
        <v>49218</v>
      </c>
      <c r="C98" s="3516">
        <f t="array" ref="C98">IF(A98&lt;&gt;"",I97,"")</f>
        <v>4268705.5692855</v>
      </c>
      <c r="D98" s="3516">
        <f t="array" ref="D98">IF(A98&lt;&gt;"",$H$5,"")</f>
        <v>33254.5945333633</v>
      </c>
      <c r="E98" s="3517">
        <v>0</v>
      </c>
      <c r="F98" s="3516">
        <f t="array" ref="F98">IF(A98&lt;&gt;"",D98+E98,"")</f>
        <v>33254.5945333633</v>
      </c>
      <c r="G98" s="3516">
        <f t="array" ref="G98">IF(A98&lt;&gt;"",F98-H98,0)</f>
        <v>10132.4393664002</v>
      </c>
      <c r="H98" s="3516">
        <f t="array" ref="H98">IF(A98&lt;&gt;"",C98*$D$6/$D$8,0)</f>
        <v>23122.1551669631</v>
      </c>
      <c r="I98" s="3516">
        <f t="array" ref="I98">IF(A98&lt;&gt;"",C98-G98,0)</f>
        <v>4258573.1299191</v>
      </c>
      <c r="J98" s="3516">
        <f t="array" ref="J98">IF(A98&lt;&gt;"",J97+H98,J97)</f>
        <v>2027100.22933352</v>
      </c>
      <c r="K98" s="1125"/>
      <c r="L98" s="652" t="n"/>
      <c r="M98" s="1167" t="n"/>
      <c r="N98" s="1168" t="n"/>
      <c r="O98" s="1168" t="n"/>
      <c r="P98" s="1168" t="n"/>
      <c r="Q98" s="1168" t="n"/>
      <c r="R98" s="1168" t="n"/>
      <c r="S98" s="1168" t="n"/>
      <c r="T98" s="1168" t="n"/>
      <c r="U98" s="1168" t="n"/>
      <c r="V98" s="1168" t="n"/>
      <c r="W98" s="1168" t="n"/>
      <c r="X98" s="1168" t="n"/>
      <c r="Y98" s="1167" t="n"/>
    </row>
    <row r="99" s="3154" customFormat="1" ht="13.5" customHeight="1">
      <c r="A99" s="1117">
        <f t="array" ref="A99">IF(I98&gt;0.5,A98+1,"")</f>
        <v>82</v>
      </c>
      <c r="B99" s="3515">
        <f t="array" ref="B99">IF(A99&lt;&gt;"",DATE(YEAR($D$9),MONTH($D$9)+A99,DAY($D$9)),"")</f>
        <v>49249</v>
      </c>
      <c r="C99" s="3516">
        <f t="array" ref="C99">IF(A99&lt;&gt;"",I98,"")</f>
        <v>4258573.1299191</v>
      </c>
      <c r="D99" s="3516">
        <f t="array" ref="D99">IF(A99&lt;&gt;"",$H$5,"")</f>
        <v>33254.5945333633</v>
      </c>
      <c r="E99" s="3517">
        <v>0</v>
      </c>
      <c r="F99" s="3516">
        <f t="array" ref="F99">IF(A99&lt;&gt;"",D99+E99,"")</f>
        <v>33254.5945333633</v>
      </c>
      <c r="G99" s="3516">
        <f t="array" ref="G99">IF(A99&lt;&gt;"",F99-H99,0)</f>
        <v>10187.3234129682</v>
      </c>
      <c r="H99" s="3516">
        <f t="array" ref="H99">IF(A99&lt;&gt;"",C99*$D$6/$D$8,0)</f>
        <v>23067.2711203951</v>
      </c>
      <c r="I99" s="3516">
        <f t="array" ref="I99">IF(A99&lt;&gt;"",C99-G99,0)</f>
        <v>4248385.80650613</v>
      </c>
      <c r="J99" s="3516">
        <f t="array" ref="J99">IF(A99&lt;&gt;"",J98+H99,J98)</f>
        <v>2050167.50045392</v>
      </c>
      <c r="K99" s="1122"/>
      <c r="L99" s="642" t="n"/>
      <c r="M99" s="1167" t="n"/>
      <c r="N99" s="1168" t="n"/>
      <c r="O99" s="1168" t="n"/>
      <c r="P99" s="1168" t="n"/>
      <c r="Q99" s="1168" t="n"/>
      <c r="R99" s="1168" t="n"/>
      <c r="S99" s="1168" t="n"/>
      <c r="T99" s="1168" t="n"/>
      <c r="U99" s="1168" t="n"/>
      <c r="V99" s="1168" t="n"/>
      <c r="W99" s="1168" t="n"/>
      <c r="X99" s="1168" t="n"/>
      <c r="Y99" s="1167" t="n"/>
    </row>
    <row r="100" s="3154" customFormat="1" ht="13.5" customHeight="1">
      <c r="A100" s="1132">
        <f t="array" ref="A100">IF(I99&gt;0.5,A99+1,"")</f>
        <v>83</v>
      </c>
      <c r="B100" s="3519">
        <f t="array" ref="B100">IF(A100&lt;&gt;"",DATE(YEAR($D$9),MONTH($D$9)+A100,DAY($D$9)),"")</f>
        <v>49279</v>
      </c>
      <c r="C100" s="3520">
        <f t="array" ref="C100">IF(A100&lt;&gt;"",I99,"")</f>
        <v>4248385.80650613</v>
      </c>
      <c r="D100" s="3520">
        <f t="array" ref="D100">IF(A100&lt;&gt;"",$H$5,"")</f>
        <v>33254.5945333633</v>
      </c>
      <c r="E100" s="3521">
        <v>0</v>
      </c>
      <c r="F100" s="3520">
        <f t="array" ref="F100">IF(A100&lt;&gt;"",D100+E100,"")</f>
        <v>33254.5945333633</v>
      </c>
      <c r="G100" s="3520">
        <f t="array" ref="G100">IF(A100&lt;&gt;"",F100-H100,0)</f>
        <v>10242.5047481218</v>
      </c>
      <c r="H100" s="3520">
        <f t="array" ref="H100">IF(A100&lt;&gt;"",C100*$D$6/$D$8,0)</f>
        <v>23012.0897852415</v>
      </c>
      <c r="I100" s="3520">
        <f t="array" ref="I100">IF(A100&lt;&gt;"",C100-G100,0)</f>
        <v>4238143.30175801</v>
      </c>
      <c r="J100" s="3522">
        <f t="array" ref="J100">IF(A100&lt;&gt;"",J99+H100,J99)</f>
        <v>2073179.59023916</v>
      </c>
      <c r="K100" s="942">
        <is>
          <t xml:space="preserve">Principle</t>
        </is>
      </c>
      <c r="L100" s="3425" t="n"/>
      <c r="M100" s="793" t="n"/>
      <c r="N100" s="1168" t="n"/>
      <c r="O100" s="1168" t="n"/>
      <c r="P100" s="1168" t="n"/>
      <c r="Q100" s="1168" t="n"/>
      <c r="R100" s="1168" t="n"/>
      <c r="S100" s="1168" t="n"/>
      <c r="T100" s="1168" t="n"/>
      <c r="U100" s="1168" t="n"/>
      <c r="V100" s="1168" t="n"/>
      <c r="W100" s="1168" t="n"/>
      <c r="X100" s="1168" t="n"/>
      <c r="Y100" s="1167" t="n"/>
    </row>
    <row r="101" s="3154" customFormat="1" ht="13.5" customHeight="1">
      <c r="A101" s="1141">
        <f t="array" ref="A101">IF(I100&gt;0.5,A100+1,"")</f>
        <v>84</v>
      </c>
      <c r="B101" s="3523">
        <f t="array" ref="B101">IF(A101&lt;&gt;"",DATE(YEAR($D$9),MONTH($D$9)+A101,DAY($D$9)),"")</f>
        <v>49310</v>
      </c>
      <c r="C101" s="3524">
        <f t="array" ref="C101">IF(A101&lt;&gt;"",I100,"")</f>
        <v>4238143.30175801</v>
      </c>
      <c r="D101" s="3524">
        <f t="array" ref="D101">IF(A101&lt;&gt;"",$H$5,"")</f>
        <v>33254.5945333633</v>
      </c>
      <c r="E101" s="3525">
        <v>0</v>
      </c>
      <c r="F101" s="3524">
        <f t="array" ref="F101">IF(A101&lt;&gt;"",D101+E101,"")</f>
        <v>33254.5945333633</v>
      </c>
      <c r="G101" s="3524">
        <f t="array" ref="G101">IF(A101&lt;&gt;"",F101-H101,0)</f>
        <v>10297.9849821741</v>
      </c>
      <c r="H101" s="3526">
        <f t="array" ref="H101">IF(A101&lt;&gt;"",C101*$D$6/$D$8,0)</f>
        <v>22956.6095511892</v>
      </c>
      <c r="I101" s="3527">
        <f t="array" ref="I101">IF(A101&lt;&gt;"",C101-G101,0)</f>
        <v>4227845.31677583</v>
      </c>
      <c r="J101" s="3527">
        <f t="array" ref="J101">IF(A101&lt;&gt;"",J100+H101,J100)</f>
        <v>2096136.19979035</v>
      </c>
      <c r="K101" s="3537">
        <f t="array" ref="K101">SUM(G90:G101)</f>
        <v>119979.091819378</v>
      </c>
      <c r="L101" s="960" t="n"/>
      <c r="M101" s="793" t="n"/>
      <c r="N101" s="1168" t="n"/>
      <c r="O101" s="1168" t="n"/>
      <c r="P101" s="1168" t="n"/>
      <c r="Q101" s="1168" t="n"/>
      <c r="R101" s="1168" t="n"/>
      <c r="S101" s="1168" t="n"/>
      <c r="T101" s="1168" t="n"/>
      <c r="U101" s="1168" t="n"/>
      <c r="V101" s="1168" t="n"/>
      <c r="W101" s="1168" t="n"/>
      <c r="X101" s="1168" t="n"/>
      <c r="Y101" s="1167" t="n"/>
    </row>
    <row r="102" s="3154" customFormat="1" ht="12.75" customHeight="1">
      <c r="A102" s="1149">
        <f t="array" ref="A102">IF(I101&gt;0.5,A101+1,"")</f>
        <v>85</v>
      </c>
      <c r="B102" s="3530">
        <f t="array" ref="B102">IF(A102&lt;&gt;"",DATE(YEAR($D$9),MONTH($D$9)+A102,DAY($D$9)),"")</f>
        <v>49341</v>
      </c>
      <c r="C102" s="3531">
        <f t="array" ref="C102">IF(A102&lt;&gt;"",I101,"")</f>
        <v>4227845.31677583</v>
      </c>
      <c r="D102" s="3531">
        <f t="array" ref="D102">IF(A102&lt;&gt;"",$H$5,"")</f>
        <v>33254.5945333633</v>
      </c>
      <c r="E102" s="3532">
        <v>0</v>
      </c>
      <c r="F102" s="3531">
        <f t="array" ref="F102">IF(A102&lt;&gt;"",D102+E102,"")</f>
        <v>33254.5945333633</v>
      </c>
      <c r="G102" s="3531">
        <f t="array" ref="G102">IF(A102&lt;&gt;"",F102-H102,0)</f>
        <v>10353.7657341609</v>
      </c>
      <c r="H102" s="3531">
        <f t="array" ref="H102">IF(A102&lt;&gt;"",C102*$D$6/$D$8,0)</f>
        <v>22900.8287992024</v>
      </c>
      <c r="I102" s="3531">
        <f t="array" ref="I102">IF(A102&lt;&gt;"",C102-G102,0)</f>
        <v>4217491.55104167</v>
      </c>
      <c r="J102" s="3531">
        <f t="array" ref="J102">IF(A102&lt;&gt;"",J101+H102,J101)</f>
        <v>2119037.02858955</v>
      </c>
      <c r="K102" s="1125"/>
      <c r="L102" s="652" t="n"/>
      <c r="M102" s="1167" t="n"/>
      <c r="N102" s="1168" t="n"/>
      <c r="O102" s="1168" t="n"/>
      <c r="P102" s="1168" t="n"/>
      <c r="Q102" s="1168" t="n"/>
      <c r="R102" s="1168" t="n"/>
      <c r="S102" s="1168" t="n"/>
      <c r="T102" s="1168" t="n"/>
      <c r="U102" s="1168" t="n"/>
      <c r="V102" s="1168" t="n"/>
      <c r="W102" s="1168" t="n"/>
      <c r="X102" s="1168" t="n"/>
      <c r="Y102" s="1167" t="n"/>
    </row>
    <row r="103" s="3154" customFormat="1" ht="12.75" customHeight="1">
      <c r="A103" s="1117">
        <f t="array" ref="A103">IF(I102&gt;0.5,A102+1,"")</f>
        <v>86</v>
      </c>
      <c r="B103" s="3515">
        <f t="array" ref="B103">IF(A103&lt;&gt;"",DATE(YEAR($D$9),MONTH($D$9)+A103,DAY($D$9)),"")</f>
        <v>49369</v>
      </c>
      <c r="C103" s="3516">
        <f t="array" ref="C103">IF(A103&lt;&gt;"",I102,"")</f>
        <v>4217491.55104167</v>
      </c>
      <c r="D103" s="3516">
        <f t="array" ref="D103">IF(A103&lt;&gt;"",$H$5,"")</f>
        <v>33254.5945333633</v>
      </c>
      <c r="E103" s="3517">
        <v>0</v>
      </c>
      <c r="F103" s="3516">
        <f t="array" ref="F103">IF(A103&lt;&gt;"",D103+E103,"")</f>
        <v>33254.5945333633</v>
      </c>
      <c r="G103" s="3516">
        <f t="array" ref="G103">IF(A103&lt;&gt;"",F103-H103,0)</f>
        <v>10409.8486318876</v>
      </c>
      <c r="H103" s="3516">
        <f t="array" ref="H103">IF(A103&lt;&gt;"",C103*$D$6/$D$8,0)</f>
        <v>22844.7459014757</v>
      </c>
      <c r="I103" s="3516">
        <f t="array" ref="I103">IF(A103&lt;&gt;"",C103-G103,0)</f>
        <v>4207081.70240978</v>
      </c>
      <c r="J103" s="3516">
        <f t="array" ref="J103">IF(A103&lt;&gt;"",J102+H103,J102)</f>
        <v>2141881.77449103</v>
      </c>
      <c r="K103" s="666"/>
      <c r="L103" s="1167" t="n"/>
      <c r="M103" s="1167" t="n"/>
      <c r="N103" s="1168" t="n"/>
      <c r="O103" s="1168" t="n"/>
      <c r="P103" s="1168" t="n"/>
      <c r="Q103" s="1168" t="n"/>
      <c r="R103" s="1168" t="n"/>
      <c r="S103" s="1168" t="n"/>
      <c r="T103" s="1168" t="n"/>
      <c r="U103" s="1168" t="n"/>
      <c r="V103" s="1168" t="n"/>
      <c r="W103" s="1168" t="n"/>
      <c r="X103" s="1168" t="n"/>
      <c r="Y103" s="1167" t="n"/>
    </row>
    <row r="104" s="3154" customFormat="1" ht="12.75" customHeight="1">
      <c r="A104" s="1117">
        <f t="array" ref="A104">IF(I103&gt;0.5,A103+1,"")</f>
        <v>87</v>
      </c>
      <c r="B104" s="3515">
        <f t="array" ref="B104">IF(A104&lt;&gt;"",DATE(YEAR($D$9),MONTH($D$9)+A104,DAY($D$9)),"")</f>
        <v>49400</v>
      </c>
      <c r="C104" s="3516">
        <f t="array" ref="C104">IF(A104&lt;&gt;"",I103,"")</f>
        <v>4207081.70240978</v>
      </c>
      <c r="D104" s="3516">
        <f t="array" ref="D104">IF(A104&lt;&gt;"",$H$5,"")</f>
        <v>33254.5945333633</v>
      </c>
      <c r="E104" s="3517">
        <v>0</v>
      </c>
      <c r="F104" s="3516">
        <f t="array" ref="F104">IF(A104&lt;&gt;"",D104+E104,"")</f>
        <v>33254.5945333633</v>
      </c>
      <c r="G104" s="3516">
        <f t="array" ref="G104">IF(A104&lt;&gt;"",F104-H104,0)</f>
        <v>10466.235311977</v>
      </c>
      <c r="H104" s="3516">
        <f t="array" ref="H104">IF(A104&lt;&gt;"",C104*$D$6/$D$8,0)</f>
        <v>22788.3592213863</v>
      </c>
      <c r="I104" s="3516">
        <f t="array" ref="I104">IF(A104&lt;&gt;"",C104-G104,0)</f>
        <v>4196615.46709781</v>
      </c>
      <c r="J104" s="3516">
        <f t="array" ref="J104">IF(A104&lt;&gt;"",J103+H104,J103)</f>
        <v>2164670.13371241</v>
      </c>
      <c r="K104" s="666"/>
      <c r="L104" s="1167" t="n"/>
      <c r="M104" s="1167" t="n"/>
      <c r="N104" s="1168" t="n"/>
      <c r="O104" s="1168" t="n"/>
      <c r="P104" s="1168" t="n"/>
      <c r="Q104" s="1168" t="n"/>
      <c r="R104" s="1168" t="n"/>
      <c r="S104" s="1168" t="n"/>
      <c r="T104" s="1168" t="n"/>
      <c r="U104" s="1168" t="n"/>
      <c r="V104" s="1168" t="n"/>
      <c r="W104" s="1168" t="n"/>
      <c r="X104" s="1168" t="n"/>
      <c r="Y104" s="1167" t="n"/>
    </row>
    <row r="105" s="3154" customFormat="1" ht="12.75" customHeight="1">
      <c r="A105" s="1117">
        <f t="array" ref="A105">IF(I104&gt;0.5,A104+1,"")</f>
        <v>88</v>
      </c>
      <c r="B105" s="3515">
        <f t="array" ref="B105">IF(A105&lt;&gt;"",DATE(YEAR($D$9),MONTH($D$9)+A105,DAY($D$9)),"")</f>
        <v>49430</v>
      </c>
      <c r="C105" s="3516">
        <f t="array" ref="C105">IF(A105&lt;&gt;"",I104,"")</f>
        <v>4196615.46709781</v>
      </c>
      <c r="D105" s="3516">
        <f t="array" ref="D105">IF(A105&lt;&gt;"",$H$5,"")</f>
        <v>33254.5945333633</v>
      </c>
      <c r="E105" s="3517">
        <v>0</v>
      </c>
      <c r="F105" s="3516">
        <f t="array" ref="F105">IF(A105&lt;&gt;"",D105+E105,"")</f>
        <v>33254.5945333633</v>
      </c>
      <c r="G105" s="3516">
        <f t="array" ref="G105">IF(A105&lt;&gt;"",F105-H105,0)</f>
        <v>10522.9274199169</v>
      </c>
      <c r="H105" s="3516">
        <f t="array" ref="H105">IF(A105&lt;&gt;"",C105*$D$6/$D$8,0)</f>
        <v>22731.6671134465</v>
      </c>
      <c r="I105" s="3516">
        <f t="array" ref="I105">IF(A105&lt;&gt;"",C105-G105,0)</f>
        <v>4186092.53967789</v>
      </c>
      <c r="J105" s="3516">
        <f t="array" ref="J105">IF(A105&lt;&gt;"",J104+H105,J104)</f>
        <v>2187401.80082586</v>
      </c>
      <c r="K105" s="666"/>
      <c r="L105" s="1167" t="n"/>
      <c r="M105" s="1167" t="n"/>
      <c r="N105" s="1168" t="n"/>
      <c r="O105" s="1168" t="n"/>
      <c r="P105" s="1168" t="n"/>
      <c r="Q105" s="1168" t="n"/>
      <c r="R105" s="1168" t="n"/>
      <c r="S105" s="1168" t="n"/>
      <c r="T105" s="1168" t="n"/>
      <c r="U105" s="1168" t="n"/>
      <c r="V105" s="1168" t="n"/>
      <c r="W105" s="1168" t="n"/>
      <c r="X105" s="1168" t="n"/>
      <c r="Y105" s="1167" t="n"/>
    </row>
    <row r="106" s="3154" customFormat="1" ht="13.5" customHeight="1">
      <c r="A106" s="1117">
        <f t="array" ref="A106">IF(I105&gt;0.5,A105+1,"")</f>
        <v>89</v>
      </c>
      <c r="B106" s="3515">
        <f t="array" ref="B106">IF(A106&lt;&gt;"",DATE(YEAR($D$9),MONTH($D$9)+A106,DAY($D$9)),"")</f>
        <v>49461</v>
      </c>
      <c r="C106" s="3516">
        <f t="array" ref="C106">IF(A106&lt;&gt;"",I105,"")</f>
        <v>4186092.53967789</v>
      </c>
      <c r="D106" s="3516">
        <f t="array" ref="D106">IF(A106&lt;&gt;"",$H$5,"")</f>
        <v>33254.5945333633</v>
      </c>
      <c r="E106" s="3517">
        <v>0</v>
      </c>
      <c r="F106" s="3516">
        <f t="array" ref="F106">IF(A106&lt;&gt;"",D106+E106,"")</f>
        <v>33254.5945333633</v>
      </c>
      <c r="G106" s="3516">
        <f t="array" ref="G106">IF(A106&lt;&gt;"",F106-H106,0)</f>
        <v>10579.9266101081</v>
      </c>
      <c r="H106" s="3516">
        <f t="array" ref="H106">IF(A106&lt;&gt;"",C106*$D$6/$D$8,0)</f>
        <v>22674.6679232552</v>
      </c>
      <c r="I106" s="3516">
        <f t="array" ref="I106">IF(A106&lt;&gt;"",C106-G106,0)</f>
        <v>4175512.61306778</v>
      </c>
      <c r="J106" s="3516">
        <f t="array" ref="J106">IF(A106&lt;&gt;"",J105+H106,J105)</f>
        <v>2210076.46874911</v>
      </c>
      <c r="K106" s="1122"/>
      <c r="L106" s="642" t="n"/>
      <c r="M106" s="1167" t="n"/>
      <c r="N106" s="1168" t="n"/>
      <c r="O106" s="1168" t="n"/>
      <c r="P106" s="1168" t="n"/>
      <c r="Q106" s="1168" t="n"/>
      <c r="R106" s="1168" t="n"/>
      <c r="S106" s="1168" t="n"/>
      <c r="T106" s="1168" t="n"/>
      <c r="U106" s="1168" t="n"/>
      <c r="V106" s="1168" t="n"/>
      <c r="W106" s="1168" t="n"/>
      <c r="X106" s="1168" t="n"/>
      <c r="Y106" s="1167" t="n"/>
    </row>
    <row r="107" s="3154" customFormat="1" ht="13.5" customHeight="1">
      <c r="A107" s="1117">
        <f t="array" ref="A107">IF(I106&gt;0.5,A106+1,"")</f>
        <v>90</v>
      </c>
      <c r="B107" s="3515">
        <f t="array" ref="B107">IF(A107&lt;&gt;"",DATE(YEAR($D$9),MONTH($D$9)+A107,DAY($D$9)),"")</f>
        <v>49491</v>
      </c>
      <c r="C107" s="3516">
        <f t="array" ref="C107">IF(A107&lt;&gt;"",I106,"")</f>
        <v>4175512.61306778</v>
      </c>
      <c r="D107" s="3516">
        <f t="array" ref="D107">IF(A107&lt;&gt;"",$H$5,"")</f>
        <v>33254.5945333633</v>
      </c>
      <c r="E107" s="3517">
        <v>0</v>
      </c>
      <c r="F107" s="3516">
        <f t="array" ref="F107">IF(A107&lt;&gt;"",D107+E107,"")</f>
        <v>33254.5945333633</v>
      </c>
      <c r="G107" s="3516">
        <f t="array" ref="G107">IF(A107&lt;&gt;"",F107-H107,0)</f>
        <v>10637.2345459129</v>
      </c>
      <c r="H107" s="3516">
        <f t="array" ref="H107">IF(A107&lt;&gt;"",C107*$D$6/$D$8,0)</f>
        <v>22617.3599874505</v>
      </c>
      <c r="I107" s="3516">
        <f t="array" ref="I107">IF(A107&lt;&gt;"",C107-G107,0)</f>
        <v>4164875.37852187</v>
      </c>
      <c r="J107" s="3518">
        <f t="array" ref="J107">IF(A107&lt;&gt;"",J106+H107,J106)</f>
        <v>2232693.82873656</v>
      </c>
      <c r="K107" s="848">
        <is>
          <t xml:space="preserve">Year 8</t>
        </is>
      </c>
      <c r="L107" s="3425" t="n"/>
      <c r="M107" s="793" t="n"/>
      <c r="N107" s="1168" t="n"/>
      <c r="O107" s="1168" t="n"/>
      <c r="P107" s="1168" t="n"/>
      <c r="Q107" s="1168" t="n"/>
      <c r="R107" s="1168" t="n"/>
      <c r="S107" s="1168" t="n"/>
      <c r="T107" s="1168" t="n"/>
      <c r="U107" s="1168" t="n"/>
      <c r="V107" s="1168" t="n"/>
      <c r="W107" s="1168" t="n"/>
      <c r="X107" s="1168" t="n"/>
      <c r="Y107" s="1167" t="n"/>
    </row>
    <row r="108" s="3154" customFormat="1" ht="13.5" customHeight="1">
      <c r="A108" s="1117">
        <f t="array" ref="A108">IF(I107&gt;0.5,A107+1,"")</f>
        <v>91</v>
      </c>
      <c r="B108" s="3515">
        <f t="array" ref="B108">IF(A108&lt;&gt;"",DATE(YEAR($D$9),MONTH($D$9)+A108,DAY($D$9)),"")</f>
        <v>49522</v>
      </c>
      <c r="C108" s="3516">
        <f t="array" ref="C108">IF(A108&lt;&gt;"",I107,"")</f>
        <v>4164875.37852187</v>
      </c>
      <c r="D108" s="3516">
        <f t="array" ref="D108">IF(A108&lt;&gt;"",$H$5,"")</f>
        <v>33254.5945333633</v>
      </c>
      <c r="E108" s="3517">
        <v>0</v>
      </c>
      <c r="F108" s="3516">
        <f t="array" ref="F108">IF(A108&lt;&gt;"",D108+E108,"")</f>
        <v>33254.5945333633</v>
      </c>
      <c r="G108" s="3516">
        <f t="array" ref="G108">IF(A108&lt;&gt;"",F108-H108,0)</f>
        <v>10694.8528997032</v>
      </c>
      <c r="H108" s="3516">
        <f t="array" ref="H108">IF(A108&lt;&gt;"",C108*$D$6/$D$8,0)</f>
        <v>22559.7416336601</v>
      </c>
      <c r="I108" s="3516">
        <f t="array" ref="I108">IF(A108&lt;&gt;"",C108-G108,0)</f>
        <v>4154180.52562217</v>
      </c>
      <c r="J108" s="3518">
        <f t="array" ref="J108">IF(A108&lt;&gt;"",J107+H108,J107)</f>
        <v>2255253.57037022</v>
      </c>
      <c r="K108" s="942">
        <is>
          <t xml:space="preserve">Intrest</t>
        </is>
      </c>
      <c r="L108" s="3425" t="n"/>
      <c r="M108" s="793" t="n"/>
      <c r="N108" s="1168" t="n"/>
      <c r="O108" s="1168" t="n"/>
      <c r="P108" s="1168" t="n"/>
      <c r="Q108" s="1168" t="n"/>
      <c r="R108" s="1168" t="n"/>
      <c r="S108" s="1168" t="n"/>
      <c r="T108" s="1168" t="n"/>
      <c r="U108" s="1168" t="n"/>
      <c r="V108" s="1168" t="n"/>
      <c r="W108" s="1168" t="n"/>
      <c r="X108" s="1168" t="n"/>
      <c r="Y108" s="1167" t="n"/>
    </row>
    <row r="109" s="3154" customFormat="1" ht="13.5" customHeight="1">
      <c r="A109" s="1117">
        <f t="array" ref="A109">IF(I108&gt;0.5,A108+1,"")</f>
        <v>92</v>
      </c>
      <c r="B109" s="3515">
        <f t="array" ref="B109">IF(A109&lt;&gt;"",DATE(YEAR($D$9),MONTH($D$9)+A109,DAY($D$9)),"")</f>
        <v>49553</v>
      </c>
      <c r="C109" s="3516">
        <f t="array" ref="C109">IF(A109&lt;&gt;"",I108,"")</f>
        <v>4154180.52562217</v>
      </c>
      <c r="D109" s="3516">
        <f t="array" ref="D109">IF(A109&lt;&gt;"",$H$5,"")</f>
        <v>33254.5945333633</v>
      </c>
      <c r="E109" s="3517">
        <v>0</v>
      </c>
      <c r="F109" s="3516">
        <f t="array" ref="F109">IF(A109&lt;&gt;"",D109+E109,"")</f>
        <v>33254.5945333633</v>
      </c>
      <c r="G109" s="3516">
        <f t="array" ref="G109">IF(A109&lt;&gt;"",F109-H109,0)</f>
        <v>10752.78335291</v>
      </c>
      <c r="H109" s="3516">
        <f t="array" ref="H109">IF(A109&lt;&gt;"",C109*$D$6/$D$8,0)</f>
        <v>22501.8111804534</v>
      </c>
      <c r="I109" s="3516">
        <f t="array" ref="I109">IF(A109&lt;&gt;"",C109-G109,0)</f>
        <v>4143427.74226926</v>
      </c>
      <c r="J109" s="3518">
        <f t="array" ref="J109">IF(A109&lt;&gt;"",J108+H109,J108)</f>
        <v>2277755.38155068</v>
      </c>
      <c r="K109" s="3537">
        <f t="array" ref="K109">SUM(H102:H113)</f>
      </c>
      <c r="L109" s="960" t="n"/>
      <c r="M109" s="793" t="n"/>
      <c r="N109" s="1168" t="n"/>
      <c r="O109" s="1168" t="n"/>
      <c r="P109" s="1168" t="n"/>
      <c r="Q109" s="1168" t="n"/>
      <c r="R109" s="1168" t="n"/>
      <c r="S109" s="1168" t="n"/>
      <c r="T109" s="1168" t="n"/>
      <c r="U109" s="1168" t="n"/>
      <c r="V109" s="1168" t="n"/>
      <c r="W109" s="1168" t="n"/>
      <c r="X109" s="1168" t="n"/>
      <c r="Y109" s="1167" t="n"/>
    </row>
    <row r="110" s="3154" customFormat="1" ht="12.75" customHeight="1">
      <c r="A110" s="1117">
        <f t="array" ref="A110">IF(I109&gt;0.5,A109+1,"")</f>
        <v>93</v>
      </c>
      <c r="B110" s="3515">
        <f t="array" ref="B110">IF(A110&lt;&gt;"",DATE(YEAR($D$9),MONTH($D$9)+A110,DAY($D$9)),"")</f>
        <v>49583</v>
      </c>
      <c r="C110" s="3516">
        <f t="array" ref="C110">IF(A110&lt;&gt;"",I109,"")</f>
        <v>4143427.74226926</v>
      </c>
      <c r="D110" s="3516">
        <f t="array" ref="D110">IF(A110&lt;&gt;"",$H$5,"")</f>
        <v>33254.5945333633</v>
      </c>
      <c r="E110" s="3517">
        <v>0</v>
      </c>
      <c r="F110" s="3516">
        <f t="array" ref="F110">IF(A110&lt;&gt;"",D110+E110,"")</f>
        <v>33254.5945333633</v>
      </c>
      <c r="G110" s="3516">
        <f t="array" ref="G110">IF(A110&lt;&gt;"",F110-H110,0)</f>
        <v>10811.0275960715</v>
      </c>
      <c r="H110" s="3516">
        <f t="array" ref="H110">IF(A110&lt;&gt;"",C110*$D$6/$D$8,0)</f>
        <v>22443.5669372918</v>
      </c>
      <c r="I110" s="3516">
        <f t="array" ref="I110">IF(A110&lt;&gt;"",C110-G110,0)</f>
        <v>4132616.71467318</v>
      </c>
      <c r="J110" s="3516">
        <f t="array" ref="J110">IF(A110&lt;&gt;"",J109+H110,J109)</f>
        <v>2300198.94848797</v>
      </c>
      <c r="K110" s="1125"/>
      <c r="L110" s="652" t="n"/>
      <c r="M110" s="1167" t="n"/>
      <c r="N110" s="1168" t="n"/>
      <c r="O110" s="1168" t="n"/>
      <c r="P110" s="1168" t="n"/>
      <c r="Q110" s="1168" t="n"/>
      <c r="R110" s="1168" t="n"/>
      <c r="S110" s="1168" t="n"/>
      <c r="T110" s="1168" t="n"/>
      <c r="U110" s="1168" t="n"/>
      <c r="V110" s="1168" t="n"/>
      <c r="W110" s="1168" t="n"/>
      <c r="X110" s="1168" t="n"/>
      <c r="Y110" s="1167" t="n"/>
    </row>
    <row r="111" s="3154" customFormat="1" ht="13.5" customHeight="1">
      <c r="A111" s="1117">
        <f t="array" ref="A111">IF(I110&gt;0.5,A110+1,"")</f>
        <v>94</v>
      </c>
      <c r="B111" s="3515">
        <f t="array" ref="B111">IF(A111&lt;&gt;"",DATE(YEAR($D$9),MONTH($D$9)+A111,DAY($D$9)),"")</f>
        <v>49614</v>
      </c>
      <c r="C111" s="3516">
        <f t="array" ref="C111">IF(A111&lt;&gt;"",I110,"")</f>
        <v>4132616.71467318</v>
      </c>
      <c r="D111" s="3516">
        <f t="array" ref="D111">IF(A111&lt;&gt;"",$H$5,"")</f>
        <v>33254.5945333633</v>
      </c>
      <c r="E111" s="3517">
        <v>0</v>
      </c>
      <c r="F111" s="3516">
        <f t="array" ref="F111">IF(A111&lt;&gt;"",D111+E111,"")</f>
        <v>33254.5945333633</v>
      </c>
      <c r="G111" s="3516">
        <f t="array" ref="G111">IF(A111&lt;&gt;"",F111-H111,0)</f>
        <v>10869.5873288836</v>
      </c>
      <c r="H111" s="3516">
        <f t="array" ref="H111">IF(A111&lt;&gt;"",C111*$D$6/$D$8,0)</f>
        <v>22385.0072044797</v>
      </c>
      <c r="I111" s="3516">
        <f t="array" ref="I111">IF(A111&lt;&gt;"",C111-G111,0)</f>
        <v>4121747.1273443</v>
      </c>
      <c r="J111" s="3516">
        <f t="array" ref="J111">IF(A111&lt;&gt;"",J110+H111,J110)</f>
        <v>2322583.95569245</v>
      </c>
      <c r="K111" s="1122"/>
      <c r="L111" s="642" t="n"/>
      <c r="M111" s="1167" t="n"/>
      <c r="N111" s="1168" t="n"/>
      <c r="O111" s="1168" t="n"/>
      <c r="P111" s="1168" t="n"/>
      <c r="Q111" s="1168" t="n"/>
      <c r="R111" s="1168" t="n"/>
      <c r="S111" s="1168" t="n"/>
      <c r="T111" s="1168" t="n"/>
      <c r="U111" s="1168" t="n"/>
      <c r="V111" s="1168" t="n"/>
      <c r="W111" s="1168" t="n"/>
      <c r="X111" s="1168" t="n"/>
      <c r="Y111" s="1167" t="n"/>
    </row>
    <row r="112" s="3154" customFormat="1" ht="13.5" customHeight="1">
      <c r="A112" s="1132">
        <f t="array" ref="A112">IF(I111&gt;0.5,A111+1,"")</f>
        <v>95</v>
      </c>
      <c r="B112" s="3519">
        <f t="array" ref="B112">IF(A112&lt;&gt;"",DATE(YEAR($D$9),MONTH($D$9)+A112,DAY($D$9)),"")</f>
        <v>49644</v>
      </c>
      <c r="C112" s="3520">
        <f t="array" ref="C112">IF(A112&lt;&gt;"",I111,"")</f>
        <v>4121747.1273443</v>
      </c>
      <c r="D112" s="3520">
        <f t="array" ref="D112">IF(A112&lt;&gt;"",$H$5,"")</f>
        <v>33254.5945333633</v>
      </c>
      <c r="E112" s="3521">
        <v>0</v>
      </c>
      <c r="F112" s="3520">
        <f t="array" ref="F112">IF(A112&lt;&gt;"",D112+E112,"")</f>
        <v>33254.5945333633</v>
      </c>
      <c r="G112" s="3520">
        <f t="array" ref="G112">IF(A112&lt;&gt;"",F112-H112,0)</f>
        <v>10928.4642602484</v>
      </c>
      <c r="H112" s="3520">
        <f t="array" ref="H112">IF(A112&lt;&gt;"",C112*$D$6/$D$8,0)</f>
        <v>22326.130273115</v>
      </c>
      <c r="I112" s="3520">
        <f t="array" ref="I112">IF(A112&lt;&gt;"",C112-G112,0)</f>
        <v>4110818.66308405</v>
      </c>
      <c r="J112" s="3522">
        <f t="array" ref="J112">IF(A112&lt;&gt;"",J111+H112,J111)</f>
        <v>2344910.08596556</v>
      </c>
      <c r="K112" s="942">
        <is>
          <t xml:space="preserve">Principle</t>
        </is>
      </c>
      <c r="L112" s="3425" t="n"/>
      <c r="M112" s="793" t="n"/>
      <c r="N112" s="1168" t="n"/>
      <c r="O112" s="1168" t="n"/>
      <c r="P112" s="1168" t="n"/>
      <c r="Q112" s="1168" t="n"/>
      <c r="R112" s="1168" t="n"/>
      <c r="S112" s="1168" t="n"/>
      <c r="T112" s="1168" t="n"/>
      <c r="U112" s="1168" t="n"/>
      <c r="V112" s="1168" t="n"/>
      <c r="W112" s="1168" t="n"/>
      <c r="X112" s="1168" t="n"/>
      <c r="Y112" s="1167" t="n"/>
    </row>
    <row r="113" s="3154" customFormat="1" ht="13.5" customHeight="1">
      <c r="A113" s="1141">
        <f t="array" ref="A113">IF(I112&gt;0.5,A112+1,"")</f>
        <v>96</v>
      </c>
      <c r="B113" s="3523">
        <f t="array" ref="B113">IF(A113&lt;&gt;"",DATE(YEAR($D$9),MONTH($D$9)+A113,DAY($D$9)),"")</f>
        <v>49675</v>
      </c>
      <c r="C113" s="3524">
        <f t="array" ref="C113">IF(A113&lt;&gt;"",I112,"")</f>
        <v>4110818.66308405</v>
      </c>
      <c r="D113" s="3524">
        <f t="array" ref="D113">IF(A113&lt;&gt;"",$H$5,"")</f>
        <v>33254.5945333633</v>
      </c>
      <c r="E113" s="3525">
        <v>0</v>
      </c>
      <c r="F113" s="3524">
        <f t="array" ref="F113">IF(A113&lt;&gt;"",D113+E113,"")</f>
        <v>33254.5945333633</v>
      </c>
      <c r="G113" s="3524">
        <f t="array" ref="G113">IF(A113&lt;&gt;"",F113-H113,0)</f>
        <v>10987.6601083247</v>
      </c>
      <c r="H113" s="3526">
        <f t="array" ref="H113">IF(A113&lt;&gt;"",C113*$D$6/$D$8,0)</f>
        <v>22266.9344250386</v>
      </c>
      <c r="I113" s="3527">
        <f t="array" ref="I113">IF(A113&lt;&gt;"",C113-G113,0)</f>
        <v>4099831.00297573</v>
      </c>
      <c r="J113" s="3527">
        <f t="array" ref="J113">IF(A113&lt;&gt;"",J112+H113,J112)</f>
        <v>2367177.0203906</v>
      </c>
      <c r="K113" s="3537">
        <f t="array" ref="K113">SUM(G102:G113)</f>
        <v>128014.313800105</v>
      </c>
      <c r="L113" s="960" t="n"/>
      <c r="M113" s="793" t="n"/>
      <c r="N113" s="1168" t="n"/>
      <c r="O113" s="1168" t="n"/>
      <c r="P113" s="1168" t="n"/>
      <c r="Q113" s="1168" t="n"/>
      <c r="R113" s="1168" t="n"/>
      <c r="S113" s="1168" t="n"/>
      <c r="T113" s="1168" t="n"/>
      <c r="U113" s="1168" t="n"/>
      <c r="V113" s="1168" t="n"/>
      <c r="W113" s="1168" t="n"/>
      <c r="X113" s="1168" t="n"/>
      <c r="Y113" s="1167" t="n"/>
    </row>
    <row r="114" s="3154" customFormat="1" ht="12.75" customHeight="1">
      <c r="A114" s="1149">
        <f t="array" ref="A114">IF(I113&gt;0.5,A113+1,"")</f>
        <v>97</v>
      </c>
      <c r="B114" s="3530">
        <f t="array" ref="B114">IF(A114&lt;&gt;"",DATE(YEAR($D$9),MONTH($D$9)+A114,DAY($D$9)),"")</f>
        <v>49706</v>
      </c>
      <c r="C114" s="3531">
        <f t="array" ref="C114">IF(A114&lt;&gt;"",I113,"")</f>
        <v>4099831.00297573</v>
      </c>
      <c r="D114" s="3531">
        <f t="array" ref="D114">IF(A114&lt;&gt;"",$H$5,"")</f>
        <v>33254.5945333633</v>
      </c>
      <c r="E114" s="3532">
        <v>0</v>
      </c>
      <c r="F114" s="3531">
        <f t="array" ref="F114">IF(A114&lt;&gt;"",D114+E114,"")</f>
        <v>33254.5945333633</v>
      </c>
      <c r="G114" s="3531">
        <f t="array" ref="G114">IF(A114&lt;&gt;"",F114-H114,0)</f>
        <v>11047.1766005782</v>
      </c>
      <c r="H114" s="3531">
        <f t="array" ref="H114">IF(A114&lt;&gt;"",C114*$D$6/$D$8,0)</f>
        <v>22207.4179327852</v>
      </c>
      <c r="I114" s="3531">
        <f t="array" ref="I114">IF(A114&lt;&gt;"",C114-G114,0)</f>
        <v>4088783.82637515</v>
      </c>
      <c r="J114" s="3531">
        <f t="array" ref="J114">IF(A114&lt;&gt;"",J113+H114,J113)</f>
        <v>2389384.43832339</v>
      </c>
      <c r="K114" s="1125"/>
      <c r="L114" s="652" t="n"/>
      <c r="M114" s="1167" t="n"/>
      <c r="N114" s="1168" t="n"/>
      <c r="O114" s="1168" t="n"/>
      <c r="P114" s="1168" t="n"/>
      <c r="Q114" s="1168" t="n"/>
      <c r="R114" s="1168" t="n"/>
      <c r="S114" s="1168" t="n"/>
      <c r="T114" s="1168" t="n"/>
      <c r="U114" s="1168" t="n"/>
      <c r="V114" s="1168" t="n"/>
      <c r="W114" s="1168" t="n"/>
      <c r="X114" s="1168" t="n"/>
      <c r="Y114" s="1167" t="n"/>
    </row>
    <row r="115" s="3154" customFormat="1" ht="12.75" customHeight="1">
      <c r="A115" s="1117">
        <f t="array" ref="A115">IF(I114&gt;0.5,A114+1,"")</f>
        <v>98</v>
      </c>
      <c r="B115" s="3515">
        <f t="array" ref="B115">IF(A115&lt;&gt;"",DATE(YEAR($D$9),MONTH($D$9)+A115,DAY($D$9)),"")</f>
        <v>49735</v>
      </c>
      <c r="C115" s="3516">
        <f t="array" ref="C115">IF(A115&lt;&gt;"",I114,"")</f>
        <v>4088783.82637515</v>
      </c>
      <c r="D115" s="3516">
        <f t="array" ref="D115">IF(A115&lt;&gt;"",$H$5,"")</f>
        <v>33254.5945333633</v>
      </c>
      <c r="E115" s="3517">
        <v>0</v>
      </c>
      <c r="F115" s="3516">
        <f t="array" ref="F115">IF(A115&lt;&gt;"",D115+E115,"")</f>
        <v>33254.5945333633</v>
      </c>
      <c r="G115" s="3516">
        <f t="array" ref="G115">IF(A115&lt;&gt;"",F115-H115,0)</f>
        <v>11107.0154738313</v>
      </c>
      <c r="H115" s="3516">
        <f t="array" ref="H115">IF(A115&lt;&gt;"",C115*$D$6/$D$8,0)</f>
        <v>22147.5790595321</v>
      </c>
      <c r="I115" s="3516">
        <f t="array" ref="I115">IF(A115&lt;&gt;"",C115-G115,0)</f>
        <v>4077676.81090132</v>
      </c>
      <c r="J115" s="3516">
        <f t="array" ref="J115">IF(A115&lt;&gt;"",J114+H115,J114)</f>
        <v>2411532.01738292</v>
      </c>
      <c r="K115" s="666"/>
      <c r="L115" s="1167" t="n"/>
      <c r="M115" s="1167" t="n"/>
      <c r="N115" s="1168" t="n"/>
      <c r="O115" s="1168" t="n"/>
      <c r="P115" s="1168" t="n"/>
      <c r="Q115" s="1168" t="n"/>
      <c r="R115" s="1168" t="n"/>
      <c r="S115" s="1168" t="n"/>
      <c r="T115" s="1168" t="n"/>
      <c r="U115" s="1168" t="n"/>
      <c r="V115" s="1168" t="n"/>
      <c r="W115" s="1168" t="n"/>
      <c r="X115" s="1168" t="n"/>
      <c r="Y115" s="1167" t="n"/>
    </row>
    <row r="116" s="3154" customFormat="1" ht="12.75" customHeight="1">
      <c r="A116" s="1117">
        <f t="array" ref="A116">IF(I115&gt;0.5,A115+1,"")</f>
        <v>99</v>
      </c>
      <c r="B116" s="3515">
        <f t="array" ref="B116">IF(A116&lt;&gt;"",DATE(YEAR($D$9),MONTH($D$9)+A116,DAY($D$9)),"")</f>
        <v>49766</v>
      </c>
      <c r="C116" s="3516">
        <f t="array" ref="C116">IF(A116&lt;&gt;"",I115,"")</f>
        <v>4077676.81090132</v>
      </c>
      <c r="D116" s="3516">
        <f t="array" ref="D116">IF(A116&lt;&gt;"",$H$5,"")</f>
        <v>33254.5945333633</v>
      </c>
      <c r="E116" s="3517">
        <v>0</v>
      </c>
      <c r="F116" s="3516">
        <f t="array" ref="F116">IF(A116&lt;&gt;"",D116+E116,"")</f>
        <v>33254.5945333633</v>
      </c>
      <c r="G116" s="3516">
        <f t="array" ref="G116">IF(A116&lt;&gt;"",F116-H116,0)</f>
        <v>11167.1784743145</v>
      </c>
      <c r="H116" s="3516">
        <f t="array" ref="H116">IF(A116&lt;&gt;"",C116*$D$6/$D$8,0)</f>
        <v>22087.4160590488</v>
      </c>
      <c r="I116" s="3516">
        <f t="array" ref="I116">IF(A116&lt;&gt;"",C116-G116,0)</f>
        <v>4066509.632427</v>
      </c>
      <c r="J116" s="3516">
        <f t="array" ref="J116">IF(A116&lt;&gt;"",J115+H116,J115)</f>
        <v>2433619.43344197</v>
      </c>
      <c r="K116" s="666"/>
      <c r="L116" s="1167" t="n"/>
      <c r="M116" s="1167" t="n"/>
      <c r="N116" s="1168" t="n"/>
      <c r="O116" s="1168" t="n"/>
      <c r="P116" s="1168" t="n"/>
      <c r="Q116" s="1168" t="n"/>
      <c r="R116" s="1168" t="n"/>
      <c r="S116" s="1168" t="n"/>
      <c r="T116" s="1168" t="n"/>
      <c r="U116" s="1168" t="n"/>
      <c r="V116" s="1168" t="n"/>
      <c r="W116" s="1168" t="n"/>
      <c r="X116" s="1168" t="n"/>
      <c r="Y116" s="1167" t="n"/>
    </row>
    <row r="117" s="3154" customFormat="1" ht="12.75" customHeight="1">
      <c r="A117" s="1117">
        <f t="array" ref="A117">IF(I116&gt;0.5,A116+1,"")</f>
        <v>100</v>
      </c>
      <c r="B117" s="3515">
        <f t="array" ref="B117">IF(A117&lt;&gt;"",DATE(YEAR($D$9),MONTH($D$9)+A117,DAY($D$9)),"")</f>
        <v>49796</v>
      </c>
      <c r="C117" s="3516">
        <f t="array" ref="C117">IF(A117&lt;&gt;"",I116,"")</f>
        <v>4066509.632427</v>
      </c>
      <c r="D117" s="3516">
        <f t="array" ref="D117">IF(A117&lt;&gt;"",$H$5,"")</f>
        <v>33254.5945333633</v>
      </c>
      <c r="E117" s="3517">
        <v>0</v>
      </c>
      <c r="F117" s="3516">
        <f t="array" ref="F117">IF(A117&lt;&gt;"",D117+E117,"")</f>
        <v>33254.5945333633</v>
      </c>
      <c r="G117" s="3516">
        <f t="array" ref="G117">IF(A117&lt;&gt;"",F117-H117,0)</f>
        <v>11227.6673577171</v>
      </c>
      <c r="H117" s="3516">
        <f t="array" ref="H117">IF(A117&lt;&gt;"",C117*$D$6/$D$8,0)</f>
        <v>22026.9271756463</v>
      </c>
      <c r="I117" s="3516">
        <f t="array" ref="I117">IF(A117&lt;&gt;"",C117-G117,0)</f>
        <v>4055281.96506929</v>
      </c>
      <c r="J117" s="3516">
        <f t="array" ref="J117">IF(A117&lt;&gt;"",J116+H117,J116)</f>
        <v>2455646.36061762</v>
      </c>
      <c r="K117" s="666"/>
      <c r="L117" s="1167" t="n"/>
      <c r="M117" s="1167" t="n"/>
      <c r="N117" s="1168" t="n"/>
      <c r="O117" s="1168" t="n"/>
      <c r="P117" s="1168" t="n"/>
      <c r="Q117" s="1168" t="n"/>
      <c r="R117" s="1168" t="n"/>
      <c r="S117" s="1168" t="n"/>
      <c r="T117" s="1168" t="n"/>
      <c r="U117" s="1168" t="n"/>
      <c r="V117" s="1168" t="n"/>
      <c r="W117" s="1168" t="n"/>
      <c r="X117" s="1168" t="n"/>
      <c r="Y117" s="1167" t="n"/>
    </row>
    <row r="118" s="3154" customFormat="1" ht="13.5" customHeight="1">
      <c r="A118" s="1117">
        <f t="array" ref="A118">IF(I117&gt;0.5,A117+1,"")</f>
        <v>101</v>
      </c>
      <c r="B118" s="3515">
        <f t="array" ref="B118">IF(A118&lt;&gt;"",DATE(YEAR($D$9),MONTH($D$9)+A118,DAY($D$9)),"")</f>
        <v>49827</v>
      </c>
      <c r="C118" s="3516">
        <f t="array" ref="C118">IF(A118&lt;&gt;"",I117,"")</f>
        <v>4055281.96506929</v>
      </c>
      <c r="D118" s="3516">
        <f t="array" ref="D118">IF(A118&lt;&gt;"",$H$5,"")</f>
        <v>33254.5945333633</v>
      </c>
      <c r="E118" s="3517">
        <v>0</v>
      </c>
      <c r="F118" s="3516">
        <f t="array" ref="F118">IF(A118&lt;&gt;"",D118+E118,"")</f>
        <v>33254.5945333633</v>
      </c>
      <c r="G118" s="3516">
        <f t="array" ref="G118">IF(A118&lt;&gt;"",F118-H118,0)</f>
        <v>11288.4838892381</v>
      </c>
      <c r="H118" s="3516">
        <f t="array" ref="H118">IF(A118&lt;&gt;"",C118*$D$6/$D$8,0)</f>
        <v>21966.1106441253</v>
      </c>
      <c r="I118" s="3516">
        <f t="array" ref="I118">IF(A118&lt;&gt;"",C118-G118,0)</f>
        <v>4043993.48118005</v>
      </c>
      <c r="J118" s="3516">
        <f t="array" ref="J118">IF(A118&lt;&gt;"",J117+H118,J117)</f>
        <v>2477612.47126174</v>
      </c>
      <c r="K118" s="1122"/>
      <c r="L118" s="642" t="n"/>
      <c r="M118" s="1167" t="n"/>
      <c r="N118" s="1168" t="n"/>
      <c r="O118" s="1168" t="n"/>
      <c r="P118" s="1168" t="n"/>
      <c r="Q118" s="1168" t="n"/>
      <c r="R118" s="1168" t="n"/>
      <c r="S118" s="1168" t="n"/>
      <c r="T118" s="1168" t="n"/>
      <c r="U118" s="1168" t="n"/>
      <c r="V118" s="1168" t="n"/>
      <c r="W118" s="1168" t="n"/>
      <c r="X118" s="1168" t="n"/>
      <c r="Y118" s="1167" t="n"/>
    </row>
    <row r="119" s="3154" customFormat="1" ht="13.5" customHeight="1">
      <c r="A119" s="1117">
        <f t="array" ref="A119">IF(I118&gt;0.5,A118+1,"")</f>
        <v>102</v>
      </c>
      <c r="B119" s="3515">
        <f t="array" ref="B119">IF(A119&lt;&gt;"",DATE(YEAR($D$9),MONTH($D$9)+A119,DAY($D$9)),"")</f>
        <v>49857</v>
      </c>
      <c r="C119" s="3516">
        <f t="array" ref="C119">IF(A119&lt;&gt;"",I118,"")</f>
        <v>4043993.48118005</v>
      </c>
      <c r="D119" s="3516">
        <f t="array" ref="D119">IF(A119&lt;&gt;"",$H$5,"")</f>
        <v>33254.5945333633</v>
      </c>
      <c r="E119" s="3517">
        <v>0</v>
      </c>
      <c r="F119" s="3516">
        <f t="array" ref="F119">IF(A119&lt;&gt;"",D119+E119,"")</f>
        <v>33254.5945333633</v>
      </c>
      <c r="G119" s="3516">
        <f t="array" ref="G119">IF(A119&lt;&gt;"",F119-H119,0)</f>
        <v>11349.6298436381</v>
      </c>
      <c r="H119" s="3516">
        <f t="array" ref="H119">IF(A119&lt;&gt;"",C119*$D$6/$D$8,0)</f>
        <v>21904.9646897253</v>
      </c>
      <c r="I119" s="3516">
        <f t="array" ref="I119">IF(A119&lt;&gt;"",C119-G119,0)</f>
        <v>4032643.85133641</v>
      </c>
      <c r="J119" s="3518">
        <f t="array" ref="J119">IF(A119&lt;&gt;"",J118+H119,J118)</f>
        <v>2499517.43595147</v>
      </c>
      <c r="K119" s="848">
        <is>
          <t xml:space="preserve">Year 9</t>
        </is>
      </c>
      <c r="L119" s="3425" t="n"/>
      <c r="M119" s="793" t="n"/>
      <c r="N119" s="1168" t="n"/>
      <c r="O119" s="1168" t="n"/>
      <c r="P119" s="1168" t="n"/>
      <c r="Q119" s="1168" t="n"/>
      <c r="R119" s="1168" t="n"/>
      <c r="S119" s="1168" t="n"/>
      <c r="T119" s="1168" t="n"/>
      <c r="U119" s="1168" t="n"/>
      <c r="V119" s="1168" t="n"/>
      <c r="W119" s="1168" t="n"/>
      <c r="X119" s="1168" t="n"/>
      <c r="Y119" s="1167" t="n"/>
    </row>
    <row r="120" s="3154" customFormat="1" ht="13.5" customHeight="1">
      <c r="A120" s="1117">
        <f t="array" ref="A120">IF(I119&gt;0.5,A119+1,"")</f>
        <v>103</v>
      </c>
      <c r="B120" s="3515">
        <f t="array" ref="B120">IF(A120&lt;&gt;"",DATE(YEAR($D$9),MONTH($D$9)+A120,DAY($D$9)),"")</f>
        <v>49888</v>
      </c>
      <c r="C120" s="3516">
        <f t="array" ref="C120">IF(A120&lt;&gt;"",I119,"")</f>
        <v>4032643.85133641</v>
      </c>
      <c r="D120" s="3516">
        <f t="array" ref="D120">IF(A120&lt;&gt;"",$H$5,"")</f>
        <v>33254.5945333633</v>
      </c>
      <c r="E120" s="3517">
        <v>0</v>
      </c>
      <c r="F120" s="3516">
        <f t="array" ref="F120">IF(A120&lt;&gt;"",D120+E120,"")</f>
        <v>33254.5945333633</v>
      </c>
      <c r="G120" s="3516">
        <f t="array" ref="G120">IF(A120&lt;&gt;"",F120-H120,0)</f>
        <v>11411.1070052911</v>
      </c>
      <c r="H120" s="3516">
        <f t="array" ref="H120">IF(A120&lt;&gt;"",C120*$D$6/$D$8,0)</f>
        <v>21843.4875280722</v>
      </c>
      <c r="I120" s="3516">
        <f t="array" ref="I120">IF(A120&lt;&gt;"",C120-G120,0)</f>
        <v>4021232.74433112</v>
      </c>
      <c r="J120" s="3518">
        <f t="array" ref="J120">IF(A120&lt;&gt;"",J119+H120,J119)</f>
        <v>2521360.92347954</v>
      </c>
      <c r="K120" s="942">
        <is>
          <t xml:space="preserve">Intrest</t>
        </is>
      </c>
      <c r="L120" s="3425" t="n"/>
      <c r="M120" s="793" t="n"/>
      <c r="N120" s="1168" t="n"/>
      <c r="O120" s="1168" t="n"/>
      <c r="P120" s="1168" t="n"/>
      <c r="Q120" s="1168" t="n"/>
      <c r="R120" s="1168" t="n"/>
      <c r="S120" s="1168" t="n"/>
      <c r="T120" s="1168" t="n"/>
      <c r="U120" s="1168" t="n"/>
      <c r="V120" s="1168" t="n"/>
      <c r="W120" s="1168" t="n"/>
      <c r="X120" s="1168" t="n"/>
      <c r="Y120" s="1167" t="n"/>
    </row>
    <row r="121" s="3154" customFormat="1" ht="13.5" customHeight="1">
      <c r="A121" s="1117">
        <f t="array" ref="A121">IF(I120&gt;0.5,A120+1,"")</f>
        <v>104</v>
      </c>
      <c r="B121" s="3515">
        <f t="array" ref="B121">IF(A121&lt;&gt;"",DATE(YEAR($D$9),MONTH($D$9)+A121,DAY($D$9)),"")</f>
        <v>49919</v>
      </c>
      <c r="C121" s="3516">
        <f t="array" ref="C121">IF(A121&lt;&gt;"",I120,"")</f>
        <v>4021232.74433112</v>
      </c>
      <c r="D121" s="3516">
        <f t="array" ref="D121">IF(A121&lt;&gt;"",$H$5,"")</f>
        <v>33254.5945333633</v>
      </c>
      <c r="E121" s="3517">
        <v>0</v>
      </c>
      <c r="F121" s="3516">
        <f t="array" ref="F121">IF(A121&lt;&gt;"",D121+E121,"")</f>
        <v>33254.5945333633</v>
      </c>
      <c r="G121" s="3516">
        <f t="array" ref="G121">IF(A121&lt;&gt;"",F121-H121,0)</f>
        <v>11472.9171682365</v>
      </c>
      <c r="H121" s="3516">
        <f t="array" ref="H121">IF(A121&lt;&gt;"",C121*$D$6/$D$8,0)</f>
        <v>21781.6773651269</v>
      </c>
      <c r="I121" s="3516">
        <f t="array" ref="I121">IF(A121&lt;&gt;"",C121-G121,0)</f>
        <v>4009759.82716288</v>
      </c>
      <c r="J121" s="3518">
        <f t="array" ref="J121">IF(A121&lt;&gt;"",J120+H121,J120)</f>
        <v>2543142.60084466</v>
      </c>
      <c r="K121" s="3537">
        <f t="array" ref="K121">SUM(H114:H125)</f>
      </c>
      <c r="L121" s="960" t="n"/>
      <c r="M121" s="793" t="n"/>
      <c r="N121" s="1168" t="n"/>
      <c r="O121" s="1168" t="n"/>
      <c r="P121" s="1168" t="n"/>
      <c r="Q121" s="1168" t="n"/>
      <c r="R121" s="1168" t="n"/>
      <c r="S121" s="1168" t="n"/>
      <c r="T121" s="1168" t="n"/>
      <c r="U121" s="1168" t="n"/>
      <c r="V121" s="1168" t="n"/>
      <c r="W121" s="1168" t="n"/>
      <c r="X121" s="1168" t="n"/>
      <c r="Y121" s="1167" t="n"/>
    </row>
    <row r="122" s="3154" customFormat="1" ht="12.75" customHeight="1">
      <c r="A122" s="1117">
        <f t="array" ref="A122">IF(I121&gt;0.5,A121+1,"")</f>
        <v>105</v>
      </c>
      <c r="B122" s="3515">
        <f t="array" ref="B122">IF(A122&lt;&gt;"",DATE(YEAR($D$9),MONTH($D$9)+A122,DAY($D$9)),"")</f>
        <v>49949</v>
      </c>
      <c r="C122" s="3516">
        <f t="array" ref="C122">IF(A122&lt;&gt;"",I121,"")</f>
        <v>4009759.82716288</v>
      </c>
      <c r="D122" s="3516">
        <f t="array" ref="D122">IF(A122&lt;&gt;"",$H$5,"")</f>
        <v>33254.5945333633</v>
      </c>
      <c r="E122" s="3517">
        <v>0</v>
      </c>
      <c r="F122" s="3516">
        <f t="array" ref="F122">IF(A122&lt;&gt;"",D122+E122,"")</f>
        <v>33254.5945333633</v>
      </c>
      <c r="G122" s="3516">
        <f t="array" ref="G122">IF(A122&lt;&gt;"",F122-H122,0)</f>
        <v>11535.0621362311</v>
      </c>
      <c r="H122" s="3516">
        <f t="array" ref="H122">IF(A122&lt;&gt;"",C122*$D$6/$D$8,0)</f>
        <v>21719.5323971323</v>
      </c>
      <c r="I122" s="3516">
        <f t="array" ref="I122">IF(A122&lt;&gt;"",C122-G122,0)</f>
        <v>3998224.76502665</v>
      </c>
      <c r="J122" s="3516">
        <f t="array" ref="J122">IF(A122&lt;&gt;"",J121+H122,J121)</f>
        <v>2564862.1332418</v>
      </c>
      <c r="K122" s="1125"/>
      <c r="L122" s="652" t="n"/>
      <c r="M122" s="1167" t="n"/>
      <c r="N122" s="1168" t="n"/>
      <c r="O122" s="1168" t="n"/>
      <c r="P122" s="1168" t="n"/>
      <c r="Q122" s="1168" t="n"/>
      <c r="R122" s="1168" t="n"/>
      <c r="S122" s="1168" t="n"/>
      <c r="T122" s="1168" t="n"/>
      <c r="U122" s="1168" t="n"/>
      <c r="V122" s="1168" t="n"/>
      <c r="W122" s="1168" t="n"/>
      <c r="X122" s="1168" t="n"/>
      <c r="Y122" s="1167" t="n"/>
    </row>
    <row r="123" s="3154" customFormat="1" ht="13.5" customHeight="1">
      <c r="A123" s="1117">
        <f t="array" ref="A123">IF(I122&gt;0.5,A122+1,"")</f>
        <v>106</v>
      </c>
      <c r="B123" s="3515">
        <f t="array" ref="B123">IF(A123&lt;&gt;"",DATE(YEAR($D$9),MONTH($D$9)+A123,DAY($D$9)),"")</f>
        <v>49980</v>
      </c>
      <c r="C123" s="3516">
        <f t="array" ref="C123">IF(A123&lt;&gt;"",I122,"")</f>
        <v>3998224.76502665</v>
      </c>
      <c r="D123" s="3516">
        <f t="array" ref="D123">IF(A123&lt;&gt;"",$H$5,"")</f>
        <v>33254.5945333633</v>
      </c>
      <c r="E123" s="3517">
        <v>0</v>
      </c>
      <c r="F123" s="3516">
        <f t="array" ref="F123">IF(A123&lt;&gt;"",D123+E123,"")</f>
        <v>33254.5945333633</v>
      </c>
      <c r="G123" s="3516">
        <f t="array" ref="G123">IF(A123&lt;&gt;"",F123-H123,0)</f>
        <v>11597.5437228023</v>
      </c>
      <c r="H123" s="3516">
        <f t="array" ref="H123">IF(A123&lt;&gt;"",C123*$D$6/$D$8,0)</f>
        <v>21657.050810561</v>
      </c>
      <c r="I123" s="3516">
        <f t="array" ref="I123">IF(A123&lt;&gt;"",C123-G123,0)</f>
        <v>3986627.22130385</v>
      </c>
      <c r="J123" s="3516">
        <f t="array" ref="J123">IF(A123&lt;&gt;"",J122+H123,J122)</f>
        <v>2586519.18405236</v>
      </c>
      <c r="K123" s="1122"/>
      <c r="L123" s="642" t="n"/>
      <c r="M123" s="1167" t="n"/>
      <c r="N123" s="1168" t="n"/>
      <c r="O123" s="1168" t="n"/>
      <c r="P123" s="1168" t="n"/>
      <c r="Q123" s="1168" t="n"/>
      <c r="R123" s="1168" t="n"/>
      <c r="S123" s="1168" t="n"/>
      <c r="T123" s="1168" t="n"/>
      <c r="U123" s="1168" t="n"/>
      <c r="V123" s="1168" t="n"/>
      <c r="W123" s="1168" t="n"/>
      <c r="X123" s="1168" t="n"/>
      <c r="Y123" s="1167" t="n"/>
    </row>
    <row r="124" s="3154" customFormat="1" ht="13.5" customHeight="1">
      <c r="A124" s="1132">
        <f t="array" ref="A124">IF(I123&gt;0.5,A123+1,"")</f>
        <v>107</v>
      </c>
      <c r="B124" s="3519">
        <f t="array" ref="B124">IF(A124&lt;&gt;"",DATE(YEAR($D$9),MONTH($D$9)+A124,DAY($D$9)),"")</f>
        <v>50010</v>
      </c>
      <c r="C124" s="3520">
        <f t="array" ref="C124">IF(A124&lt;&gt;"",I123,"")</f>
        <v>3986627.22130385</v>
      </c>
      <c r="D124" s="3520">
        <f t="array" ref="D124">IF(A124&lt;&gt;"",$H$5,"")</f>
        <v>33254.5945333633</v>
      </c>
      <c r="E124" s="3521">
        <v>0</v>
      </c>
      <c r="F124" s="3520">
        <f t="array" ref="F124">IF(A124&lt;&gt;"",D124+E124,"")</f>
        <v>33254.5945333633</v>
      </c>
      <c r="G124" s="3520">
        <f t="array" ref="G124">IF(A124&lt;&gt;"",F124-H124,0)</f>
        <v>11660.3637513008</v>
      </c>
      <c r="H124" s="3520">
        <f t="array" ref="H124">IF(A124&lt;&gt;"",C124*$D$6/$D$8,0)</f>
        <v>21594.2307820625</v>
      </c>
      <c r="I124" s="3520">
        <f t="array" ref="I124">IF(A124&lt;&gt;"",C124-G124,0)</f>
        <v>3974966.85755255</v>
      </c>
      <c r="J124" s="3522">
        <f t="array" ref="J124">IF(A124&lt;&gt;"",J123+H124,J123)</f>
        <v>2608113.41483442</v>
      </c>
      <c r="K124" s="942">
        <is>
          <t xml:space="preserve">Principle</t>
        </is>
      </c>
      <c r="L124" s="3425" t="n"/>
      <c r="M124" s="793" t="n"/>
      <c r="N124" s="1168" t="n"/>
      <c r="O124" s="1168" t="n"/>
      <c r="P124" s="1168" t="n"/>
      <c r="Q124" s="1168" t="n"/>
      <c r="R124" s="1168" t="n"/>
      <c r="S124" s="1168" t="n"/>
      <c r="T124" s="1168" t="n"/>
      <c r="U124" s="1168" t="n"/>
      <c r="V124" s="1168" t="n"/>
      <c r="W124" s="1168" t="n"/>
      <c r="X124" s="1168" t="n"/>
      <c r="Y124" s="1167" t="n"/>
    </row>
    <row r="125" s="3154" customFormat="1" ht="13.5" customHeight="1">
      <c r="A125" s="1141">
        <f t="array" ref="A125">IF(I124&gt;0.5,A124+1,"")</f>
        <v>108</v>
      </c>
      <c r="B125" s="3523">
        <f t="array" ref="B125">IF(A125&lt;&gt;"",DATE(YEAR($D$9),MONTH($D$9)+A125,DAY($D$9)),"")</f>
        <v>50041</v>
      </c>
      <c r="C125" s="3524">
        <f t="array" ref="C125">IF(A125&lt;&gt;"",I124,"")</f>
        <v>3974966.85755255</v>
      </c>
      <c r="D125" s="3524">
        <f t="array" ref="D125">IF(A125&lt;&gt;"",$H$5,"")</f>
        <v>33254.5945333633</v>
      </c>
      <c r="E125" s="3525">
        <v>0</v>
      </c>
      <c r="F125" s="3524">
        <f t="array" ref="F125">IF(A125&lt;&gt;"",D125+E125,"")</f>
        <v>33254.5945333633</v>
      </c>
      <c r="G125" s="3524">
        <f t="array" ref="G125">IF(A125&lt;&gt;"",F125-H125,0)</f>
        <v>11723.5240549537</v>
      </c>
      <c r="H125" s="3526">
        <f t="array" ref="H125">IF(A125&lt;&gt;"",C125*$D$6/$D$8,0)</f>
        <v>21531.0704784096</v>
      </c>
      <c r="I125" s="3527">
        <f t="array" ref="I125">IF(A125&lt;&gt;"",C125-G125,0)</f>
        <v>3963243.33349759</v>
      </c>
      <c r="J125" s="3527">
        <f t="array" ref="J125">IF(A125&lt;&gt;"",J124+H125,J124)</f>
        <v>2629644.48531283</v>
      </c>
      <c r="K125" s="3537">
        <f t="array" ref="K125">SUM(G114:G125)</f>
        <v>136587.669478133</v>
      </c>
      <c r="L125" s="960" t="n"/>
      <c r="M125" s="793" t="n"/>
      <c r="N125" s="1168" t="n"/>
      <c r="O125" s="1168" t="n"/>
      <c r="P125" s="1168" t="n"/>
      <c r="Q125" s="1168" t="n"/>
      <c r="R125" s="1168" t="n"/>
      <c r="S125" s="1168" t="n"/>
      <c r="T125" s="1168" t="n"/>
      <c r="U125" s="1168" t="n"/>
      <c r="V125" s="1168" t="n"/>
      <c r="W125" s="1168" t="n"/>
      <c r="X125" s="1168" t="n"/>
      <c r="Y125" s="1167" t="n"/>
    </row>
    <row r="126" s="3154" customFormat="1" ht="12.75" customHeight="1">
      <c r="A126" s="1149">
        <f t="array" ref="A126">IF(I125&gt;0.5,A125+1,"")</f>
        <v>109</v>
      </c>
      <c r="B126" s="3530">
        <f t="array" ref="B126">IF(A126&lt;&gt;"",DATE(YEAR($D$9),MONTH($D$9)+A126,DAY($D$9)),"")</f>
        <v>50072</v>
      </c>
      <c r="C126" s="3531">
        <f t="array" ref="C126">IF(A126&lt;&gt;"",I125,"")</f>
        <v>3963243.33349759</v>
      </c>
      <c r="D126" s="3531">
        <f t="array" ref="D126">IF(A126&lt;&gt;"",$H$5,"")</f>
        <v>33254.5945333633</v>
      </c>
      <c r="E126" s="3532">
        <v>0</v>
      </c>
      <c r="F126" s="3531">
        <f t="array" ref="F126">IF(A126&lt;&gt;"",D126+E126,"")</f>
        <v>33254.5945333633</v>
      </c>
      <c r="G126" s="3531">
        <f t="array" ref="G126">IF(A126&lt;&gt;"",F126-H126,0)</f>
        <v>11787.026476918</v>
      </c>
      <c r="H126" s="3531">
        <f t="array" ref="H126">IF(A126&lt;&gt;"",C126*$D$6/$D$8,0)</f>
        <v>21467.5680564453</v>
      </c>
      <c r="I126" s="3531">
        <f t="array" ref="I126">IF(A126&lt;&gt;"",C126-G126,0)</f>
        <v>3951456.30702068</v>
      </c>
      <c r="J126" s="3531">
        <f t="array" ref="J126">IF(A126&lt;&gt;"",J125+H126,J125)</f>
        <v>2651112.05336928</v>
      </c>
      <c r="K126" s="1125"/>
      <c r="L126" s="652" t="n"/>
      <c r="M126" s="1167" t="n"/>
      <c r="N126" s="1168" t="n"/>
      <c r="O126" s="1168" t="n"/>
      <c r="P126" s="1168" t="n"/>
      <c r="Q126" s="1168" t="n"/>
      <c r="R126" s="1168" t="n"/>
      <c r="S126" s="1168" t="n"/>
      <c r="T126" s="1168" t="n"/>
      <c r="U126" s="1168" t="n"/>
      <c r="V126" s="1168" t="n"/>
      <c r="W126" s="1168" t="n"/>
      <c r="X126" s="1168" t="n"/>
      <c r="Y126" s="1167" t="n"/>
    </row>
    <row r="127" s="3154" customFormat="1" ht="12.75" customHeight="1">
      <c r="A127" s="1117">
        <f t="array" ref="A127">IF(I126&gt;0.5,A126+1,"")</f>
        <v>110</v>
      </c>
      <c r="B127" s="3515">
        <f t="array" ref="B127">IF(A127&lt;&gt;"",DATE(YEAR($D$9),MONTH($D$9)+A127,DAY($D$9)),"")</f>
        <v>50100</v>
      </c>
      <c r="C127" s="3516">
        <f t="array" ref="C127">IF(A127&lt;&gt;"",I126,"")</f>
        <v>3951456.30702068</v>
      </c>
      <c r="D127" s="3516">
        <f t="array" ref="D127">IF(A127&lt;&gt;"",$H$5,"")</f>
        <v>33254.5945333633</v>
      </c>
      <c r="E127" s="3517">
        <v>0</v>
      </c>
      <c r="F127" s="3516">
        <f t="array" ref="F127">IF(A127&lt;&gt;"",D127+E127,"")</f>
        <v>33254.5945333633</v>
      </c>
      <c r="G127" s="3516">
        <f t="array" ref="G127">IF(A127&lt;&gt;"",F127-H127,0)</f>
        <v>11850.8728703347</v>
      </c>
      <c r="H127" s="3516">
        <f t="array" ref="H127">IF(A127&lt;&gt;"",C127*$D$6/$D$8,0)</f>
        <v>21403.7216630287</v>
      </c>
      <c r="I127" s="3516">
        <f t="array" ref="I127">IF(A127&lt;&gt;"",C127-G127,0)</f>
        <v>3939605.43415034</v>
      </c>
      <c r="J127" s="3516">
        <f t="array" ref="J127">IF(A127&lt;&gt;"",J126+H127,J126)</f>
        <v>2672515.7750323</v>
      </c>
      <c r="K127" s="666"/>
      <c r="L127" s="1167" t="n"/>
      <c r="M127" s="1167" t="n"/>
      <c r="N127" s="1168" t="n"/>
      <c r="O127" s="1168" t="n"/>
      <c r="P127" s="1168" t="n"/>
      <c r="Q127" s="1168" t="n"/>
      <c r="R127" s="1168" t="n"/>
      <c r="S127" s="1168" t="n"/>
      <c r="T127" s="1168" t="n"/>
      <c r="U127" s="1168" t="n"/>
      <c r="V127" s="1168" t="n"/>
      <c r="W127" s="1168" t="n"/>
      <c r="X127" s="1168" t="n"/>
      <c r="Y127" s="1167" t="n"/>
    </row>
    <row r="128" s="3154" customFormat="1" ht="12.75" customHeight="1">
      <c r="A128" s="1117">
        <f t="array" ref="A128">IF(I127&gt;0.5,A127+1,"")</f>
        <v>111</v>
      </c>
      <c r="B128" s="3515">
        <f t="array" ref="B128">IF(A128&lt;&gt;"",DATE(YEAR($D$9),MONTH($D$9)+A128,DAY($D$9)),"")</f>
        <v>50131</v>
      </c>
      <c r="C128" s="3516">
        <f t="array" ref="C128">IF(A128&lt;&gt;"",I127,"")</f>
        <v>3939605.43415034</v>
      </c>
      <c r="D128" s="3516">
        <f t="array" ref="D128">IF(A128&lt;&gt;"",$H$5,"")</f>
        <v>33254.5945333633</v>
      </c>
      <c r="E128" s="3517">
        <v>0</v>
      </c>
      <c r="F128" s="3516">
        <f t="array" ref="F128">IF(A128&lt;&gt;"",D128+E128,"")</f>
        <v>33254.5945333633</v>
      </c>
      <c r="G128" s="3516">
        <f t="array" ref="G128">IF(A128&lt;&gt;"",F128-H128,0)</f>
        <v>11915.0650983823</v>
      </c>
      <c r="H128" s="3516">
        <f t="array" ref="H128">IF(A128&lt;&gt;"",C128*$D$6/$D$8,0)</f>
        <v>21339.529434981</v>
      </c>
      <c r="I128" s="3516">
        <f t="array" ref="I128">IF(A128&lt;&gt;"",C128-G128,0)</f>
        <v>3927690.36905196</v>
      </c>
      <c r="J128" s="3516">
        <f t="array" ref="J128">IF(A128&lt;&gt;"",J127+H128,J127)</f>
        <v>2693855.30446729</v>
      </c>
      <c r="K128" s="666"/>
      <c r="L128" s="1167" t="n"/>
      <c r="M128" s="1167" t="n"/>
      <c r="N128" s="1168" t="n"/>
      <c r="O128" s="1168" t="n"/>
      <c r="P128" s="1168" t="n"/>
      <c r="Q128" s="1168" t="n"/>
      <c r="R128" s="1168" t="n"/>
      <c r="S128" s="1168" t="n"/>
      <c r="T128" s="1168" t="n"/>
      <c r="U128" s="1168" t="n"/>
      <c r="V128" s="1168" t="n"/>
      <c r="W128" s="1168" t="n"/>
      <c r="X128" s="1168" t="n"/>
      <c r="Y128" s="1167" t="n"/>
    </row>
    <row r="129" s="3154" customFormat="1" ht="12.75" customHeight="1">
      <c r="A129" s="1117">
        <f t="array" ref="A129">IF(I128&gt;0.5,A128+1,"")</f>
        <v>112</v>
      </c>
      <c r="B129" s="3515">
        <f t="array" ref="B129">IF(A129&lt;&gt;"",DATE(YEAR($D$9),MONTH($D$9)+A129,DAY($D$9)),"")</f>
        <v>50161</v>
      </c>
      <c r="C129" s="3516">
        <f t="array" ref="C129">IF(A129&lt;&gt;"",I128,"")</f>
        <v>3927690.36905196</v>
      </c>
      <c r="D129" s="3516">
        <f t="array" ref="D129">IF(A129&lt;&gt;"",$H$5,"")</f>
        <v>33254.5945333633</v>
      </c>
      <c r="E129" s="3517">
        <v>0</v>
      </c>
      <c r="F129" s="3516">
        <f t="array" ref="F129">IF(A129&lt;&gt;"",D129+E129,"")</f>
        <v>33254.5945333633</v>
      </c>
      <c r="G129" s="3516">
        <f t="array" ref="G129">IF(A129&lt;&gt;"",F129-H129,0)</f>
        <v>11979.6050343319</v>
      </c>
      <c r="H129" s="3516">
        <f t="array" ref="H129">IF(A129&lt;&gt;"",C129*$D$6/$D$8,0)</f>
        <v>21274.9894990314</v>
      </c>
      <c r="I129" s="3516">
        <f t="array" ref="I129">IF(A129&lt;&gt;"",C129-G129,0)</f>
        <v>3915710.76401763</v>
      </c>
      <c r="J129" s="3516">
        <f t="array" ref="J129">IF(A129&lt;&gt;"",J128+H129,J128)</f>
        <v>2715130.29396632</v>
      </c>
      <c r="K129" s="666"/>
      <c r="L129" s="1167" t="n"/>
      <c r="M129" s="1167" t="n"/>
      <c r="N129" s="1168" t="n"/>
      <c r="O129" s="1168" t="n"/>
      <c r="P129" s="1168" t="n"/>
      <c r="Q129" s="1168" t="n"/>
      <c r="R129" s="1168" t="n"/>
      <c r="S129" s="1168" t="n"/>
      <c r="T129" s="1168" t="n"/>
      <c r="U129" s="1168" t="n"/>
      <c r="V129" s="1168" t="n"/>
      <c r="W129" s="1168" t="n"/>
      <c r="X129" s="1168" t="n"/>
      <c r="Y129" s="1167" t="n"/>
    </row>
    <row r="130" s="3154" customFormat="1" ht="13.5" customHeight="1">
      <c r="A130" s="1117">
        <f t="array" ref="A130">IF(I129&gt;0.5,A129+1,"")</f>
        <v>113</v>
      </c>
      <c r="B130" s="3515">
        <f t="array" ref="B130">IF(A130&lt;&gt;"",DATE(YEAR($D$9),MONTH($D$9)+A130,DAY($D$9)),"")</f>
        <v>50192</v>
      </c>
      <c r="C130" s="3516">
        <f t="array" ref="C130">IF(A130&lt;&gt;"",I129,"")</f>
        <v>3915710.76401763</v>
      </c>
      <c r="D130" s="3516">
        <f t="array" ref="D130">IF(A130&lt;&gt;"",$H$5,"")</f>
        <v>33254.5945333633</v>
      </c>
      <c r="E130" s="3517">
        <v>0</v>
      </c>
      <c r="F130" s="3516">
        <f t="array" ref="F130">IF(A130&lt;&gt;"",D130+E130,"")</f>
        <v>33254.5945333633</v>
      </c>
      <c r="G130" s="3516">
        <f t="array" ref="G130">IF(A130&lt;&gt;"",F130-H130,0)</f>
        <v>12044.4945616012</v>
      </c>
      <c r="H130" s="3516">
        <f t="array" ref="H130">IF(A130&lt;&gt;"",C130*$D$6/$D$8,0)</f>
        <v>21210.0999717621</v>
      </c>
      <c r="I130" s="3516">
        <f t="array" ref="I130">IF(A130&lt;&gt;"",C130-G130,0)</f>
        <v>3903666.26945603</v>
      </c>
      <c r="J130" s="3516">
        <f t="array" ref="J130">IF(A130&lt;&gt;"",J129+H130,J129)</f>
        <v>2736340.39393808</v>
      </c>
      <c r="K130" s="1122"/>
      <c r="L130" s="642" t="n"/>
      <c r="M130" s="1167" t="n"/>
      <c r="N130" s="1168" t="n"/>
      <c r="O130" s="1168" t="n"/>
      <c r="P130" s="1168" t="n"/>
      <c r="Q130" s="1168" t="n"/>
      <c r="R130" s="1168" t="n"/>
      <c r="S130" s="1168" t="n"/>
      <c r="T130" s="1168" t="n"/>
      <c r="U130" s="1168" t="n"/>
      <c r="V130" s="1168" t="n"/>
      <c r="W130" s="1168" t="n"/>
      <c r="X130" s="1168" t="n"/>
      <c r="Y130" s="1167" t="n"/>
    </row>
    <row r="131" s="3154" customFormat="1" ht="13.5" customHeight="1">
      <c r="A131" s="1117">
        <f t="array" ref="A131">IF(I130&gt;0.5,A130+1,"")</f>
        <v>114</v>
      </c>
      <c r="B131" s="3515">
        <f t="array" ref="B131">IF(A131&lt;&gt;"",DATE(YEAR($D$9),MONTH($D$9)+A131,DAY($D$9)),"")</f>
        <v>50222</v>
      </c>
      <c r="C131" s="3516">
        <f t="array" ref="C131">IF(A131&lt;&gt;"",I130,"")</f>
        <v>3903666.26945603</v>
      </c>
      <c r="D131" s="3516">
        <f t="array" ref="D131">IF(A131&lt;&gt;"",$H$5,"")</f>
        <v>33254.5945333633</v>
      </c>
      <c r="E131" s="3517">
        <v>0</v>
      </c>
      <c r="F131" s="3516">
        <f t="array" ref="F131">IF(A131&lt;&gt;"",D131+E131,"")</f>
        <v>33254.5945333633</v>
      </c>
      <c r="G131" s="3516">
        <f t="array" ref="G131">IF(A131&lt;&gt;"",F131-H131,0)</f>
        <v>12109.7355738099</v>
      </c>
      <c r="H131" s="3516">
        <f t="array" ref="H131">IF(A131&lt;&gt;"",C131*$D$6/$D$8,0)</f>
        <v>21144.8589595535</v>
      </c>
      <c r="I131" s="3516">
        <f t="array" ref="I131">IF(A131&lt;&gt;"",C131-G131,0)</f>
        <v>3891556.53388222</v>
      </c>
      <c r="J131" s="3518">
        <f t="array" ref="J131">IF(A131&lt;&gt;"",J130+H131,J130)</f>
        <v>2757485.25289763</v>
      </c>
      <c r="K131" s="848">
        <is>
          <t xml:space="preserve">Year 10</t>
        </is>
      </c>
      <c r="L131" s="3425" t="n"/>
      <c r="M131" s="793" t="n"/>
      <c r="N131" s="1168" t="n"/>
      <c r="O131" s="1168" t="n"/>
      <c r="P131" s="1168" t="n"/>
      <c r="Q131" s="1168" t="n"/>
      <c r="R131" s="1168" t="n"/>
      <c r="S131" s="1168" t="n"/>
      <c r="T131" s="1168" t="n"/>
      <c r="U131" s="1168" t="n"/>
      <c r="V131" s="1168" t="n"/>
      <c r="W131" s="1168" t="n"/>
      <c r="X131" s="1168" t="n"/>
      <c r="Y131" s="1167" t="n"/>
    </row>
    <row r="132" s="3154" customFormat="1" ht="13.5" customHeight="1">
      <c r="A132" s="1117">
        <f t="array" ref="A132">IF(I131&gt;0.5,A131+1,"")</f>
        <v>115</v>
      </c>
      <c r="B132" s="3515">
        <f t="array" ref="B132">IF(A132&lt;&gt;"",DATE(YEAR($D$9),MONTH($D$9)+A132,DAY($D$9)),"")</f>
        <v>50253</v>
      </c>
      <c r="C132" s="3516">
        <f t="array" ref="C132">IF(A132&lt;&gt;"",I131,"")</f>
        <v>3891556.53388222</v>
      </c>
      <c r="D132" s="3516">
        <f t="array" ref="D132">IF(A132&lt;&gt;"",$H$5,"")</f>
        <v>33254.5945333633</v>
      </c>
      <c r="E132" s="3517">
        <v>0</v>
      </c>
      <c r="F132" s="3516">
        <f t="array" ref="F132">IF(A132&lt;&gt;"",D132+E132,"")</f>
        <v>33254.5945333633</v>
      </c>
      <c r="G132" s="3516">
        <f t="array" ref="G132">IF(A132&lt;&gt;"",F132-H132,0)</f>
        <v>12175.3299748347</v>
      </c>
      <c r="H132" s="3516">
        <f t="array" ref="H132">IF(A132&lt;&gt;"",C132*$D$6/$D$8,0)</f>
        <v>21079.2645585287</v>
      </c>
      <c r="I132" s="3516">
        <f t="array" ref="I132">IF(A132&lt;&gt;"",C132-G132,0)</f>
        <v>3879381.20390738</v>
      </c>
      <c r="J132" s="3518">
        <f t="array" ref="J132">IF(A132&lt;&gt;"",J131+H132,J131)</f>
        <v>2778564.51745616</v>
      </c>
      <c r="K132" s="942">
        <is>
          <t xml:space="preserve">Intrest</t>
        </is>
      </c>
      <c r="L132" s="3425" t="n"/>
      <c r="M132" s="793" t="n"/>
      <c r="N132" s="1168" t="n"/>
      <c r="O132" s="1168" t="n"/>
      <c r="P132" s="1168" t="n"/>
      <c r="Q132" s="1168" t="n"/>
      <c r="R132" s="1168" t="n"/>
      <c r="S132" s="1168" t="n"/>
      <c r="T132" s="1168" t="n"/>
      <c r="U132" s="1168" t="n"/>
      <c r="V132" s="1168" t="n"/>
      <c r="W132" s="1168" t="n"/>
      <c r="X132" s="1168" t="n"/>
      <c r="Y132" s="1167" t="n"/>
    </row>
    <row r="133" s="3154" customFormat="1" ht="13.5" customHeight="1">
      <c r="A133" s="1117">
        <f t="array" ref="A133">IF(I132&gt;0.5,A132+1,"")</f>
        <v>116</v>
      </c>
      <c r="B133" s="3515">
        <f t="array" ref="B133">IF(A133&lt;&gt;"",DATE(YEAR($D$9),MONTH($D$9)+A133,DAY($D$9)),"")</f>
        <v>50284</v>
      </c>
      <c r="C133" s="3516">
        <f t="array" ref="C133">IF(A133&lt;&gt;"",I132,"")</f>
        <v>3879381.20390738</v>
      </c>
      <c r="D133" s="3516">
        <f t="array" ref="D133">IF(A133&lt;&gt;"",$H$5,"")</f>
        <v>33254.5945333633</v>
      </c>
      <c r="E133" s="3517">
        <v>0</v>
      </c>
      <c r="F133" s="3516">
        <f t="array" ref="F133">IF(A133&lt;&gt;"",D133+E133,"")</f>
        <v>33254.5945333633</v>
      </c>
      <c r="G133" s="3516">
        <f t="array" ref="G133">IF(A133&lt;&gt;"",F133-H133,0)</f>
        <v>12241.279678865</v>
      </c>
      <c r="H133" s="3516">
        <f t="array" ref="H133">IF(A133&lt;&gt;"",C133*$D$6/$D$8,0)</f>
        <v>21013.3148544983</v>
      </c>
      <c r="I133" s="3516">
        <f t="array" ref="I133">IF(A133&lt;&gt;"",C133-G133,0)</f>
        <v>3867139.92422852</v>
      </c>
      <c r="J133" s="3518">
        <f t="array" ref="J133">IF(A133&lt;&gt;"",J132+H133,J132)</f>
        <v>2799577.83231066</v>
      </c>
      <c r="K133" s="3537">
        <f t="array" ref="K133">SUM(H126:H137)</f>
      </c>
      <c r="L133" s="960" t="n"/>
      <c r="M133" s="793" t="n"/>
      <c r="N133" s="1168" t="n"/>
      <c r="O133" s="1168" t="n"/>
      <c r="P133" s="1168" t="n"/>
      <c r="Q133" s="1168" t="n"/>
      <c r="R133" s="1168" t="n"/>
      <c r="S133" s="1168" t="n"/>
      <c r="T133" s="1168" t="n"/>
      <c r="U133" s="1168" t="n"/>
      <c r="V133" s="1168" t="n"/>
      <c r="W133" s="1168" t="n"/>
      <c r="X133" s="1168" t="n"/>
      <c r="Y133" s="1167" t="n"/>
    </row>
    <row r="134" s="3154" customFormat="1" ht="12.75" customHeight="1">
      <c r="A134" s="1117">
        <f t="array" ref="A134">IF(I133&gt;0.5,A133+1,"")</f>
        <v>117</v>
      </c>
      <c r="B134" s="3515">
        <f t="array" ref="B134">IF(A134&lt;&gt;"",DATE(YEAR($D$9),MONTH($D$9)+A134,DAY($D$9)),"")</f>
        <v>50314</v>
      </c>
      <c r="C134" s="3516">
        <f t="array" ref="C134">IF(A134&lt;&gt;"",I133,"")</f>
        <v>3867139.92422852</v>
      </c>
      <c r="D134" s="3516">
        <f t="array" ref="D134">IF(A134&lt;&gt;"",$H$5,"")</f>
        <v>33254.5945333633</v>
      </c>
      <c r="E134" s="3517">
        <v>0</v>
      </c>
      <c r="F134" s="3516">
        <f t="array" ref="F134">IF(A134&lt;&gt;"",D134+E134,"")</f>
        <v>33254.5945333633</v>
      </c>
      <c r="G134" s="3516">
        <f t="array" ref="G134">IF(A134&lt;&gt;"",F134-H134,0)</f>
        <v>12307.5866104589</v>
      </c>
      <c r="H134" s="3516">
        <f t="array" ref="H134">IF(A134&lt;&gt;"",C134*$D$6/$D$8,0)</f>
        <v>20947.0079229045</v>
      </c>
      <c r="I134" s="3516">
        <f t="array" ref="I134">IF(A134&lt;&gt;"",C134-G134,0)</f>
        <v>3854832.33761806</v>
      </c>
      <c r="J134" s="3516">
        <f t="array" ref="J134">IF(A134&lt;&gt;"",J133+H134,J133)</f>
        <v>2820524.84023356</v>
      </c>
      <c r="K134" s="1125"/>
      <c r="L134" s="652" t="n"/>
      <c r="M134" s="1167" t="n"/>
      <c r="N134" s="1168" t="n"/>
      <c r="O134" s="1168" t="n"/>
      <c r="P134" s="1168" t="n"/>
      <c r="Q134" s="1168" t="n"/>
      <c r="R134" s="1168" t="n"/>
      <c r="S134" s="1168" t="n"/>
      <c r="T134" s="1168" t="n"/>
      <c r="U134" s="1168" t="n"/>
      <c r="V134" s="1168" t="n"/>
      <c r="W134" s="1168" t="n"/>
      <c r="X134" s="1168" t="n"/>
      <c r="Y134" s="1167" t="n"/>
    </row>
    <row r="135" s="3154" customFormat="1" ht="13.5" customHeight="1">
      <c r="A135" s="1117">
        <f t="array" ref="A135">IF(I134&gt;0.5,A134+1,"")</f>
        <v>118</v>
      </c>
      <c r="B135" s="3515">
        <f t="array" ref="B135">IF(A135&lt;&gt;"",DATE(YEAR($D$9),MONTH($D$9)+A135,DAY($D$9)),"")</f>
        <v>50345</v>
      </c>
      <c r="C135" s="3516">
        <f t="array" ref="C135">IF(A135&lt;&gt;"",I134,"")</f>
        <v>3854832.33761806</v>
      </c>
      <c r="D135" s="3516">
        <f t="array" ref="D135">IF(A135&lt;&gt;"",$H$5,"")</f>
        <v>33254.5945333633</v>
      </c>
      <c r="E135" s="3517">
        <v>0</v>
      </c>
      <c r="F135" s="3516">
        <f t="array" ref="F135">IF(A135&lt;&gt;"",D135+E135,"")</f>
        <v>33254.5945333633</v>
      </c>
      <c r="G135" s="3516">
        <f t="array" ref="G135">IF(A135&lt;&gt;"",F135-H135,0)</f>
        <v>12374.2527045989</v>
      </c>
      <c r="H135" s="3516">
        <f t="array" ref="H135">IF(A135&lt;&gt;"",C135*$D$6/$D$8,0)</f>
        <v>20880.3418287645</v>
      </c>
      <c r="I135" s="3516">
        <f t="array" ref="I135">IF(A135&lt;&gt;"",C135-G135,0)</f>
        <v>3842458.08491346</v>
      </c>
      <c r="J135" s="3516">
        <f t="array" ref="J135">IF(A135&lt;&gt;"",J134+H135,J134)</f>
        <v>2841405.18206233</v>
      </c>
      <c r="K135" s="1122"/>
      <c r="L135" s="642" t="n"/>
      <c r="M135" s="1167" t="n"/>
      <c r="N135" s="1168" t="n"/>
      <c r="O135" s="1168" t="n"/>
      <c r="P135" s="1168" t="n"/>
      <c r="Q135" s="1168" t="n"/>
      <c r="R135" s="1168" t="n"/>
      <c r="S135" s="1168" t="n"/>
      <c r="T135" s="1168" t="n"/>
      <c r="U135" s="1168" t="n"/>
      <c r="V135" s="1168" t="n"/>
      <c r="W135" s="1168" t="n"/>
      <c r="X135" s="1168" t="n"/>
      <c r="Y135" s="1167" t="n"/>
    </row>
    <row r="136" s="3154" customFormat="1" ht="13.5" customHeight="1">
      <c r="A136" s="1132">
        <f t="array" ref="A136">IF(I135&gt;0.5,A135+1,"")</f>
        <v>119</v>
      </c>
      <c r="B136" s="3519">
        <f t="array" ref="B136">IF(A136&lt;&gt;"",DATE(YEAR($D$9),MONTH($D$9)+A136,DAY($D$9)),"")</f>
        <v>50375</v>
      </c>
      <c r="C136" s="3520">
        <f t="array" ref="C136">IF(A136&lt;&gt;"",I135,"")</f>
        <v>3842458.08491346</v>
      </c>
      <c r="D136" s="3520">
        <f t="array" ref="D136">IF(A136&lt;&gt;"",$H$5,"")</f>
        <v>33254.5945333633</v>
      </c>
      <c r="E136" s="3521">
        <v>0</v>
      </c>
      <c r="F136" s="3520">
        <f t="array" ref="F136">IF(A136&lt;&gt;"",D136+E136,"")</f>
        <v>33254.5945333633</v>
      </c>
      <c r="G136" s="3520">
        <f t="array" ref="G136">IF(A136&lt;&gt;"",F136-H136,0)</f>
        <v>12441.2799067488</v>
      </c>
      <c r="H136" s="3520">
        <f t="array" ref="H136">IF(A136&lt;&gt;"",C136*$D$6/$D$8,0)</f>
        <v>20813.3146266146</v>
      </c>
      <c r="I136" s="3520">
        <f t="array" ref="I136">IF(A136&lt;&gt;"",C136-G136,0)</f>
        <v>3830016.80500671</v>
      </c>
      <c r="J136" s="3522">
        <f t="array" ref="J136">IF(A136&lt;&gt;"",J135+H136,J135)</f>
        <v>2862218.49668894</v>
      </c>
      <c r="K136" s="942">
        <is>
          <t xml:space="preserve">Principle</t>
        </is>
      </c>
      <c r="L136" s="3425" t="n"/>
      <c r="M136" s="793" t="n"/>
      <c r="N136" s="1168" t="n"/>
      <c r="O136" s="1168" t="n"/>
      <c r="P136" s="1168" t="n"/>
      <c r="Q136" s="1168" t="n"/>
      <c r="R136" s="1168" t="n"/>
      <c r="S136" s="1168" t="n"/>
      <c r="T136" s="1168" t="n"/>
      <c r="U136" s="1168" t="n"/>
      <c r="V136" s="1168" t="n"/>
      <c r="W136" s="1168" t="n"/>
      <c r="X136" s="1168" t="n"/>
      <c r="Y136" s="1167" t="n"/>
    </row>
    <row r="137" s="3154" customFormat="1" ht="13.5" customHeight="1">
      <c r="A137" s="1141">
        <f t="array" ref="A137">IF(I136&gt;0.5,A136+1,"")</f>
        <v>120</v>
      </c>
      <c r="B137" s="3523">
        <f t="array" ref="B137">IF(A137&lt;&gt;"",DATE(YEAR($D$9),MONTH($D$9)+A137,DAY($D$9)),"")</f>
        <v>50406</v>
      </c>
      <c r="C137" s="3524">
        <f t="array" ref="C137">IF(A137&lt;&gt;"",I136,"")</f>
        <v>3830016.80500671</v>
      </c>
      <c r="D137" s="3524">
        <f t="array" ref="D137">IF(A137&lt;&gt;"",$H$5,"")</f>
        <v>33254.5945333633</v>
      </c>
      <c r="E137" s="3525">
        <v>0</v>
      </c>
      <c r="F137" s="3524">
        <f t="array" ref="F137">IF(A137&lt;&gt;"",D137+E137,"")</f>
        <v>33254.5945333633</v>
      </c>
      <c r="G137" s="3524">
        <f t="array" ref="G137">IF(A137&lt;&gt;"",F137-H137,0)</f>
        <v>12508.6701729103</v>
      </c>
      <c r="H137" s="3526">
        <f t="array" ref="H137">IF(A137&lt;&gt;"",C137*$D$6/$D$8,0)</f>
        <v>20745.924360453</v>
      </c>
      <c r="I137" s="3527">
        <f t="array" ref="I137">IF(A137&lt;&gt;"",C137-G137,0)</f>
        <v>3817508.1348338</v>
      </c>
      <c r="J137" s="3527">
        <f t="array" ref="J137">IF(A137&lt;&gt;"",J136+H137,J136)</f>
        <v>2882964.4210494</v>
      </c>
      <c r="K137" s="3537">
        <f t="array" ref="K137">SUM(G126:G137)</f>
        <v>145735.198663795</v>
      </c>
      <c r="L137" s="960" t="n"/>
      <c r="M137" s="793" t="n"/>
      <c r="N137" s="1168" t="n"/>
      <c r="O137" s="1168" t="n"/>
      <c r="P137" s="1168" t="n"/>
      <c r="Q137" s="1168" t="n"/>
      <c r="R137" s="1168" t="n"/>
      <c r="S137" s="1168" t="n"/>
      <c r="T137" s="1168" t="n"/>
      <c r="U137" s="1168" t="n"/>
      <c r="V137" s="1168" t="n"/>
      <c r="W137" s="1168" t="n"/>
      <c r="X137" s="1168" t="n"/>
      <c r="Y137" s="1167" t="n"/>
    </row>
    <row r="138" s="3154" customFormat="1" ht="12.75" customHeight="1">
      <c r="A138" s="1149">
        <f t="array" ref="A138">IF(I137&gt;0.5,A137+1,"")</f>
        <v>121</v>
      </c>
      <c r="B138" s="3530">
        <f t="array" ref="B138">IF(A138&lt;&gt;"",DATE(YEAR($D$9),MONTH($D$9)+A138,DAY($D$9)),"")</f>
        <v>50437</v>
      </c>
      <c r="C138" s="3531">
        <f t="array" ref="C138">IF(A138&lt;&gt;"",I137,"")</f>
        <v>3817508.1348338</v>
      </c>
      <c r="D138" s="3531">
        <f t="array" ref="D138">IF(A138&lt;&gt;"",$H$5,"")</f>
        <v>33254.5945333633</v>
      </c>
      <c r="E138" s="3532">
        <v>0</v>
      </c>
      <c r="F138" s="3531">
        <f t="array" ref="F138">IF(A138&lt;&gt;"",D138+E138,"")</f>
        <v>33254.5945333633</v>
      </c>
      <c r="G138" s="3531">
        <f t="array" ref="G138">IF(A138&lt;&gt;"",F138-H138,0)</f>
        <v>12576.4254696803</v>
      </c>
      <c r="H138" s="3531">
        <f t="array" ref="H138">IF(A138&lt;&gt;"",C138*$D$6/$D$8,0)</f>
        <v>20678.1690636831</v>
      </c>
      <c r="I138" s="3531">
        <f t="array" ref="I138">IF(A138&lt;&gt;"",C138-G138,0)</f>
        <v>3804931.70936412</v>
      </c>
      <c r="J138" s="3531">
        <f t="array" ref="J138">IF(A138&lt;&gt;"",J137+H138,J137)</f>
        <v>2903642.59011308</v>
      </c>
      <c r="K138" s="1125"/>
      <c r="L138" s="652" t="n"/>
      <c r="M138" s="1167" t="n"/>
      <c r="N138" s="1168" t="n"/>
      <c r="O138" s="1168" t="n"/>
      <c r="P138" s="1168" t="n"/>
      <c r="Q138" s="1168" t="n"/>
      <c r="R138" s="1168" t="n"/>
      <c r="S138" s="1168" t="n"/>
      <c r="T138" s="1168" t="n"/>
      <c r="U138" s="1168" t="n"/>
      <c r="V138" s="1168" t="n"/>
      <c r="W138" s="1168" t="n"/>
      <c r="X138" s="1168" t="n"/>
      <c r="Y138" s="1167" t="n"/>
    </row>
    <row r="139" s="3154" customFormat="1" ht="12.75" customHeight="1">
      <c r="A139" s="1117">
        <f t="array" ref="A139">IF(I138&gt;0.5,A138+1,"")</f>
        <v>122</v>
      </c>
      <c r="B139" s="3515">
        <f t="array" ref="B139">IF(A139&lt;&gt;"",DATE(YEAR($D$9),MONTH($D$9)+A139,DAY($D$9)),"")</f>
        <v>50465</v>
      </c>
      <c r="C139" s="3516">
        <f t="array" ref="C139">IF(A139&lt;&gt;"",I138,"")</f>
        <v>3804931.70936412</v>
      </c>
      <c r="D139" s="3516">
        <f t="array" ref="D139">IF(A139&lt;&gt;"",$H$5,"")</f>
        <v>33254.5945333633</v>
      </c>
      <c r="E139" s="3517">
        <v>0</v>
      </c>
      <c r="F139" s="3516">
        <f t="array" ref="F139">IF(A139&lt;&gt;"",D139+E139,"")</f>
        <v>33254.5945333633</v>
      </c>
      <c r="G139" s="3516">
        <f t="array" ref="G139">IF(A139&lt;&gt;"",F139-H139,0)</f>
        <v>12644.5477743077</v>
      </c>
      <c r="H139" s="3516">
        <f t="array" ref="H139">IF(A139&lt;&gt;"",C139*$D$6/$D$8,0)</f>
        <v>20610.0467590556</v>
      </c>
      <c r="I139" s="3516">
        <f t="array" ref="I139">IF(A139&lt;&gt;"",C139-G139,0)</f>
        <v>3792287.16158981</v>
      </c>
      <c r="J139" s="3516">
        <f t="array" ref="J139">IF(A139&lt;&gt;"",J138+H139,J138)</f>
        <v>2924252.63687213</v>
      </c>
      <c r="K139" s="666"/>
      <c r="L139" s="1167" t="n"/>
      <c r="M139" s="1167" t="n"/>
      <c r="N139" s="1168" t="n"/>
      <c r="O139" s="1168" t="n"/>
      <c r="P139" s="1168" t="n"/>
      <c r="Q139" s="1168" t="n"/>
      <c r="R139" s="1168" t="n"/>
      <c r="S139" s="1168" t="n"/>
      <c r="T139" s="1168" t="n"/>
      <c r="U139" s="1168" t="n"/>
      <c r="V139" s="1168" t="n"/>
      <c r="W139" s="1168" t="n"/>
      <c r="X139" s="1168" t="n"/>
      <c r="Y139" s="1167" t="n"/>
    </row>
    <row r="140" s="3154" customFormat="1" ht="12.75" customHeight="1">
      <c r="A140" s="1117">
        <f t="array" ref="A140">IF(I139&gt;0.5,A139+1,"")</f>
        <v>123</v>
      </c>
      <c r="B140" s="3515">
        <f t="array" ref="B140">IF(A140&lt;&gt;"",DATE(YEAR($D$9),MONTH($D$9)+A140,DAY($D$9)),"")</f>
        <v>50496</v>
      </c>
      <c r="C140" s="3516">
        <f t="array" ref="C140">IF(A140&lt;&gt;"",I139,"")</f>
        <v>3792287.16158981</v>
      </c>
      <c r="D140" s="3516">
        <f t="array" ref="D140">IF(A140&lt;&gt;"",$H$5,"")</f>
        <v>33254.5945333633</v>
      </c>
      <c r="E140" s="3517">
        <v>0</v>
      </c>
      <c r="F140" s="3516">
        <f t="array" ref="F140">IF(A140&lt;&gt;"",D140+E140,"")</f>
        <v>33254.5945333633</v>
      </c>
      <c r="G140" s="3516">
        <f t="array" ref="G140">IF(A140&lt;&gt;"",F140-H140,0)</f>
        <v>12713.0390747519</v>
      </c>
      <c r="H140" s="3516">
        <f t="array" ref="H140">IF(A140&lt;&gt;"",C140*$D$6/$D$8,0)</f>
        <v>20541.5554586115</v>
      </c>
      <c r="I140" s="3516">
        <f t="array" ref="I140">IF(A140&lt;&gt;"",C140-G140,0)</f>
        <v>3779574.12251506</v>
      </c>
      <c r="J140" s="3516">
        <f t="array" ref="J140">IF(A140&lt;&gt;"",J139+H140,J139)</f>
        <v>2944794.19233075</v>
      </c>
      <c r="K140" s="666"/>
      <c r="L140" s="1167" t="n"/>
      <c r="M140" s="1167" t="n"/>
      <c r="N140" s="1168" t="n"/>
      <c r="O140" s="1168" t="n"/>
      <c r="P140" s="1168" t="n"/>
      <c r="Q140" s="1168" t="n"/>
      <c r="R140" s="1168" t="n"/>
      <c r="S140" s="1168" t="n"/>
      <c r="T140" s="1168" t="n"/>
      <c r="U140" s="1168" t="n"/>
      <c r="V140" s="1168" t="n"/>
      <c r="W140" s="1168" t="n"/>
      <c r="X140" s="1168" t="n"/>
      <c r="Y140" s="1167" t="n"/>
    </row>
    <row r="141" s="3154" customFormat="1" ht="12.75" customHeight="1">
      <c r="A141" s="1117">
        <f t="array" ref="A141">IF(I140&gt;0.5,A140+1,"")</f>
        <v>124</v>
      </c>
      <c r="B141" s="3515">
        <f t="array" ref="B141">IF(A141&lt;&gt;"",DATE(YEAR($D$9),MONTH($D$9)+A141,DAY($D$9)),"")</f>
        <v>50526</v>
      </c>
      <c r="C141" s="3516">
        <f t="array" ref="C141">IF(A141&lt;&gt;"",I140,"")</f>
        <v>3779574.12251506</v>
      </c>
      <c r="D141" s="3516">
        <f t="array" ref="D141">IF(A141&lt;&gt;"",$H$5,"")</f>
        <v>33254.5945333633</v>
      </c>
      <c r="E141" s="3517">
        <v>0</v>
      </c>
      <c r="F141" s="3516">
        <f t="array" ref="F141">IF(A141&lt;&gt;"",D141+E141,"")</f>
        <v>33254.5945333633</v>
      </c>
      <c r="G141" s="3516">
        <f t="array" ref="G141">IF(A141&lt;&gt;"",F141-H141,0)</f>
        <v>12781.9013697401</v>
      </c>
      <c r="H141" s="3516">
        <f t="array" ref="H141">IF(A141&lt;&gt;"",C141*$D$6/$D$8,0)</f>
        <v>20472.6931636232</v>
      </c>
      <c r="I141" s="3516">
        <f t="array" ref="I141">IF(A141&lt;&gt;"",C141-G141,0)</f>
        <v>3766792.22114532</v>
      </c>
      <c r="J141" s="3516">
        <f t="array" ref="J141">IF(A141&lt;&gt;"",J140+H141,J140)</f>
        <v>2965266.88549437</v>
      </c>
      <c r="K141" s="666"/>
      <c r="L141" s="1167" t="n"/>
      <c r="M141" s="1167" t="n"/>
      <c r="N141" s="1168" t="n"/>
      <c r="O141" s="1168" t="n"/>
      <c r="P141" s="1168" t="n"/>
      <c r="Q141" s="1168" t="n"/>
      <c r="R141" s="1168" t="n"/>
      <c r="S141" s="1168" t="n"/>
      <c r="T141" s="1168" t="n"/>
      <c r="U141" s="1168" t="n"/>
      <c r="V141" s="1168" t="n"/>
      <c r="W141" s="1168" t="n"/>
      <c r="X141" s="1168" t="n"/>
      <c r="Y141" s="1167" t="n"/>
    </row>
    <row r="142" s="3154" customFormat="1" ht="12.75" customHeight="1">
      <c r="A142" s="1117">
        <f t="array" ref="A142">IF(I141&gt;0.5,A141+1,"")</f>
        <v>125</v>
      </c>
      <c r="B142" s="3515">
        <f t="array" ref="B142">IF(A142&lt;&gt;"",DATE(YEAR($D$9),MONTH($D$9)+A142,DAY($D$9)),"")</f>
        <v>50557</v>
      </c>
      <c r="C142" s="3516">
        <f t="array" ref="C142">IF(A142&lt;&gt;"",I141,"")</f>
        <v>3766792.22114532</v>
      </c>
      <c r="D142" s="3516">
        <f t="array" ref="D142">IF(A142&lt;&gt;"",$H$5,"")</f>
        <v>33254.5945333633</v>
      </c>
      <c r="E142" s="3517">
        <v>0</v>
      </c>
      <c r="F142" s="3516">
        <f t="array" ref="F142">IF(A142&lt;&gt;"",D142+E142,"")</f>
        <v>33254.5945333633</v>
      </c>
      <c r="G142" s="3516">
        <f t="array" ref="G142">IF(A142&lt;&gt;"",F142-H142,0)</f>
        <v>12851.1366688262</v>
      </c>
      <c r="H142" s="3516">
        <f t="array" ref="H142">IF(A142&lt;&gt;"",C142*$D$6/$D$8,0)</f>
        <v>20403.4578645371</v>
      </c>
      <c r="I142" s="3516">
        <f t="array" ref="I142">IF(A142&lt;&gt;"",C142-G142,0)</f>
        <v>3753941.08447649</v>
      </c>
      <c r="J142" s="3516">
        <f t="array" ref="J142">IF(A142&lt;&gt;"",J141+H142,J141)</f>
        <v>2985670.34335891</v>
      </c>
      <c r="K142" s="666"/>
      <c r="L142" s="1167" t="n"/>
      <c r="M142" s="1167" t="n"/>
      <c r="N142" s="1168" t="n"/>
      <c r="O142" s="1168" t="n"/>
      <c r="P142" s="1168" t="n"/>
      <c r="Q142" s="1168" t="n"/>
      <c r="R142" s="1168" t="n"/>
      <c r="S142" s="1168" t="n"/>
      <c r="T142" s="1168" t="n"/>
      <c r="U142" s="1168" t="n"/>
      <c r="V142" s="1168" t="n"/>
      <c r="W142" s="1168" t="n"/>
      <c r="X142" s="1168" t="n"/>
      <c r="Y142" s="1167" t="n"/>
    </row>
    <row r="143" s="3154" customFormat="1" ht="12.75" customHeight="1">
      <c r="A143" s="1117">
        <f t="array" ref="A143">IF(I142&gt;0.5,A142+1,"")</f>
        <v>126</v>
      </c>
      <c r="B143" s="3515">
        <f t="array" ref="B143">IF(A143&lt;&gt;"",DATE(YEAR($D$9),MONTH($D$9)+A143,DAY($D$9)),"")</f>
        <v>50587</v>
      </c>
      <c r="C143" s="3516">
        <f t="array" ref="C143">IF(A143&lt;&gt;"",I142,"")</f>
        <v>3753941.08447649</v>
      </c>
      <c r="D143" s="3516">
        <f t="array" ref="D143">IF(A143&lt;&gt;"",$H$5,"")</f>
        <v>33254.5945333633</v>
      </c>
      <c r="E143" s="3517">
        <v>0</v>
      </c>
      <c r="F143" s="3516">
        <f t="array" ref="F143">IF(A143&lt;&gt;"",D143+E143,"")</f>
        <v>33254.5945333633</v>
      </c>
      <c r="G143" s="3516">
        <f t="array" ref="G143">IF(A143&lt;&gt;"",F143-H143,0)</f>
        <v>12920.746992449</v>
      </c>
      <c r="H143" s="3516">
        <f t="array" ref="H143">IF(A143&lt;&gt;"",C143*$D$6/$D$8,0)</f>
        <v>20333.8475409143</v>
      </c>
      <c r="I143" s="3516">
        <f t="array" ref="I143">IF(A143&lt;&gt;"",C143-G143,0)</f>
        <v>3741020.33748404</v>
      </c>
      <c r="J143" s="3516">
        <f t="array" ref="J143">IF(A143&lt;&gt;"",J142+H143,J142)</f>
        <v>3006004.19089982</v>
      </c>
      <c r="K143" s="666"/>
      <c r="L143" s="1167" t="n"/>
      <c r="M143" s="1167" t="n"/>
      <c r="N143" s="1168" t="n"/>
      <c r="O143" s="1168" t="n"/>
      <c r="P143" s="1168" t="n"/>
      <c r="Q143" s="1168" t="n"/>
      <c r="R143" s="1168" t="n"/>
      <c r="S143" s="1168" t="n"/>
      <c r="T143" s="1168" t="n"/>
      <c r="U143" s="1168" t="n"/>
      <c r="V143" s="1168" t="n"/>
      <c r="W143" s="1168" t="n"/>
      <c r="X143" s="1168" t="n"/>
      <c r="Y143" s="1167" t="n"/>
    </row>
    <row r="144" s="3154" customFormat="1" ht="12.75" customHeight="1">
      <c r="A144" s="1117">
        <f t="array" ref="A144">IF(I143&gt;0.5,A143+1,"")</f>
        <v>127</v>
      </c>
      <c r="B144" s="3515">
        <f t="array" ref="B144">IF(A144&lt;&gt;"",DATE(YEAR($D$9),MONTH($D$9)+A144,DAY($D$9)),"")</f>
        <v>50618</v>
      </c>
      <c r="C144" s="3516">
        <f t="array" ref="C144">IF(A144&lt;&gt;"",I143,"")</f>
        <v>3741020.33748404</v>
      </c>
      <c r="D144" s="3516">
        <f t="array" ref="D144">IF(A144&lt;&gt;"",$H$5,"")</f>
        <v>33254.5945333633</v>
      </c>
      <c r="E144" s="3517">
        <v>0</v>
      </c>
      <c r="F144" s="3516">
        <f t="array" ref="F144">IF(A144&lt;&gt;"",D144+E144,"")</f>
        <v>33254.5945333633</v>
      </c>
      <c r="G144" s="3516">
        <f t="array" ref="G144">IF(A144&lt;&gt;"",F144-H144,0)</f>
        <v>12990.7343719914</v>
      </c>
      <c r="H144" s="3516">
        <f t="array" ref="H144">IF(A144&lt;&gt;"",C144*$D$6/$D$8,0)</f>
        <v>20263.8601613719</v>
      </c>
      <c r="I144" s="3516">
        <f t="array" ref="I144">IF(A144&lt;&gt;"",C144-G144,0)</f>
        <v>3728029.60311205</v>
      </c>
      <c r="J144" s="3516">
        <f t="array" ref="J144">IF(A144&lt;&gt;"",J143+H144,J143)</f>
        <v>3026268.05106119</v>
      </c>
      <c r="K144" s="666"/>
      <c r="L144" s="1167" t="n"/>
      <c r="M144" s="1167" t="n"/>
      <c r="N144" s="1168" t="n"/>
      <c r="O144" s="1168" t="n"/>
      <c r="P144" s="1168" t="n"/>
      <c r="Q144" s="1168" t="n"/>
      <c r="R144" s="1168" t="n"/>
      <c r="S144" s="1168" t="n"/>
      <c r="T144" s="1168" t="n"/>
      <c r="U144" s="1168" t="n"/>
      <c r="V144" s="1168" t="n"/>
      <c r="W144" s="1168" t="n"/>
      <c r="X144" s="1168" t="n"/>
      <c r="Y144" s="1167" t="n"/>
    </row>
    <row r="145" s="3154" customFormat="1" ht="12.75" customHeight="1">
      <c r="A145" s="1117">
        <f t="array" ref="A145">IF(I144&gt;0.5,A144+1,"")</f>
        <v>128</v>
      </c>
      <c r="B145" s="3515">
        <f t="array" ref="B145">IF(A145&lt;&gt;"",DATE(YEAR($D$9),MONTH($D$9)+A145,DAY($D$9)),"")</f>
        <v>50649</v>
      </c>
      <c r="C145" s="3516">
        <f t="array" ref="C145">IF(A145&lt;&gt;"",I144,"")</f>
        <v>3728029.60311205</v>
      </c>
      <c r="D145" s="3516">
        <f t="array" ref="D145">IF(A145&lt;&gt;"",$H$5,"")</f>
        <v>33254.5945333633</v>
      </c>
      <c r="E145" s="3517">
        <v>0</v>
      </c>
      <c r="F145" s="3516">
        <f t="array" ref="F145">IF(A145&lt;&gt;"",D145+E145,"")</f>
        <v>33254.5945333633</v>
      </c>
      <c r="G145" s="3516">
        <f t="array" ref="G145">IF(A145&lt;&gt;"",F145-H145,0)</f>
        <v>13061.1008498397</v>
      </c>
      <c r="H145" s="3516">
        <f t="array" ref="H145">IF(A145&lt;&gt;"",C145*$D$6/$D$8,0)</f>
        <v>20193.4936835236</v>
      </c>
      <c r="I145" s="3516">
        <f t="array" ref="I145">IF(A145&lt;&gt;"",C145-G145,0)</f>
        <v>3714968.50226221</v>
      </c>
      <c r="J145" s="3516">
        <f t="array" ref="J145">IF(A145&lt;&gt;"",J144+H145,J144)</f>
        <v>3046461.54474472</v>
      </c>
      <c r="K145" s="666"/>
      <c r="L145" s="1167" t="n"/>
      <c r="M145" s="1167" t="n"/>
      <c r="N145" s="1168" t="n"/>
      <c r="O145" s="1168" t="n"/>
      <c r="P145" s="1168" t="n"/>
      <c r="Q145" s="1168" t="n"/>
      <c r="R145" s="1168" t="n"/>
      <c r="S145" s="1168" t="n"/>
      <c r="T145" s="1168" t="n"/>
      <c r="U145" s="1168" t="n"/>
      <c r="V145" s="1168" t="n"/>
      <c r="W145" s="1168" t="n"/>
      <c r="X145" s="1168" t="n"/>
      <c r="Y145" s="1167" t="n"/>
    </row>
    <row r="146" s="3154" customFormat="1" ht="12.75" customHeight="1">
      <c r="A146" s="1117">
        <f t="array" ref="A146">IF(I145&gt;0.5,A145+1,"")</f>
        <v>129</v>
      </c>
      <c r="B146" s="3515">
        <f t="array" ref="B146">IF(A146&lt;&gt;"",DATE(YEAR($D$9),MONTH($D$9)+A146,DAY($D$9)),"")</f>
        <v>50679</v>
      </c>
      <c r="C146" s="3516">
        <f t="array" ref="C146">IF(A146&lt;&gt;"",I145,"")</f>
        <v>3714968.50226221</v>
      </c>
      <c r="D146" s="3516">
        <f t="array" ref="D146">IF(A146&lt;&gt;"",$H$5,"")</f>
        <v>33254.5945333633</v>
      </c>
      <c r="E146" s="3517">
        <v>0</v>
      </c>
      <c r="F146" s="3516">
        <f t="array" ref="F146">IF(A146&lt;&gt;"",D146+E146,"")</f>
        <v>33254.5945333633</v>
      </c>
      <c r="G146" s="3516">
        <f t="array" ref="G146">IF(A146&lt;&gt;"",F146-H146,0)</f>
        <v>13131.848479443</v>
      </c>
      <c r="H146" s="3516">
        <f t="array" ref="H146">IF(A146&lt;&gt;"",C146*$D$6/$D$8,0)</f>
        <v>20122.7460539203</v>
      </c>
      <c r="I146" s="3516">
        <f t="array" ref="I146">IF(A146&lt;&gt;"",C146-G146,0)</f>
        <v>3701836.65378277</v>
      </c>
      <c r="J146" s="3516">
        <f t="array" ref="J146">IF(A146&lt;&gt;"",J145+H146,J145)</f>
        <v>3066584.29079864</v>
      </c>
      <c r="K146" s="666"/>
      <c r="L146" s="1167" t="n"/>
      <c r="M146" s="1167" t="n"/>
      <c r="N146" s="1168" t="n"/>
      <c r="O146" s="1168" t="n"/>
      <c r="P146" s="1168" t="n"/>
      <c r="Q146" s="1168" t="n"/>
      <c r="R146" s="1168" t="n"/>
      <c r="S146" s="1168" t="n"/>
      <c r="T146" s="1168" t="n"/>
      <c r="U146" s="1168" t="n"/>
      <c r="V146" s="1168" t="n"/>
      <c r="W146" s="1168" t="n"/>
      <c r="X146" s="1168" t="n"/>
      <c r="Y146" s="1167" t="n"/>
    </row>
    <row r="147" s="3154" customFormat="1" ht="12.75" customHeight="1">
      <c r="A147" s="1117">
        <f t="array" ref="A147">IF(I146&gt;0.5,A146+1,"")</f>
        <v>130</v>
      </c>
      <c r="B147" s="3515">
        <f t="array" ref="B147">IF(A147&lt;&gt;"",DATE(YEAR($D$9),MONTH($D$9)+A147,DAY($D$9)),"")</f>
        <v>50710</v>
      </c>
      <c r="C147" s="3516">
        <f t="array" ref="C147">IF(A147&lt;&gt;"",I146,"")</f>
        <v>3701836.65378277</v>
      </c>
      <c r="D147" s="3516">
        <f t="array" ref="D147">IF(A147&lt;&gt;"",$H$5,"")</f>
        <v>33254.5945333633</v>
      </c>
      <c r="E147" s="3517">
        <v>0</v>
      </c>
      <c r="F147" s="3516">
        <f t="array" ref="F147">IF(A147&lt;&gt;"",D147+E147,"")</f>
        <v>33254.5945333633</v>
      </c>
      <c r="G147" s="3516">
        <f t="array" ref="G147">IF(A147&lt;&gt;"",F147-H147,0)</f>
        <v>13202.9793253733</v>
      </c>
      <c r="H147" s="3516">
        <f t="array" ref="H147">IF(A147&lt;&gt;"",C147*$D$6/$D$8,0)</f>
        <v>20051.61520799</v>
      </c>
      <c r="I147" s="3516">
        <f t="array" ref="I147">IF(A147&lt;&gt;"",C147-G147,0)</f>
        <v>3688633.6744574</v>
      </c>
      <c r="J147" s="3516">
        <f t="array" ref="J147">IF(A147&lt;&gt;"",J146+H147,J146)</f>
        <v>3086635.90600663</v>
      </c>
      <c r="K147" s="666"/>
      <c r="L147" s="1167" t="n"/>
      <c r="M147" s="1167" t="n"/>
      <c r="N147" s="1168" t="n"/>
      <c r="O147" s="1168" t="n"/>
      <c r="P147" s="1168" t="n"/>
      <c r="Q147" s="1168" t="n"/>
      <c r="R147" s="1168" t="n"/>
      <c r="S147" s="1168" t="n"/>
      <c r="T147" s="1168" t="n"/>
      <c r="U147" s="1168" t="n"/>
      <c r="V147" s="1168" t="n"/>
      <c r="W147" s="1168" t="n"/>
      <c r="X147" s="1168" t="n"/>
      <c r="Y147" s="1167" t="n"/>
    </row>
    <row r="148" s="3154" customFormat="1" ht="13.5" customHeight="1">
      <c r="A148" s="1132">
        <f t="array" ref="A148">IF(I147&gt;0.5,A147+1,"")</f>
        <v>131</v>
      </c>
      <c r="B148" s="3519">
        <f t="array" ref="B148">IF(A148&lt;&gt;"",DATE(YEAR($D$9),MONTH($D$9)+A148,DAY($D$9)),"")</f>
        <v>50740</v>
      </c>
      <c r="C148" s="3520">
        <f t="array" ref="C148">IF(A148&lt;&gt;"",I147,"")</f>
        <v>3688633.6744574</v>
      </c>
      <c r="D148" s="3520">
        <f t="array" ref="D148">IF(A148&lt;&gt;"",$H$5,"")</f>
        <v>33254.5945333633</v>
      </c>
      <c r="E148" s="3521">
        <v>0</v>
      </c>
      <c r="F148" s="3520">
        <f t="array" ref="F148">IF(A148&lt;&gt;"",D148+E148,"")</f>
        <v>33254.5945333633</v>
      </c>
      <c r="G148" s="3520">
        <f t="array" ref="G148">IF(A148&lt;&gt;"",F148-H148,0)</f>
        <v>13274.4954633858</v>
      </c>
      <c r="H148" s="3520">
        <f t="array" ref="H148">IF(A148&lt;&gt;"",C148*$D$6/$D$8,0)</f>
        <v>19980.0990699776</v>
      </c>
      <c r="I148" s="3520">
        <f t="array" ref="I148">IF(A148&lt;&gt;"",C148-G148,0)</f>
        <v>3675359.17899401</v>
      </c>
      <c r="J148" s="3520">
        <f t="array" ref="J148">IF(A148&lt;&gt;"",J147+H148,J147)</f>
        <v>3106616.0050766</v>
      </c>
      <c r="K148" s="666"/>
      <c r="L148" s="1167" t="n"/>
      <c r="M148" s="1167" t="n"/>
      <c r="N148" s="1168" t="n"/>
      <c r="O148" s="1168" t="n"/>
      <c r="P148" s="1168" t="n"/>
      <c r="Q148" s="1168" t="n"/>
      <c r="R148" s="1168" t="n"/>
      <c r="S148" s="1168" t="n"/>
      <c r="T148" s="1168" t="n"/>
      <c r="U148" s="1168" t="n"/>
      <c r="V148" s="1168" t="n"/>
      <c r="W148" s="1168" t="n"/>
      <c r="X148" s="1168" t="n"/>
      <c r="Y148" s="1167" t="n"/>
    </row>
    <row r="149" s="3154" customFormat="1" ht="13.5" customHeight="1">
      <c r="A149" s="1141">
        <f t="array" ref="A149">IF(I148&gt;0.5,A148+1,"")</f>
        <v>132</v>
      </c>
      <c r="B149" s="3523">
        <f t="array" ref="B149">IF(A149&lt;&gt;"",DATE(YEAR($D$9),MONTH($D$9)+A149,DAY($D$9)),"")</f>
        <v>50771</v>
      </c>
      <c r="C149" s="3524">
        <f t="array" ref="C149">IF(A149&lt;&gt;"",I148,"")</f>
        <v>3675359.17899401</v>
      </c>
      <c r="D149" s="3524">
        <f t="array" ref="D149">IF(A149&lt;&gt;"",$H$5,"")</f>
        <v>33254.5945333633</v>
      </c>
      <c r="E149" s="3525">
        <v>0</v>
      </c>
      <c r="F149" s="3524">
        <f t="array" ref="F149">IF(A149&lt;&gt;"",D149+E149,"")</f>
        <v>33254.5945333633</v>
      </c>
      <c r="G149" s="3524">
        <f t="array" ref="G149">IF(A149&lt;&gt;"",F149-H149,0)</f>
        <v>13346.3989804791</v>
      </c>
      <c r="H149" s="3526">
        <f t="array" ref="H149">IF(A149&lt;&gt;"",C149*$D$6/$D$8,0)</f>
        <v>19908.1955528842</v>
      </c>
      <c r="I149" s="3527">
        <f t="array" ref="I149">IF(A149&lt;&gt;"",C149-G149,0)</f>
        <v>3662012.78001353</v>
      </c>
      <c r="J149" s="3527">
        <f t="array" ref="J149">IF(A149&lt;&gt;"",J148+H149,J148)</f>
        <v>3126524.20062949</v>
      </c>
      <c r="K149" s="793">
        <v>155495.354820268</v>
      </c>
      <c r="L149" s="1167" t="n"/>
      <c r="M149" s="1167" t="n"/>
      <c r="N149" s="1168" t="n"/>
      <c r="O149" s="1168" t="n"/>
      <c r="P149" s="1168" t="n"/>
      <c r="Q149" s="1168" t="n"/>
      <c r="R149" s="1168" t="n"/>
      <c r="S149" s="1168" t="n"/>
      <c r="T149" s="1168" t="n"/>
      <c r="U149" s="1168" t="n"/>
      <c r="V149" s="1168" t="n"/>
      <c r="W149" s="1168" t="n"/>
      <c r="X149" s="1168" t="n"/>
      <c r="Y149" s="1167" t="n"/>
    </row>
    <row r="150" s="3154" customFormat="1" ht="12.75" customHeight="1">
      <c r="A150" s="1149">
        <f t="array" ref="A150">IF(I149&gt;0.5,A149+1,"")</f>
        <v>133</v>
      </c>
      <c r="B150" s="3530">
        <f t="array" ref="B150">IF(A150&lt;&gt;"",DATE(YEAR($D$9),MONTH($D$9)+A150,DAY($D$9)),"")</f>
        <v>50802</v>
      </c>
      <c r="C150" s="3531">
        <f t="array" ref="C150">IF(A150&lt;&gt;"",I149,"")</f>
        <v>3662012.78001353</v>
      </c>
      <c r="D150" s="3531">
        <f t="array" ref="D150">IF(A150&lt;&gt;"",$H$5,"")</f>
        <v>33254.5945333633</v>
      </c>
      <c r="E150" s="3532">
        <v>0</v>
      </c>
      <c r="F150" s="3531">
        <f t="array" ref="F150">IF(A150&lt;&gt;"",D150+E150,"")</f>
        <v>33254.5945333633</v>
      </c>
      <c r="G150" s="3531">
        <f t="array" ref="G150">IF(A150&lt;&gt;"",F150-H150,0)</f>
        <v>13418.6919749567</v>
      </c>
      <c r="H150" s="3531">
        <f t="array" ref="H150">IF(A150&lt;&gt;"",C150*$D$6/$D$8,0)</f>
        <v>19835.9025584066</v>
      </c>
      <c r="I150" s="3531">
        <f t="array" ref="I150">IF(A150&lt;&gt;"",C150-G150,0)</f>
        <v>3648594.08803857</v>
      </c>
      <c r="J150" s="3531">
        <f t="array" ref="J150">IF(A150&lt;&gt;"",J149+H150,J149)</f>
        <v>3146360.10318789</v>
      </c>
      <c r="K150" s="666"/>
      <c r="L150" s="1167" t="n"/>
      <c r="M150" s="1167" t="n"/>
      <c r="N150" s="1168" t="n"/>
      <c r="O150" s="1168" t="n"/>
      <c r="P150" s="1168" t="n"/>
      <c r="Q150" s="1168" t="n"/>
      <c r="R150" s="1168" t="n"/>
      <c r="S150" s="1168" t="n"/>
      <c r="T150" s="1168" t="n"/>
      <c r="U150" s="1168" t="n"/>
      <c r="V150" s="1168" t="n"/>
      <c r="W150" s="1168" t="n"/>
      <c r="X150" s="1168" t="n"/>
      <c r="Y150" s="1167" t="n"/>
    </row>
    <row r="151" s="3154" customFormat="1" ht="12.75" customHeight="1">
      <c r="A151" s="1117">
        <f t="array" ref="A151">IF(I150&gt;0.5,A150+1,"")</f>
        <v>134</v>
      </c>
      <c r="B151" s="3515">
        <f t="array" ref="B151">IF(A151&lt;&gt;"",DATE(YEAR($D$9),MONTH($D$9)+A151,DAY($D$9)),"")</f>
        <v>50830</v>
      </c>
      <c r="C151" s="3516">
        <f t="array" ref="C151">IF(A151&lt;&gt;"",I150,"")</f>
        <v>3648594.08803857</v>
      </c>
      <c r="D151" s="3516">
        <f t="array" ref="D151">IF(A151&lt;&gt;"",$H$5,"")</f>
        <v>33254.5945333633</v>
      </c>
      <c r="E151" s="3517">
        <v>0</v>
      </c>
      <c r="F151" s="3516">
        <f t="array" ref="F151">IF(A151&lt;&gt;"",D151+E151,"")</f>
        <v>33254.5945333633</v>
      </c>
      <c r="G151" s="3516">
        <f t="array" ref="G151">IF(A151&lt;&gt;"",F151-H151,0)</f>
        <v>13491.3765564877</v>
      </c>
      <c r="H151" s="3516">
        <f t="array" ref="H151">IF(A151&lt;&gt;"",C151*$D$6/$D$8,0)</f>
        <v>19763.2179768756</v>
      </c>
      <c r="I151" s="3516">
        <f t="array" ref="I151">IF(A151&lt;&gt;"",C151-G151,0)</f>
        <v>3635102.71148209</v>
      </c>
      <c r="J151" s="3516">
        <f t="array" ref="J151">IF(A151&lt;&gt;"",J150+H151,J150)</f>
        <v>3166123.32116477</v>
      </c>
      <c r="K151" s="666"/>
      <c r="L151" s="1167" t="n"/>
      <c r="M151" s="1167" t="n"/>
      <c r="N151" s="1168" t="n"/>
      <c r="O151" s="1168" t="n"/>
      <c r="P151" s="1168" t="n"/>
      <c r="Q151" s="1168" t="n"/>
      <c r="R151" s="1168" t="n"/>
      <c r="S151" s="1168" t="n"/>
      <c r="T151" s="1168" t="n"/>
      <c r="U151" s="1168" t="n"/>
      <c r="V151" s="1168" t="n"/>
      <c r="W151" s="1168" t="n"/>
      <c r="X151" s="1168" t="n"/>
      <c r="Y151" s="1167" t="n"/>
    </row>
    <row r="152" s="3154" customFormat="1" ht="12.75" customHeight="1">
      <c r="A152" s="1117">
        <f t="array" ref="A152">IF(I151&gt;0.5,A151+1,"")</f>
        <v>135</v>
      </c>
      <c r="B152" s="3515">
        <f t="array" ref="B152">IF(A152&lt;&gt;"",DATE(YEAR($D$9),MONTH($D$9)+A152,DAY($D$9)),"")</f>
        <v>50861</v>
      </c>
      <c r="C152" s="3516">
        <f t="array" ref="C152">IF(A152&lt;&gt;"",I151,"")</f>
        <v>3635102.71148209</v>
      </c>
      <c r="D152" s="3516">
        <f t="array" ref="D152">IF(A152&lt;&gt;"",$H$5,"")</f>
        <v>33254.5945333633</v>
      </c>
      <c r="E152" s="3517">
        <v>0</v>
      </c>
      <c r="F152" s="3516">
        <f t="array" ref="F152">IF(A152&lt;&gt;"",D152+E152,"")</f>
        <v>33254.5945333633</v>
      </c>
      <c r="G152" s="3516">
        <f t="array" ref="G152">IF(A152&lt;&gt;"",F152-H152,0)</f>
        <v>13564.4548461687</v>
      </c>
      <c r="H152" s="3516">
        <f t="array" ref="H152">IF(A152&lt;&gt;"",C152*$D$6/$D$8,0)</f>
        <v>19690.1396871946</v>
      </c>
      <c r="I152" s="3516">
        <f t="array" ref="I152">IF(A152&lt;&gt;"",C152-G152,0)</f>
        <v>3621538.25663592</v>
      </c>
      <c r="J152" s="3516">
        <f t="array" ref="J152">IF(A152&lt;&gt;"",J151+H152,J151)</f>
        <v>3185813.46085197</v>
      </c>
      <c r="K152" s="666"/>
      <c r="L152" s="1167" t="n"/>
      <c r="M152" s="1167" t="n"/>
      <c r="N152" s="1168" t="n"/>
      <c r="O152" s="1168" t="n"/>
      <c r="P152" s="1168" t="n"/>
      <c r="Q152" s="1168" t="n"/>
      <c r="R152" s="1168" t="n"/>
      <c r="S152" s="1168" t="n"/>
      <c r="T152" s="1168" t="n"/>
      <c r="U152" s="1168" t="n"/>
      <c r="V152" s="1168" t="n"/>
      <c r="W152" s="1168" t="n"/>
      <c r="X152" s="1168" t="n"/>
      <c r="Y152" s="1167" t="n"/>
    </row>
    <row r="153" s="3154" customFormat="1" ht="12.75" customHeight="1">
      <c r="A153" s="1117">
        <f t="array" ref="A153">IF(I152&gt;0.5,A152+1,"")</f>
        <v>136</v>
      </c>
      <c r="B153" s="3515">
        <f t="array" ref="B153">IF(A153&lt;&gt;"",DATE(YEAR($D$9),MONTH($D$9)+A153,DAY($D$9)),"")</f>
        <v>50891</v>
      </c>
      <c r="C153" s="3516">
        <f t="array" ref="C153">IF(A153&lt;&gt;"",I152,"")</f>
        <v>3621538.25663592</v>
      </c>
      <c r="D153" s="3516">
        <f t="array" ref="D153">IF(A153&lt;&gt;"",$H$5,"")</f>
        <v>33254.5945333633</v>
      </c>
      <c r="E153" s="3517">
        <v>0</v>
      </c>
      <c r="F153" s="3516">
        <f t="array" ref="F153">IF(A153&lt;&gt;"",D153+E153,"")</f>
        <v>33254.5945333633</v>
      </c>
      <c r="G153" s="3516">
        <f t="array" ref="G153">IF(A153&lt;&gt;"",F153-H153,0)</f>
        <v>13637.9289765855</v>
      </c>
      <c r="H153" s="3516">
        <f t="array" ref="H153">IF(A153&lt;&gt;"",C153*$D$6/$D$8,0)</f>
        <v>19616.6655567779</v>
      </c>
      <c r="I153" s="3516">
        <f t="array" ref="I153">IF(A153&lt;&gt;"",C153-G153,0)</f>
        <v>3607900.32765933</v>
      </c>
      <c r="J153" s="3516">
        <f t="array" ref="J153">IF(A153&lt;&gt;"",J152+H153,J152)</f>
        <v>3205430.12640874</v>
      </c>
      <c r="K153" s="666"/>
      <c r="L153" s="1167" t="n"/>
      <c r="M153" s="1167" t="n"/>
      <c r="N153" s="1168" t="n"/>
      <c r="O153" s="1168" t="n"/>
      <c r="P153" s="1168" t="n"/>
      <c r="Q153" s="1168" t="n"/>
      <c r="R153" s="1168" t="n"/>
      <c r="S153" s="1168" t="n"/>
      <c r="T153" s="1168" t="n"/>
      <c r="U153" s="1168" t="n"/>
      <c r="V153" s="1168" t="n"/>
      <c r="W153" s="1168" t="n"/>
      <c r="X153" s="1168" t="n"/>
      <c r="Y153" s="1167" t="n"/>
    </row>
    <row r="154" s="3154" customFormat="1" ht="12.75" customHeight="1">
      <c r="A154" s="1117">
        <f t="array" ref="A154">IF(I153&gt;0.5,A153+1,"")</f>
        <v>137</v>
      </c>
      <c r="B154" s="3515">
        <f t="array" ref="B154">IF(A154&lt;&gt;"",DATE(YEAR($D$9),MONTH($D$9)+A154,DAY($D$9)),"")</f>
        <v>50922</v>
      </c>
      <c r="C154" s="3516">
        <f t="array" ref="C154">IF(A154&lt;&gt;"",I153,"")</f>
        <v>3607900.32765933</v>
      </c>
      <c r="D154" s="3516">
        <f t="array" ref="D154">IF(A154&lt;&gt;"",$H$5,"")</f>
        <v>33254.5945333633</v>
      </c>
      <c r="E154" s="3517">
        <v>0</v>
      </c>
      <c r="F154" s="3516">
        <f t="array" ref="F154">IF(A154&lt;&gt;"",D154+E154,"")</f>
        <v>33254.5945333633</v>
      </c>
      <c r="G154" s="3516">
        <f t="array" ref="G154">IF(A154&lt;&gt;"",F154-H154,0)</f>
        <v>13711.8010918753</v>
      </c>
      <c r="H154" s="3516">
        <f t="array" ref="H154">IF(A154&lt;&gt;"",C154*$D$6/$D$8,0)</f>
        <v>19542.7934414881</v>
      </c>
      <c r="I154" s="3516">
        <f t="array" ref="I154">IF(A154&lt;&gt;"",C154-G154,0)</f>
        <v>3594188.52656746</v>
      </c>
      <c r="J154" s="3516">
        <f t="array" ref="J154">IF(A154&lt;&gt;"",J153+H154,J153)</f>
        <v>3224972.91985023</v>
      </c>
      <c r="K154" s="666"/>
      <c r="L154" s="1167" t="n"/>
      <c r="M154" s="1167" t="n"/>
      <c r="N154" s="1168" t="n"/>
      <c r="O154" s="1168" t="n"/>
      <c r="P154" s="1168" t="n"/>
      <c r="Q154" s="1168" t="n"/>
      <c r="R154" s="1168" t="n"/>
      <c r="S154" s="1168" t="n"/>
      <c r="T154" s="1168" t="n"/>
      <c r="U154" s="1168" t="n"/>
      <c r="V154" s="1168" t="n"/>
      <c r="W154" s="1168" t="n"/>
      <c r="X154" s="1168" t="n"/>
      <c r="Y154" s="1167" t="n"/>
    </row>
    <row r="155" s="3154" customFormat="1" ht="12.75" customHeight="1">
      <c r="A155" s="1117">
        <f t="array" ref="A155">IF(I154&gt;0.5,A154+1,"")</f>
        <v>138</v>
      </c>
      <c r="B155" s="3515">
        <f t="array" ref="B155">IF(A155&lt;&gt;"",DATE(YEAR($D$9),MONTH($D$9)+A155,DAY($D$9)),"")</f>
        <v>50952</v>
      </c>
      <c r="C155" s="3516">
        <f t="array" ref="C155">IF(A155&lt;&gt;"",I154,"")</f>
        <v>3594188.52656746</v>
      </c>
      <c r="D155" s="3516">
        <f t="array" ref="D155">IF(A155&lt;&gt;"",$H$5,"")</f>
        <v>33254.5945333633</v>
      </c>
      <c r="E155" s="3517">
        <v>0</v>
      </c>
      <c r="F155" s="3516">
        <f t="array" ref="F155">IF(A155&lt;&gt;"",D155+E155,"")</f>
        <v>33254.5945333633</v>
      </c>
      <c r="G155" s="3516">
        <f t="array" ref="G155">IF(A155&lt;&gt;"",F155-H155,0)</f>
        <v>13786.0733477896</v>
      </c>
      <c r="H155" s="3516">
        <f t="array" ref="H155">IF(A155&lt;&gt;"",C155*$D$6/$D$8,0)</f>
        <v>19468.5211855737</v>
      </c>
      <c r="I155" s="3516">
        <f t="array" ref="I155">IF(A155&lt;&gt;"",C155-G155,0)</f>
        <v>3580402.45321967</v>
      </c>
      <c r="J155" s="3516">
        <f t="array" ref="J155">IF(A155&lt;&gt;"",J154+H155,J154)</f>
        <v>3244441.4410358</v>
      </c>
      <c r="K155" s="666"/>
      <c r="L155" s="1167" t="n"/>
      <c r="M155" s="1167" t="n"/>
      <c r="N155" s="1168" t="n"/>
      <c r="O155" s="1168" t="n"/>
      <c r="P155" s="1168" t="n"/>
      <c r="Q155" s="1168" t="n"/>
      <c r="R155" s="1168" t="n"/>
      <c r="S155" s="1168" t="n"/>
      <c r="T155" s="1168" t="n"/>
      <c r="U155" s="1168" t="n"/>
      <c r="V155" s="1168" t="n"/>
      <c r="W155" s="1168" t="n"/>
      <c r="X155" s="1168" t="n"/>
      <c r="Y155" s="1167" t="n"/>
    </row>
    <row r="156" s="3154" customFormat="1" ht="12.75" customHeight="1">
      <c r="A156" s="1117">
        <f t="array" ref="A156">IF(I155&gt;0.5,A155+1,"")</f>
        <v>139</v>
      </c>
      <c r="B156" s="3515">
        <f t="array" ref="B156">IF(A156&lt;&gt;"",DATE(YEAR($D$9),MONTH($D$9)+A156,DAY($D$9)),"")</f>
        <v>50983</v>
      </c>
      <c r="C156" s="3516">
        <f t="array" ref="C156">IF(A156&lt;&gt;"",I155,"")</f>
        <v>3580402.45321967</v>
      </c>
      <c r="D156" s="3516">
        <f t="array" ref="D156">IF(A156&lt;&gt;"",$H$5,"")</f>
        <v>33254.5945333633</v>
      </c>
      <c r="E156" s="3517">
        <v>0</v>
      </c>
      <c r="F156" s="3516">
        <f t="array" ref="F156">IF(A156&lt;&gt;"",D156+E156,"")</f>
        <v>33254.5945333633</v>
      </c>
      <c r="G156" s="3516">
        <f t="array" ref="G156">IF(A156&lt;&gt;"",F156-H156,0)</f>
        <v>13860.7479117568</v>
      </c>
      <c r="H156" s="3516">
        <f t="array" ref="H156">IF(A156&lt;&gt;"",C156*$D$6/$D$8,0)</f>
        <v>19393.8466216065</v>
      </c>
      <c r="I156" s="3516">
        <f t="array" ref="I156">IF(A156&lt;&gt;"",C156-G156,0)</f>
        <v>3566541.70530791</v>
      </c>
      <c r="J156" s="3516">
        <f t="array" ref="J156">IF(A156&lt;&gt;"",J155+H156,J155)</f>
        <v>3263835.28765741</v>
      </c>
      <c r="K156" s="666"/>
      <c r="L156" s="1167" t="n"/>
      <c r="M156" s="1167" t="n"/>
      <c r="N156" s="1168" t="n"/>
      <c r="O156" s="1168" t="n"/>
      <c r="P156" s="1168" t="n"/>
      <c r="Q156" s="1168" t="n"/>
      <c r="R156" s="1168" t="n"/>
      <c r="S156" s="1168" t="n"/>
      <c r="T156" s="1168" t="n"/>
      <c r="U156" s="1168" t="n"/>
      <c r="V156" s="1168" t="n"/>
      <c r="W156" s="1168" t="n"/>
      <c r="X156" s="1168" t="n"/>
      <c r="Y156" s="1167" t="n"/>
    </row>
    <row r="157" s="3154" customFormat="1" ht="12.75" customHeight="1">
      <c r="A157" s="1117">
        <f t="array" ref="A157">IF(I156&gt;0.5,A156+1,"")</f>
        <v>140</v>
      </c>
      <c r="B157" s="3515">
        <f t="array" ref="B157">IF(A157&lt;&gt;"",DATE(YEAR($D$9),MONTH($D$9)+A157,DAY($D$9)),"")</f>
        <v>51014</v>
      </c>
      <c r="C157" s="3516">
        <f t="array" ref="C157">IF(A157&lt;&gt;"",I156,"")</f>
        <v>3566541.70530791</v>
      </c>
      <c r="D157" s="3516">
        <f t="array" ref="D157">IF(A157&lt;&gt;"",$H$5,"")</f>
        <v>33254.5945333633</v>
      </c>
      <c r="E157" s="3517">
        <v>0</v>
      </c>
      <c r="F157" s="3516">
        <f t="array" ref="F157">IF(A157&lt;&gt;"",D157+E157,"")</f>
        <v>33254.5945333633</v>
      </c>
      <c r="G157" s="3516">
        <f t="array" ref="G157">IF(A157&lt;&gt;"",F157-H157,0)</f>
        <v>13935.8269629455</v>
      </c>
      <c r="H157" s="3516">
        <f t="array" ref="H157">IF(A157&lt;&gt;"",C157*$D$6/$D$8,0)</f>
        <v>19318.7675704179</v>
      </c>
      <c r="I157" s="3516">
        <f t="array" ref="I157">IF(A157&lt;&gt;"",C157-G157,0)</f>
        <v>3552605.87834497</v>
      </c>
      <c r="J157" s="3516">
        <f t="array" ref="J157">IF(A157&lt;&gt;"",J156+H157,J156)</f>
        <v>3283154.05522783</v>
      </c>
      <c r="K157" s="666"/>
      <c r="L157" s="1167" t="n"/>
      <c r="M157" s="1167" t="n"/>
      <c r="N157" s="1168" t="n"/>
      <c r="O157" s="1168" t="n"/>
      <c r="P157" s="1168" t="n"/>
      <c r="Q157" s="1168" t="n"/>
      <c r="R157" s="1168" t="n"/>
      <c r="S157" s="1168" t="n"/>
      <c r="T157" s="1168" t="n"/>
      <c r="U157" s="1168" t="n"/>
      <c r="V157" s="1168" t="n"/>
      <c r="W157" s="1168" t="n"/>
      <c r="X157" s="1168" t="n"/>
      <c r="Y157" s="1167" t="n"/>
    </row>
    <row r="158" s="3154" customFormat="1" ht="12.75" customHeight="1">
      <c r="A158" s="1117">
        <f t="array" ref="A158">IF(I157&gt;0.5,A157+1,"")</f>
        <v>141</v>
      </c>
      <c r="B158" s="3515">
        <f t="array" ref="B158">IF(A158&lt;&gt;"",DATE(YEAR($D$9),MONTH($D$9)+A158,DAY($D$9)),"")</f>
        <v>51044</v>
      </c>
      <c r="C158" s="3516">
        <f t="array" ref="C158">IF(A158&lt;&gt;"",I157,"")</f>
        <v>3552605.87834497</v>
      </c>
      <c r="D158" s="3516">
        <f t="array" ref="D158">IF(A158&lt;&gt;"",$H$5,"")</f>
        <v>33254.5945333633</v>
      </c>
      <c r="E158" s="3517">
        <v>0</v>
      </c>
      <c r="F158" s="3516">
        <f t="array" ref="F158">IF(A158&lt;&gt;"",D158+E158,"")</f>
        <v>33254.5945333633</v>
      </c>
      <c r="G158" s="3516">
        <f t="array" ref="G158">IF(A158&lt;&gt;"",F158-H158,0)</f>
        <v>14011.3126923281</v>
      </c>
      <c r="H158" s="3516">
        <f t="array" ref="H158">IF(A158&lt;&gt;"",C158*$D$6/$D$8,0)</f>
        <v>19243.2818410352</v>
      </c>
      <c r="I158" s="3516">
        <f t="array" ref="I158">IF(A158&lt;&gt;"",C158-G158,0)</f>
        <v>3538594.56565264</v>
      </c>
      <c r="J158" s="3516">
        <f t="array" ref="J158">IF(A158&lt;&gt;"",J157+H158,J157)</f>
        <v>3302397.33706886</v>
      </c>
      <c r="K158" s="666"/>
      <c r="L158" s="1167" t="n"/>
      <c r="M158" s="1167" t="n"/>
      <c r="N158" s="1168" t="n"/>
      <c r="O158" s="1168" t="n"/>
      <c r="P158" s="1168" t="n"/>
      <c r="Q158" s="1168" t="n"/>
      <c r="R158" s="1168" t="n"/>
      <c r="S158" s="1168" t="n"/>
      <c r="T158" s="1168" t="n"/>
      <c r="U158" s="1168" t="n"/>
      <c r="V158" s="1168" t="n"/>
      <c r="W158" s="1168" t="n"/>
      <c r="X158" s="1168" t="n"/>
      <c r="Y158" s="1167" t="n"/>
    </row>
    <row r="159" s="3154" customFormat="1" ht="12.75" customHeight="1">
      <c r="A159" s="1117">
        <f t="array" ref="A159">IF(I158&gt;0.5,A158+1,"")</f>
        <v>142</v>
      </c>
      <c r="B159" s="3515">
        <f t="array" ref="B159">IF(A159&lt;&gt;"",DATE(YEAR($D$9),MONTH($D$9)+A159,DAY($D$9)),"")</f>
        <v>51075</v>
      </c>
      <c r="C159" s="3516">
        <f t="array" ref="C159">IF(A159&lt;&gt;"",I158,"")</f>
        <v>3538594.56565264</v>
      </c>
      <c r="D159" s="3516">
        <f t="array" ref="D159">IF(A159&lt;&gt;"",$H$5,"")</f>
        <v>33254.5945333633</v>
      </c>
      <c r="E159" s="3517">
        <v>0</v>
      </c>
      <c r="F159" s="3516">
        <f t="array" ref="F159">IF(A159&lt;&gt;"",D159+E159,"")</f>
        <v>33254.5945333633</v>
      </c>
      <c r="G159" s="3516">
        <f t="array" ref="G159">IF(A159&lt;&gt;"",F159-H159,0)</f>
        <v>14087.2073027449</v>
      </c>
      <c r="H159" s="3516">
        <f t="array" ref="H159">IF(A159&lt;&gt;"",C159*$D$6/$D$8,0)</f>
        <v>19167.3872306185</v>
      </c>
      <c r="I159" s="3516">
        <f t="array" ref="I159">IF(A159&lt;&gt;"",C159-G159,0)</f>
        <v>3524507.35834989</v>
      </c>
      <c r="J159" s="3516">
        <f t="array" ref="J159">IF(A159&lt;&gt;"",J158+H159,J158)</f>
        <v>3321564.72429948</v>
      </c>
      <c r="K159" s="666"/>
      <c r="L159" s="1167" t="n"/>
      <c r="M159" s="1167" t="n"/>
      <c r="N159" s="1168" t="n"/>
      <c r="O159" s="1168" t="n"/>
      <c r="P159" s="1168" t="n"/>
      <c r="Q159" s="1168" t="n"/>
      <c r="R159" s="1168" t="n"/>
      <c r="S159" s="1168" t="n"/>
      <c r="T159" s="1168" t="n"/>
      <c r="U159" s="1168" t="n"/>
      <c r="V159" s="1168" t="n"/>
      <c r="W159" s="1168" t="n"/>
      <c r="X159" s="1168" t="n"/>
      <c r="Y159" s="1167" t="n"/>
    </row>
    <row r="160" s="3154" customFormat="1" ht="13.5" customHeight="1">
      <c r="A160" s="1132">
        <f t="array" ref="A160">IF(I159&gt;0.5,A159+1,"")</f>
        <v>143</v>
      </c>
      <c r="B160" s="3519">
        <f t="array" ref="B160">IF(A160&lt;&gt;"",DATE(YEAR($D$9),MONTH($D$9)+A160,DAY($D$9)),"")</f>
        <v>51105</v>
      </c>
      <c r="C160" s="3520">
        <f t="array" ref="C160">IF(A160&lt;&gt;"",I159,"")</f>
        <v>3524507.35834989</v>
      </c>
      <c r="D160" s="3520">
        <f t="array" ref="D160">IF(A160&lt;&gt;"",$H$5,"")</f>
        <v>33254.5945333633</v>
      </c>
      <c r="E160" s="3521">
        <v>0</v>
      </c>
      <c r="F160" s="3520">
        <f t="array" ref="F160">IF(A160&lt;&gt;"",D160+E160,"")</f>
        <v>33254.5945333633</v>
      </c>
      <c r="G160" s="3520">
        <f t="array" ref="G160">IF(A160&lt;&gt;"",F160-H160,0)</f>
        <v>14163.5130089681</v>
      </c>
      <c r="H160" s="3520">
        <f t="array" ref="H160">IF(A160&lt;&gt;"",C160*$D$6/$D$8,0)</f>
        <v>19091.0815243952</v>
      </c>
      <c r="I160" s="3520">
        <f t="array" ref="I160">IF(A160&lt;&gt;"",C160-G160,0)</f>
        <v>3510343.84534092</v>
      </c>
      <c r="J160" s="3520">
        <f t="array" ref="J160">IF(A160&lt;&gt;"",J159+H160,J159)</f>
        <v>3340655.80582388</v>
      </c>
      <c r="K160" s="666"/>
      <c r="L160" s="1167" t="n"/>
      <c r="M160" s="1167" t="n"/>
      <c r="N160" s="1168" t="n"/>
      <c r="O160" s="1168" t="n"/>
      <c r="P160" s="1168" t="n"/>
      <c r="Q160" s="1168" t="n"/>
      <c r="R160" s="1168" t="n"/>
      <c r="S160" s="1168" t="n"/>
      <c r="T160" s="1168" t="n"/>
      <c r="U160" s="1168" t="n"/>
      <c r="V160" s="1168" t="n"/>
      <c r="W160" s="1168" t="n"/>
      <c r="X160" s="1168" t="n"/>
      <c r="Y160" s="1167" t="n"/>
    </row>
    <row r="161" s="3154" customFormat="1" ht="13.5" customHeight="1">
      <c r="A161" s="1141">
        <f t="array" ref="A161">IF(I160&gt;0.5,A160+1,"")</f>
        <v>144</v>
      </c>
      <c r="B161" s="3523">
        <f t="array" ref="B161">IF(A161&lt;&gt;"",DATE(YEAR($D$9),MONTH($D$9)+A161,DAY($D$9)),"")</f>
        <v>51136</v>
      </c>
      <c r="C161" s="3524">
        <f t="array" ref="C161">IF(A161&lt;&gt;"",I160,"")</f>
        <v>3510343.84534092</v>
      </c>
      <c r="D161" s="3524">
        <f t="array" ref="D161">IF(A161&lt;&gt;"",$H$5,"")</f>
        <v>33254.5945333633</v>
      </c>
      <c r="E161" s="3525">
        <v>0</v>
      </c>
      <c r="F161" s="3524">
        <f t="array" ref="F161">IF(A161&lt;&gt;"",D161+E161,"")</f>
        <v>33254.5945333633</v>
      </c>
      <c r="G161" s="3524">
        <f t="array" ref="G161">IF(A161&lt;&gt;"",F161-H161,0)</f>
        <v>14240.2320377667</v>
      </c>
      <c r="H161" s="3526">
        <f t="array" ref="H161">IF(A161&lt;&gt;"",C161*$D$6/$D$8,0)</f>
        <v>19014.3624955967</v>
      </c>
      <c r="I161" s="3527">
        <f t="array" ref="I161">IF(A161&lt;&gt;"",C161-G161,0)</f>
        <v>3496103.61330316</v>
      </c>
      <c r="J161" s="3527">
        <f t="array" ref="J161">IF(A161&lt;&gt;"",J160+H161,J160)</f>
        <v>3359670.16831947</v>
      </c>
      <c r="K161" s="793">
        <v>165909.166710374</v>
      </c>
      <c r="L161" s="1167" t="n"/>
      <c r="M161" s="1167" t="n"/>
      <c r="N161" s="1168" t="n"/>
      <c r="O161" s="1168" t="n"/>
      <c r="P161" s="1168" t="n"/>
      <c r="Q161" s="1168" t="n"/>
      <c r="R161" s="1168" t="n"/>
      <c r="S161" s="1168" t="n"/>
      <c r="T161" s="1168" t="n"/>
      <c r="U161" s="1168" t="n"/>
      <c r="V161" s="1168" t="n"/>
      <c r="W161" s="1168" t="n"/>
      <c r="X161" s="1168" t="n"/>
      <c r="Y161" s="1167" t="n"/>
    </row>
    <row r="162" s="3154" customFormat="1" ht="12.75" customHeight="1">
      <c r="A162" s="1149">
        <f t="array" ref="A162">IF(I161&gt;0.5,A161+1,"")</f>
        <v>145</v>
      </c>
      <c r="B162" s="3530">
        <f t="array" ref="B162">IF(A162&lt;&gt;"",DATE(YEAR($D$9),MONTH($D$9)+A162,DAY($D$9)),"")</f>
        <v>51167</v>
      </c>
      <c r="C162" s="3531">
        <f t="array" ref="C162">IF(A162&lt;&gt;"",I161,"")</f>
        <v>3496103.61330316</v>
      </c>
      <c r="D162" s="3531">
        <f t="array" ref="D162">IF(A162&lt;&gt;"",$H$5,"")</f>
        <v>33254.5945333633</v>
      </c>
      <c r="E162" s="3532">
        <v>0</v>
      </c>
      <c r="F162" s="3531">
        <f t="array" ref="F162">IF(A162&lt;&gt;"",D162+E162,"")</f>
        <v>33254.5945333633</v>
      </c>
      <c r="G162" s="3531">
        <f t="array" ref="G162">IF(A162&lt;&gt;"",F162-H162,0)</f>
        <v>14317.3666279712</v>
      </c>
      <c r="H162" s="3531">
        <f t="array" ref="H162">IF(A162&lt;&gt;"",C162*$D$6/$D$8,0)</f>
        <v>18937.2279053921</v>
      </c>
      <c r="I162" s="3531">
        <f t="array" ref="I162">IF(A162&lt;&gt;"",C162-G162,0)</f>
        <v>3481786.24667519</v>
      </c>
      <c r="J162" s="3531">
        <f t="array" ref="J162">IF(A162&lt;&gt;"",J161+H162,J161)</f>
        <v>3378607.39622487</v>
      </c>
      <c r="K162" s="666"/>
      <c r="L162" s="1167" t="n"/>
      <c r="M162" s="1167" t="n"/>
      <c r="N162" s="1168" t="n"/>
      <c r="O162" s="1168" t="n"/>
      <c r="P162" s="1168" t="n"/>
      <c r="Q162" s="1168" t="n"/>
      <c r="R162" s="1168" t="n"/>
      <c r="S162" s="1168" t="n"/>
      <c r="T162" s="1168" t="n"/>
      <c r="U162" s="1168" t="n"/>
      <c r="V162" s="1168" t="n"/>
      <c r="W162" s="1168" t="n"/>
      <c r="X162" s="1168" t="n"/>
      <c r="Y162" s="1167" t="n"/>
    </row>
    <row r="163" s="3154" customFormat="1" ht="12.75" customHeight="1">
      <c r="A163" s="1117">
        <f t="array" ref="A163">IF(I162&gt;0.5,A162+1,"")</f>
        <v>146</v>
      </c>
      <c r="B163" s="3515">
        <f t="array" ref="B163">IF(A163&lt;&gt;"",DATE(YEAR($D$9),MONTH($D$9)+A163,DAY($D$9)),"")</f>
        <v>51196</v>
      </c>
      <c r="C163" s="3516">
        <f t="array" ref="C163">IF(A163&lt;&gt;"",I162,"")</f>
        <v>3481786.24667519</v>
      </c>
      <c r="D163" s="3516">
        <f t="array" ref="D163">IF(A163&lt;&gt;"",$H$5,"")</f>
        <v>33254.5945333633</v>
      </c>
      <c r="E163" s="3517">
        <v>0</v>
      </c>
      <c r="F163" s="3516">
        <f t="array" ref="F163">IF(A163&lt;&gt;"",D163+E163,"")</f>
        <v>33254.5945333633</v>
      </c>
      <c r="G163" s="3516">
        <f t="array" ref="G163">IF(A163&lt;&gt;"",F163-H163,0)</f>
        <v>14394.9190305394</v>
      </c>
      <c r="H163" s="3516">
        <f t="array" ref="H163">IF(A163&lt;&gt;"",C163*$D$6/$D$8,0)</f>
        <v>18859.6755028239</v>
      </c>
      <c r="I163" s="3516">
        <f t="array" ref="I163">IF(A163&lt;&gt;"",C163-G163,0)</f>
        <v>3467391.32764465</v>
      </c>
      <c r="J163" s="3516">
        <f t="array" ref="J163">IF(A163&lt;&gt;"",J162+H163,J162)</f>
        <v>3397467.07172769</v>
      </c>
      <c r="K163" s="666"/>
      <c r="L163" s="1167" t="n"/>
      <c r="M163" s="1167" t="n"/>
      <c r="N163" s="1168" t="n"/>
      <c r="O163" s="1168" t="n"/>
      <c r="P163" s="1168" t="n"/>
      <c r="Q163" s="1168" t="n"/>
      <c r="R163" s="1168" t="n"/>
      <c r="S163" s="1168" t="n"/>
      <c r="T163" s="1168" t="n"/>
      <c r="U163" s="1168" t="n"/>
      <c r="V163" s="1168" t="n"/>
      <c r="W163" s="1168" t="n"/>
      <c r="X163" s="1168" t="n"/>
      <c r="Y163" s="1167" t="n"/>
    </row>
    <row r="164" s="3154" customFormat="1" ht="12.75" customHeight="1">
      <c r="A164" s="1117">
        <f t="array" ref="A164">IF(I163&gt;0.5,A163+1,"")</f>
        <v>147</v>
      </c>
      <c r="B164" s="3515">
        <f t="array" ref="B164">IF(A164&lt;&gt;"",DATE(YEAR($D$9),MONTH($D$9)+A164,DAY($D$9)),"")</f>
        <v>51227</v>
      </c>
      <c r="C164" s="3516">
        <f t="array" ref="C164">IF(A164&lt;&gt;"",I163,"")</f>
        <v>3467391.32764465</v>
      </c>
      <c r="D164" s="3516">
        <f t="array" ref="D164">IF(A164&lt;&gt;"",$H$5,"")</f>
        <v>33254.5945333633</v>
      </c>
      <c r="E164" s="3517">
        <v>0</v>
      </c>
      <c r="F164" s="3516">
        <f t="array" ref="F164">IF(A164&lt;&gt;"",D164+E164,"")</f>
        <v>33254.5945333633</v>
      </c>
      <c r="G164" s="3516">
        <f t="array" ref="G164">IF(A164&lt;&gt;"",F164-H164,0)</f>
        <v>14472.8915086215</v>
      </c>
      <c r="H164" s="3516">
        <f t="array" ref="H164">IF(A164&lt;&gt;"",C164*$D$6/$D$8,0)</f>
        <v>18781.7030247418</v>
      </c>
      <c r="I164" s="3516">
        <f t="array" ref="I164">IF(A164&lt;&gt;"",C164-G164,0)</f>
        <v>3452918.43613603</v>
      </c>
      <c r="J164" s="3516">
        <f t="array" ref="J164">IF(A164&lt;&gt;"",J163+H164,J163)</f>
        <v>3416248.77475243</v>
      </c>
      <c r="K164" s="666"/>
      <c r="L164" s="1167" t="n"/>
      <c r="M164" s="1167" t="n"/>
      <c r="N164" s="1168" t="n"/>
      <c r="O164" s="1168" t="n"/>
      <c r="P164" s="1168" t="n"/>
      <c r="Q164" s="1168" t="n"/>
      <c r="R164" s="1168" t="n"/>
      <c r="S164" s="1168" t="n"/>
      <c r="T164" s="1168" t="n"/>
      <c r="U164" s="1168" t="n"/>
      <c r="V164" s="1168" t="n"/>
      <c r="W164" s="1168" t="n"/>
      <c r="X164" s="1168" t="n"/>
      <c r="Y164" s="1167" t="n"/>
    </row>
    <row r="165" s="3154" customFormat="1" ht="12.75" customHeight="1">
      <c r="A165" s="1117">
        <f t="array" ref="A165">IF(I164&gt;0.5,A164+1,"")</f>
        <v>148</v>
      </c>
      <c r="B165" s="3515">
        <f t="array" ref="B165">IF(A165&lt;&gt;"",DATE(YEAR($D$9),MONTH($D$9)+A165,DAY($D$9)),"")</f>
        <v>51257</v>
      </c>
      <c r="C165" s="3516">
        <f t="array" ref="C165">IF(A165&lt;&gt;"",I164,"")</f>
        <v>3452918.43613603</v>
      </c>
      <c r="D165" s="3516">
        <f t="array" ref="D165">IF(A165&lt;&gt;"",$H$5,"")</f>
        <v>33254.5945333633</v>
      </c>
      <c r="E165" s="3517">
        <v>0</v>
      </c>
      <c r="F165" s="3516">
        <f t="array" ref="F165">IF(A165&lt;&gt;"",D165+E165,"")</f>
        <v>33254.5945333633</v>
      </c>
      <c r="G165" s="3516">
        <f t="array" ref="G165">IF(A165&lt;&gt;"",F165-H165,0)</f>
        <v>14551.2863376265</v>
      </c>
      <c r="H165" s="3516">
        <f t="array" ref="H165">IF(A165&lt;&gt;"",C165*$D$6/$D$8,0)</f>
        <v>18703.3081957368</v>
      </c>
      <c r="I165" s="3516">
        <f t="array" ref="I165">IF(A165&lt;&gt;"",C165-G165,0)</f>
        <v>3438367.1497984</v>
      </c>
      <c r="J165" s="3516">
        <f t="array" ref="J165">IF(A165&lt;&gt;"",J164+H165,J164)</f>
        <v>3434952.08294817</v>
      </c>
      <c r="K165" s="666"/>
      <c r="L165" s="1167" t="n"/>
      <c r="M165" s="1167" t="n"/>
      <c r="N165" s="1168" t="n"/>
      <c r="O165" s="1168" t="n"/>
      <c r="P165" s="1168" t="n"/>
      <c r="Q165" s="1168" t="n"/>
      <c r="R165" s="1168" t="n"/>
      <c r="S165" s="1168" t="n"/>
      <c r="T165" s="1168" t="n"/>
      <c r="U165" s="1168" t="n"/>
      <c r="V165" s="1168" t="n"/>
      <c r="W165" s="1168" t="n"/>
      <c r="X165" s="1168" t="n"/>
      <c r="Y165" s="1167" t="n"/>
    </row>
    <row r="166" s="3154" customFormat="1" ht="12.75" customHeight="1">
      <c r="A166" s="1117">
        <f t="array" ref="A166">IF(I165&gt;0.5,A165+1,"")</f>
        <v>149</v>
      </c>
      <c r="B166" s="3515">
        <f t="array" ref="B166">IF(A166&lt;&gt;"",DATE(YEAR($D$9),MONTH($D$9)+A166,DAY($D$9)),"")</f>
        <v>51288</v>
      </c>
      <c r="C166" s="3516">
        <f t="array" ref="C166">IF(A166&lt;&gt;"",I165,"")</f>
        <v>3438367.1497984</v>
      </c>
      <c r="D166" s="3516">
        <f t="array" ref="D166">IF(A166&lt;&gt;"",$H$5,"")</f>
        <v>33254.5945333633</v>
      </c>
      <c r="E166" s="3517">
        <v>0</v>
      </c>
      <c r="F166" s="3516">
        <f t="array" ref="F166">IF(A166&lt;&gt;"",D166+E166,"")</f>
        <v>33254.5945333633</v>
      </c>
      <c r="G166" s="3516">
        <f t="array" ref="G166">IF(A166&lt;&gt;"",F166-H166,0)</f>
        <v>14630.1058052887</v>
      </c>
      <c r="H166" s="3516">
        <f t="array" ref="H166">IF(A166&lt;&gt;"",C166*$D$6/$D$8,0)</f>
        <v>18624.4887280747</v>
      </c>
      <c r="I166" s="3516">
        <f t="array" ref="I166">IF(A166&lt;&gt;"",C166-G166,0)</f>
        <v>3423737.04399311</v>
      </c>
      <c r="J166" s="3516">
        <f t="array" ref="J166">IF(A166&lt;&gt;"",J165+H166,J165)</f>
        <v>3453576.57167624</v>
      </c>
      <c r="K166" s="666"/>
      <c r="L166" s="1167" t="n"/>
      <c r="M166" s="1167" t="n"/>
      <c r="N166" s="1168" t="n"/>
      <c r="O166" s="1168" t="n"/>
      <c r="P166" s="1168" t="n"/>
      <c r="Q166" s="1168" t="n"/>
      <c r="R166" s="1168" t="n"/>
      <c r="S166" s="1168" t="n"/>
      <c r="T166" s="1168" t="n"/>
      <c r="U166" s="1168" t="n"/>
      <c r="V166" s="1168" t="n"/>
      <c r="W166" s="1168" t="n"/>
      <c r="X166" s="1168" t="n"/>
      <c r="Y166" s="1167" t="n"/>
    </row>
    <row r="167" s="3154" customFormat="1" ht="12.75" customHeight="1">
      <c r="A167" s="1117">
        <f t="array" ref="A167">IF(I166&gt;0.5,A166+1,"")</f>
        <v>150</v>
      </c>
      <c r="B167" s="3515">
        <f t="array" ref="B167">IF(A167&lt;&gt;"",DATE(YEAR($D$9),MONTH($D$9)+A167,DAY($D$9)),"")</f>
        <v>51318</v>
      </c>
      <c r="C167" s="3516">
        <f t="array" ref="C167">IF(A167&lt;&gt;"",I166,"")</f>
        <v>3423737.04399311</v>
      </c>
      <c r="D167" s="3516">
        <f t="array" ref="D167">IF(A167&lt;&gt;"",$H$5,"")</f>
        <v>33254.5945333633</v>
      </c>
      <c r="E167" s="3517">
        <v>0</v>
      </c>
      <c r="F167" s="3516">
        <f t="array" ref="F167">IF(A167&lt;&gt;"",D167+E167,"")</f>
        <v>33254.5945333633</v>
      </c>
      <c r="G167" s="3516">
        <f t="array" ref="G167">IF(A167&lt;&gt;"",F167-H167,0)</f>
        <v>14709.352211734</v>
      </c>
      <c r="H167" s="3516">
        <f t="array" ref="H167">IF(A167&lt;&gt;"",C167*$D$6/$D$8,0)</f>
        <v>18545.2423216293</v>
      </c>
      <c r="I167" s="3516">
        <f t="array" ref="I167">IF(A167&lt;&gt;"",C167-G167,0)</f>
        <v>3409027.69178138</v>
      </c>
      <c r="J167" s="3516">
        <f t="array" ref="J167">IF(A167&lt;&gt;"",J166+H167,J166)</f>
        <v>3472121.81399787</v>
      </c>
      <c r="K167" s="666"/>
      <c r="L167" s="1167" t="n"/>
      <c r="M167" s="1167" t="n"/>
      <c r="N167" s="1168" t="n"/>
      <c r="O167" s="1168" t="n"/>
      <c r="P167" s="1168" t="n"/>
      <c r="Q167" s="1168" t="n"/>
      <c r="R167" s="1168" t="n"/>
      <c r="S167" s="1168" t="n"/>
      <c r="T167" s="1168" t="n"/>
      <c r="U167" s="1168" t="n"/>
      <c r="V167" s="1168" t="n"/>
      <c r="W167" s="1168" t="n"/>
      <c r="X167" s="1168" t="n"/>
      <c r="Y167" s="1167" t="n"/>
    </row>
    <row r="168" s="3154" customFormat="1" ht="12.75" customHeight="1">
      <c r="A168" s="1117">
        <f t="array" ref="A168">IF(I167&gt;0.5,A167+1,"")</f>
        <v>151</v>
      </c>
      <c r="B168" s="3515">
        <f t="array" ref="B168">IF(A168&lt;&gt;"",DATE(YEAR($D$9),MONTH($D$9)+A168,DAY($D$9)),"")</f>
        <v>51349</v>
      </c>
      <c r="C168" s="3516">
        <f t="array" ref="C168">IF(A168&lt;&gt;"",I167,"")</f>
        <v>3409027.69178138</v>
      </c>
      <c r="D168" s="3516">
        <f t="array" ref="D168">IF(A168&lt;&gt;"",$H$5,"")</f>
        <v>33254.5945333633</v>
      </c>
      <c r="E168" s="3517">
        <v>0</v>
      </c>
      <c r="F168" s="3516">
        <f t="array" ref="F168">IF(A168&lt;&gt;"",D168+E168,"")</f>
        <v>33254.5945333633</v>
      </c>
      <c r="G168" s="3516">
        <f t="array" ref="G168">IF(A168&lt;&gt;"",F168-H168,0)</f>
        <v>14789.0278695476</v>
      </c>
      <c r="H168" s="3516">
        <f t="array" ref="H168">IF(A168&lt;&gt;"",C168*$D$6/$D$8,0)</f>
        <v>18465.5666638158</v>
      </c>
      <c r="I168" s="3516">
        <f t="array" ref="I168">IF(A168&lt;&gt;"",C168-G168,0)</f>
        <v>3394238.66391183</v>
      </c>
      <c r="J168" s="3516">
        <f t="array" ref="J168">IF(A168&lt;&gt;"",J167+H168,J167)</f>
        <v>3490587.38066169</v>
      </c>
      <c r="K168" s="666"/>
      <c r="L168" s="1167" t="n"/>
      <c r="M168" s="1167" t="n"/>
      <c r="N168" s="1168" t="n"/>
      <c r="O168" s="1168" t="n"/>
      <c r="P168" s="1168" t="n"/>
      <c r="Q168" s="1168" t="n"/>
      <c r="R168" s="1168" t="n"/>
      <c r="S168" s="1168" t="n"/>
      <c r="T168" s="1168" t="n"/>
      <c r="U168" s="1168" t="n"/>
      <c r="V168" s="1168" t="n"/>
      <c r="W168" s="1168" t="n"/>
      <c r="X168" s="1168" t="n"/>
      <c r="Y168" s="1167" t="n"/>
    </row>
    <row r="169" s="3154" customFormat="1" ht="12.75" customHeight="1">
      <c r="A169" s="1117">
        <f t="array" ref="A169">IF(I168&gt;0.5,A168+1,"")</f>
        <v>152</v>
      </c>
      <c r="B169" s="3515">
        <f t="array" ref="B169">IF(A169&lt;&gt;"",DATE(YEAR($D$9),MONTH($D$9)+A169,DAY($D$9)),"")</f>
        <v>51380</v>
      </c>
      <c r="C169" s="3516">
        <f t="array" ref="C169">IF(A169&lt;&gt;"",I168,"")</f>
        <v>3394238.66391183</v>
      </c>
      <c r="D169" s="3516">
        <f t="array" ref="D169">IF(A169&lt;&gt;"",$H$5,"")</f>
        <v>33254.5945333633</v>
      </c>
      <c r="E169" s="3517">
        <v>0</v>
      </c>
      <c r="F169" s="3516">
        <f t="array" ref="F169">IF(A169&lt;&gt;"",D169+E169,"")</f>
        <v>33254.5945333633</v>
      </c>
      <c r="G169" s="3516">
        <f t="array" ref="G169">IF(A169&lt;&gt;"",F169-H169,0)</f>
        <v>14869.1351038409</v>
      </c>
      <c r="H169" s="3516">
        <f t="array" ref="H169">IF(A169&lt;&gt;"",C169*$D$6/$D$8,0)</f>
        <v>18385.4594295224</v>
      </c>
      <c r="I169" s="3516">
        <f t="array" ref="I169">IF(A169&lt;&gt;"",C169-G169,0)</f>
        <v>3379369.52880799</v>
      </c>
      <c r="J169" s="3516">
        <f t="array" ref="J169">IF(A169&lt;&gt;"",J168+H169,J168)</f>
        <v>3508972.84009121</v>
      </c>
      <c r="K169" s="666"/>
      <c r="L169" s="1167" t="n"/>
      <c r="M169" s="1167" t="n"/>
      <c r="N169" s="1168" t="n"/>
      <c r="O169" s="1168" t="n"/>
      <c r="P169" s="1168" t="n"/>
      <c r="Q169" s="1168" t="n"/>
      <c r="R169" s="1168" t="n"/>
      <c r="S169" s="1168" t="n"/>
      <c r="T169" s="1168" t="n"/>
      <c r="U169" s="1168" t="n"/>
      <c r="V169" s="1168" t="n"/>
      <c r="W169" s="1168" t="n"/>
      <c r="X169" s="1168" t="n"/>
      <c r="Y169" s="1167" t="n"/>
    </row>
    <row r="170" s="3154" customFormat="1" ht="12.75" customHeight="1">
      <c r="A170" s="1117">
        <f t="array" ref="A170">IF(I169&gt;0.5,A169+1,"")</f>
        <v>153</v>
      </c>
      <c r="B170" s="3515">
        <f t="array" ref="B170">IF(A170&lt;&gt;"",DATE(YEAR($D$9),MONTH($D$9)+A170,DAY($D$9)),"")</f>
        <v>51410</v>
      </c>
      <c r="C170" s="3516">
        <f t="array" ref="C170">IF(A170&lt;&gt;"",I169,"")</f>
        <v>3379369.52880799</v>
      </c>
      <c r="D170" s="3516">
        <f t="array" ref="D170">IF(A170&lt;&gt;"",$H$5,"")</f>
        <v>33254.5945333633</v>
      </c>
      <c r="E170" s="3517">
        <v>0</v>
      </c>
      <c r="F170" s="3516">
        <f t="array" ref="F170">IF(A170&lt;&gt;"",D170+E170,"")</f>
        <v>33254.5945333633</v>
      </c>
      <c r="G170" s="3516">
        <f t="array" ref="G170">IF(A170&lt;&gt;"",F170-H170,0)</f>
        <v>14949.6762523201</v>
      </c>
      <c r="H170" s="3516">
        <f t="array" ref="H170">IF(A170&lt;&gt;"",C170*$D$6/$D$8,0)</f>
        <v>18304.9182810433</v>
      </c>
      <c r="I170" s="3516">
        <f t="array" ref="I170">IF(A170&lt;&gt;"",C170-G170,0)</f>
        <v>3364419.85255567</v>
      </c>
      <c r="J170" s="3516">
        <f t="array" ref="J170">IF(A170&lt;&gt;"",J169+H170,J169)</f>
        <v>3527277.75837225</v>
      </c>
      <c r="K170" s="666"/>
      <c r="L170" s="1167" t="n"/>
      <c r="M170" s="1167" t="n"/>
      <c r="N170" s="1168" t="n"/>
      <c r="O170" s="1168" t="n"/>
      <c r="P170" s="1168" t="n"/>
      <c r="Q170" s="1168" t="n"/>
      <c r="R170" s="1168" t="n"/>
      <c r="S170" s="1168" t="n"/>
      <c r="T170" s="1168" t="n"/>
      <c r="U170" s="1168" t="n"/>
      <c r="V170" s="1168" t="n"/>
      <c r="W170" s="1168" t="n"/>
      <c r="X170" s="1168" t="n"/>
      <c r="Y170" s="1167" t="n"/>
    </row>
    <row r="171" s="3154" customFormat="1" ht="12.75" customHeight="1">
      <c r="A171" s="1117">
        <f t="array" ref="A171">IF(I170&gt;0.5,A170+1,"")</f>
        <v>154</v>
      </c>
      <c r="B171" s="3515">
        <f t="array" ref="B171">IF(A171&lt;&gt;"",DATE(YEAR($D$9),MONTH($D$9)+A171,DAY($D$9)),"")</f>
        <v>51441</v>
      </c>
      <c r="C171" s="3516">
        <f t="array" ref="C171">IF(A171&lt;&gt;"",I170,"")</f>
        <v>3364419.85255567</v>
      </c>
      <c r="D171" s="3516">
        <f t="array" ref="D171">IF(A171&lt;&gt;"",$H$5,"")</f>
        <v>33254.5945333633</v>
      </c>
      <c r="E171" s="3517">
        <v>0</v>
      </c>
      <c r="F171" s="3516">
        <f t="array" ref="F171">IF(A171&lt;&gt;"",D171+E171,"")</f>
        <v>33254.5945333633</v>
      </c>
      <c r="G171" s="3516">
        <f t="array" ref="G171">IF(A171&lt;&gt;"",F171-H171,0)</f>
        <v>15030.6536653535</v>
      </c>
      <c r="H171" s="3516">
        <f t="array" ref="H171">IF(A171&lt;&gt;"",C171*$D$6/$D$8,0)</f>
        <v>18223.9408680099</v>
      </c>
      <c r="I171" s="3516">
        <f t="array" ref="I171">IF(A171&lt;&gt;"",C171-G171,0)</f>
        <v>3349389.19889031</v>
      </c>
      <c r="J171" s="3516">
        <f t="array" ref="J171">IF(A171&lt;&gt;"",J170+H171,J170)</f>
        <v>3545501.69924026</v>
      </c>
      <c r="K171" s="666"/>
      <c r="L171" s="1167" t="n"/>
      <c r="M171" s="1167" t="n"/>
      <c r="N171" s="1168" t="n"/>
      <c r="O171" s="1168" t="n"/>
      <c r="P171" s="1168" t="n"/>
      <c r="Q171" s="1168" t="n"/>
      <c r="R171" s="1168" t="n"/>
      <c r="S171" s="1168" t="n"/>
      <c r="T171" s="1168" t="n"/>
      <c r="U171" s="1168" t="n"/>
      <c r="V171" s="1168" t="n"/>
      <c r="W171" s="1168" t="n"/>
      <c r="X171" s="1168" t="n"/>
      <c r="Y171" s="1167" t="n"/>
    </row>
    <row r="172" s="3154" customFormat="1" ht="13.5" customHeight="1">
      <c r="A172" s="1132">
        <f t="array" ref="A172">IF(I171&gt;0.5,A171+1,"")</f>
        <v>155</v>
      </c>
      <c r="B172" s="3519">
        <f t="array" ref="B172">IF(A172&lt;&gt;"",DATE(YEAR($D$9),MONTH($D$9)+A172,DAY($D$9)),"")</f>
        <v>51471</v>
      </c>
      <c r="C172" s="3520">
        <f t="array" ref="C172">IF(A172&lt;&gt;"",I171,"")</f>
        <v>3349389.19889031</v>
      </c>
      <c r="D172" s="3520">
        <f t="array" ref="D172">IF(A172&lt;&gt;"",$H$5,"")</f>
        <v>33254.5945333633</v>
      </c>
      <c r="E172" s="3521">
        <v>0</v>
      </c>
      <c r="F172" s="3520">
        <f t="array" ref="F172">IF(A172&lt;&gt;"",D172+E172,"")</f>
        <v>33254.5945333633</v>
      </c>
      <c r="G172" s="3520">
        <f t="array" ref="G172">IF(A172&lt;&gt;"",F172-H172,0)</f>
        <v>15112.0697060408</v>
      </c>
      <c r="H172" s="3520">
        <f t="array" ref="H172">IF(A172&lt;&gt;"",C172*$D$6/$D$8,0)</f>
        <v>18142.5248273225</v>
      </c>
      <c r="I172" s="3520">
        <f t="array" ref="I172">IF(A172&lt;&gt;"",C172-G172,0)</f>
        <v>3334277.12918427</v>
      </c>
      <c r="J172" s="3520">
        <f t="array" ref="J172">IF(A172&lt;&gt;"",J171+H172,J171)</f>
        <v>3563644.22406759</v>
      </c>
      <c r="K172" s="666"/>
      <c r="L172" s="1167" t="n"/>
      <c r="M172" s="1167" t="n"/>
      <c r="N172" s="1168" t="n"/>
      <c r="O172" s="1168" t="n"/>
      <c r="P172" s="1168" t="n"/>
      <c r="Q172" s="1168" t="n"/>
      <c r="R172" s="1168" t="n"/>
      <c r="S172" s="1168" t="n"/>
      <c r="T172" s="1168" t="n"/>
      <c r="U172" s="1168" t="n"/>
      <c r="V172" s="1168" t="n"/>
      <c r="W172" s="1168" t="n"/>
      <c r="X172" s="1168" t="n"/>
      <c r="Y172" s="1167" t="n"/>
    </row>
    <row r="173" s="3154" customFormat="1" ht="13.5" customHeight="1">
      <c r="A173" s="1141">
        <f t="array" ref="A173">IF(I172&gt;0.5,A172+1,"")</f>
        <v>156</v>
      </c>
      <c r="B173" s="3523">
        <f t="array" ref="B173">IF(A173&lt;&gt;"",DATE(YEAR($D$9),MONTH($D$9)+A173,DAY($D$9)),"")</f>
        <v>51502</v>
      </c>
      <c r="C173" s="3524">
        <f t="array" ref="C173">IF(A173&lt;&gt;"",I172,"")</f>
        <v>3334277.12918427</v>
      </c>
      <c r="D173" s="3524">
        <f t="array" ref="D173">IF(A173&lt;&gt;"",$H$5,"")</f>
        <v>33254.5945333633</v>
      </c>
      <c r="E173" s="3525">
        <v>0</v>
      </c>
      <c r="F173" s="3524">
        <f t="array" ref="F173">IF(A173&lt;&gt;"",D173+E173,"")</f>
        <v>33254.5945333633</v>
      </c>
      <c r="G173" s="3524">
        <f t="array" ref="G173">IF(A173&lt;&gt;"",F173-H173,0)</f>
        <v>15193.9267502819</v>
      </c>
      <c r="H173" s="3526">
        <f t="array" ref="H173">IF(A173&lt;&gt;"",C173*$D$6/$D$8,0)</f>
        <v>18060.6677830815</v>
      </c>
      <c r="I173" s="3527">
        <f t="array" ref="I173">IF(A173&lt;&gt;"",C173-G173,0)</f>
        <v>3319083.20243399</v>
      </c>
      <c r="J173" s="3527">
        <f t="array" ref="J173">IF(A173&lt;&gt;"",J172+H173,J172)</f>
        <v>3581704.89185067</v>
      </c>
      <c r="K173" s="793">
        <v>177020.410869166</v>
      </c>
      <c r="L173" s="1167" t="n"/>
      <c r="M173" s="1167" t="n"/>
      <c r="N173" s="1168" t="n"/>
      <c r="O173" s="1168" t="n"/>
      <c r="P173" s="1168" t="n"/>
      <c r="Q173" s="1168" t="n"/>
      <c r="R173" s="1168" t="n"/>
      <c r="S173" s="1168" t="n"/>
      <c r="T173" s="1168" t="n"/>
      <c r="U173" s="1168" t="n"/>
      <c r="V173" s="1168" t="n"/>
      <c r="W173" s="1168" t="n"/>
      <c r="X173" s="1168" t="n"/>
      <c r="Y173" s="1167" t="n"/>
    </row>
    <row r="174" s="3154" customFormat="1" ht="12.75" customHeight="1">
      <c r="A174" s="1149">
        <f t="array" ref="A174">IF(I173&gt;0.5,A173+1,"")</f>
        <v>157</v>
      </c>
      <c r="B174" s="3530">
        <f t="array" ref="B174">IF(A174&lt;&gt;"",DATE(YEAR($D$9),MONTH($D$9)+A174,DAY($D$9)),"")</f>
        <v>51533</v>
      </c>
      <c r="C174" s="3531">
        <f t="array" ref="C174">IF(A174&lt;&gt;"",I173,"")</f>
        <v>3319083.20243399</v>
      </c>
      <c r="D174" s="3531">
        <f t="array" ref="D174">IF(A174&lt;&gt;"",$H$5,"")</f>
        <v>33254.5945333633</v>
      </c>
      <c r="E174" s="3532">
        <v>0</v>
      </c>
      <c r="F174" s="3531">
        <f t="array" ref="F174">IF(A174&lt;&gt;"",D174+E174,"")</f>
        <v>33254.5945333633</v>
      </c>
      <c r="G174" s="3531">
        <f t="array" ref="G174">IF(A174&lt;&gt;"",F174-H174,0)</f>
        <v>15276.2271868459</v>
      </c>
      <c r="H174" s="3531">
        <f t="array" ref="H174">IF(A174&lt;&gt;"",C174*$D$6/$D$8,0)</f>
        <v>17978.3673465175</v>
      </c>
      <c r="I174" s="3531">
        <f t="array" ref="I174">IF(A174&lt;&gt;"",C174-G174,0)</f>
        <v>3303806.97524715</v>
      </c>
      <c r="J174" s="3531">
        <f t="array" ref="J174">IF(A174&lt;&gt;"",J173+H174,J173)</f>
        <v>3599683.25919719</v>
      </c>
      <c r="K174" s="666"/>
      <c r="L174" s="1167" t="n"/>
      <c r="M174" s="1167" t="n"/>
      <c r="N174" s="1168" t="n"/>
      <c r="O174" s="1168" t="n"/>
      <c r="P174" s="1168" t="n"/>
      <c r="Q174" s="1168" t="n"/>
      <c r="R174" s="1168" t="n"/>
      <c r="S174" s="1168" t="n"/>
      <c r="T174" s="1168" t="n"/>
      <c r="U174" s="1168" t="n"/>
      <c r="V174" s="1168" t="n"/>
      <c r="W174" s="1168" t="n"/>
      <c r="X174" s="1168" t="n"/>
      <c r="Y174" s="1167" t="n"/>
    </row>
    <row r="175" s="3154" customFormat="1" ht="12.75" customHeight="1">
      <c r="A175" s="1117">
        <f t="array" ref="A175">IF(I174&gt;0.5,A174+1,"")</f>
        <v>158</v>
      </c>
      <c r="B175" s="3515">
        <f t="array" ref="B175">IF(A175&lt;&gt;"",DATE(YEAR($D$9),MONTH($D$9)+A175,DAY($D$9)),"")</f>
        <v>51561</v>
      </c>
      <c r="C175" s="3516">
        <f t="array" ref="C175">IF(A175&lt;&gt;"",I174,"")</f>
        <v>3303806.97524715</v>
      </c>
      <c r="D175" s="3516">
        <f t="array" ref="D175">IF(A175&lt;&gt;"",$H$5,"")</f>
        <v>33254.5945333633</v>
      </c>
      <c r="E175" s="3517">
        <v>0</v>
      </c>
      <c r="F175" s="3516">
        <f t="array" ref="F175">IF(A175&lt;&gt;"",D175+E175,"")</f>
        <v>33254.5945333633</v>
      </c>
      <c r="G175" s="3516">
        <f t="array" ref="G175">IF(A175&lt;&gt;"",F175-H175,0)</f>
        <v>15358.9734174413</v>
      </c>
      <c r="H175" s="3516">
        <f t="array" ref="H175">IF(A175&lt;&gt;"",C175*$D$6/$D$8,0)</f>
        <v>17895.621115922</v>
      </c>
      <c r="I175" s="3516">
        <f t="array" ref="I175">IF(A175&lt;&gt;"",C175-G175,0)</f>
        <v>3288448.0018297</v>
      </c>
      <c r="J175" s="3516">
        <f t="array" ref="J175">IF(A175&lt;&gt;"",J174+H175,J174)</f>
        <v>3617578.88031311</v>
      </c>
      <c r="K175" s="666"/>
      <c r="L175" s="1167" t="n"/>
      <c r="M175" s="1167" t="n"/>
      <c r="N175" s="1168" t="n"/>
      <c r="O175" s="1168" t="n"/>
      <c r="P175" s="1168" t="n"/>
      <c r="Q175" s="1168" t="n"/>
      <c r="R175" s="1168" t="n"/>
      <c r="S175" s="1168" t="n"/>
      <c r="T175" s="1168" t="n"/>
      <c r="U175" s="1168" t="n"/>
      <c r="V175" s="1168" t="n"/>
      <c r="W175" s="1168" t="n"/>
      <c r="X175" s="1168" t="n"/>
      <c r="Y175" s="1167" t="n"/>
    </row>
    <row r="176" s="3154" customFormat="1" ht="12.75" customHeight="1">
      <c r="A176" s="1117">
        <f t="array" ref="A176">IF(I175&gt;0.5,A175+1,"")</f>
        <v>159</v>
      </c>
      <c r="B176" s="3515">
        <f t="array" ref="B176">IF(A176&lt;&gt;"",DATE(YEAR($D$9),MONTH($D$9)+A176,DAY($D$9)),"")</f>
        <v>51592</v>
      </c>
      <c r="C176" s="3516">
        <f t="array" ref="C176">IF(A176&lt;&gt;"",I175,"")</f>
        <v>3288448.0018297</v>
      </c>
      <c r="D176" s="3516">
        <f t="array" ref="D176">IF(A176&lt;&gt;"",$H$5,"")</f>
        <v>33254.5945333633</v>
      </c>
      <c r="E176" s="3517">
        <v>0</v>
      </c>
      <c r="F176" s="3516">
        <f t="array" ref="F176">IF(A176&lt;&gt;"",D176+E176,"")</f>
        <v>33254.5945333633</v>
      </c>
      <c r="G176" s="3516">
        <f t="array" ref="G176">IF(A176&lt;&gt;"",F176-H176,0)</f>
        <v>15442.1678567858</v>
      </c>
      <c r="H176" s="3516">
        <f t="array" ref="H176">IF(A176&lt;&gt;"",C176*$D$6/$D$8,0)</f>
        <v>17812.4266765776</v>
      </c>
      <c r="I176" s="3516">
        <f t="array" ref="I176">IF(A176&lt;&gt;"",C176-G176,0)</f>
        <v>3273005.83397292</v>
      </c>
      <c r="J176" s="3516">
        <f t="array" ref="J176">IF(A176&lt;&gt;"",J175+H176,J175)</f>
        <v>3635391.30698969</v>
      </c>
      <c r="K176" s="666"/>
      <c r="L176" s="1167" t="n"/>
      <c r="M176" s="1167" t="n"/>
      <c r="N176" s="1168" t="n"/>
      <c r="O176" s="1168" t="n"/>
      <c r="P176" s="1168" t="n"/>
      <c r="Q176" s="1168" t="n"/>
      <c r="R176" s="1168" t="n"/>
      <c r="S176" s="1168" t="n"/>
      <c r="T176" s="1168" t="n"/>
      <c r="U176" s="1168" t="n"/>
      <c r="V176" s="1168" t="n"/>
      <c r="W176" s="1168" t="n"/>
      <c r="X176" s="1168" t="n"/>
      <c r="Y176" s="1167" t="n"/>
    </row>
    <row r="177" s="3154" customFormat="1" ht="12.75" customHeight="1">
      <c r="A177" s="1117">
        <f t="array" ref="A177">IF(I176&gt;0.5,A176+1,"")</f>
        <v>160</v>
      </c>
      <c r="B177" s="3515">
        <f t="array" ref="B177">IF(A177&lt;&gt;"",DATE(YEAR($D$9),MONTH($D$9)+A177,DAY($D$9)),"")</f>
        <v>51622</v>
      </c>
      <c r="C177" s="3516">
        <f t="array" ref="C177">IF(A177&lt;&gt;"",I176,"")</f>
        <v>3273005.83397292</v>
      </c>
      <c r="D177" s="3516">
        <f t="array" ref="D177">IF(A177&lt;&gt;"",$H$5,"")</f>
        <v>33254.5945333633</v>
      </c>
      <c r="E177" s="3517">
        <v>0</v>
      </c>
      <c r="F177" s="3516">
        <f t="array" ref="F177">IF(A177&lt;&gt;"",D177+E177,"")</f>
        <v>33254.5945333633</v>
      </c>
      <c r="G177" s="3516">
        <f t="array" ref="G177">IF(A177&lt;&gt;"",F177-H177,0)</f>
        <v>15525.8129326767</v>
      </c>
      <c r="H177" s="3516">
        <f t="array" ref="H177">IF(A177&lt;&gt;"",C177*$D$6/$D$8,0)</f>
        <v>17728.7816006866</v>
      </c>
      <c r="I177" s="3516">
        <f t="array" ref="I177">IF(A177&lt;&gt;"",C177-G177,0)</f>
        <v>3257480.02104024</v>
      </c>
      <c r="J177" s="3516">
        <f t="array" ref="J177">IF(A177&lt;&gt;"",J176+H177,J176)</f>
        <v>3653120.08859037</v>
      </c>
      <c r="K177" s="666"/>
      <c r="L177" s="1167" t="n"/>
      <c r="M177" s="1167" t="n"/>
      <c r="N177" s="1168" t="n"/>
      <c r="O177" s="1168" t="n"/>
      <c r="P177" s="1168" t="n"/>
      <c r="Q177" s="1168" t="n"/>
      <c r="R177" s="1168" t="n"/>
      <c r="S177" s="1168" t="n"/>
      <c r="T177" s="1168" t="n"/>
      <c r="U177" s="1168" t="n"/>
      <c r="V177" s="1168" t="n"/>
      <c r="W177" s="1168" t="n"/>
      <c r="X177" s="1168" t="n"/>
      <c r="Y177" s="1167" t="n"/>
    </row>
    <row r="178" s="3154" customFormat="1" ht="12.75" customHeight="1">
      <c r="A178" s="1117">
        <f t="array" ref="A178">IF(I177&gt;0.5,A177+1,"")</f>
        <v>161</v>
      </c>
      <c r="B178" s="3515">
        <f t="array" ref="B178">IF(A178&lt;&gt;"",DATE(YEAR($D$9),MONTH($D$9)+A178,DAY($D$9)),"")</f>
        <v>51653</v>
      </c>
      <c r="C178" s="3516">
        <f t="array" ref="C178">IF(A178&lt;&gt;"",I177,"")</f>
        <v>3257480.02104024</v>
      </c>
      <c r="D178" s="3516">
        <f t="array" ref="D178">IF(A178&lt;&gt;"",$H$5,"")</f>
        <v>33254.5945333633</v>
      </c>
      <c r="E178" s="3517">
        <v>0</v>
      </c>
      <c r="F178" s="3516">
        <f t="array" ref="F178">IF(A178&lt;&gt;"",D178+E178,"")</f>
        <v>33254.5945333633</v>
      </c>
      <c r="G178" s="3516">
        <f t="array" ref="G178">IF(A178&lt;&gt;"",F178-H178,0)</f>
        <v>15609.911086062</v>
      </c>
      <c r="H178" s="3516">
        <f t="array" ref="H178">IF(A178&lt;&gt;"",C178*$D$6/$D$8,0)</f>
        <v>17644.6834473013</v>
      </c>
      <c r="I178" s="3516">
        <f t="array" ref="I178">IF(A178&lt;&gt;"",C178-G178,0)</f>
        <v>3241870.10995418</v>
      </c>
      <c r="J178" s="3516">
        <f t="array" ref="J178">IF(A178&lt;&gt;"",J177+H178,J177)</f>
        <v>3670764.77203767</v>
      </c>
      <c r="K178" s="666"/>
      <c r="L178" s="1167" t="n"/>
      <c r="M178" s="1167" t="n"/>
      <c r="N178" s="1168" t="n"/>
      <c r="O178" s="1168" t="n"/>
      <c r="P178" s="1168" t="n"/>
      <c r="Q178" s="1168" t="n"/>
      <c r="R178" s="1168" t="n"/>
      <c r="S178" s="1168" t="n"/>
      <c r="T178" s="1168" t="n"/>
      <c r="U178" s="1168" t="n"/>
      <c r="V178" s="1168" t="n"/>
      <c r="W178" s="1168" t="n"/>
      <c r="X178" s="1168" t="n"/>
      <c r="Y178" s="1167" t="n"/>
    </row>
    <row r="179" s="3154" customFormat="1" ht="12.75" customHeight="1">
      <c r="A179" s="1117">
        <f t="array" ref="A179">IF(I178&gt;0.5,A178+1,"")</f>
        <v>162</v>
      </c>
      <c r="B179" s="3515">
        <f t="array" ref="B179">IF(A179&lt;&gt;"",DATE(YEAR($D$9),MONTH($D$9)+A179,DAY($D$9)),"")</f>
        <v>51683</v>
      </c>
      <c r="C179" s="3516">
        <f t="array" ref="C179">IF(A179&lt;&gt;"",I178,"")</f>
        <v>3241870.10995418</v>
      </c>
      <c r="D179" s="3516">
        <f t="array" ref="D179">IF(A179&lt;&gt;"",$H$5,"")</f>
        <v>33254.5945333633</v>
      </c>
      <c r="E179" s="3517">
        <v>0</v>
      </c>
      <c r="F179" s="3516">
        <f t="array" ref="F179">IF(A179&lt;&gt;"",D179+E179,"")</f>
        <v>33254.5945333633</v>
      </c>
      <c r="G179" s="3516">
        <f t="array" ref="G179">IF(A179&lt;&gt;"",F179-H179,0)</f>
        <v>15694.4647711115</v>
      </c>
      <c r="H179" s="3516">
        <f t="array" ref="H179">IF(A179&lt;&gt;"",C179*$D$6/$D$8,0)</f>
        <v>17560.1297622518</v>
      </c>
      <c r="I179" s="3516">
        <f t="array" ref="I179">IF(A179&lt;&gt;"",C179-G179,0)</f>
        <v>3226175.64518307</v>
      </c>
      <c r="J179" s="3516">
        <f t="array" ref="J179">IF(A179&lt;&gt;"",J178+H179,J178)</f>
        <v>3688324.90179993</v>
      </c>
      <c r="K179" s="666"/>
      <c r="L179" s="1167" t="n"/>
      <c r="M179" s="1167" t="n"/>
      <c r="N179" s="1168" t="n"/>
      <c r="O179" s="1168" t="n"/>
      <c r="P179" s="1168" t="n"/>
      <c r="Q179" s="1168" t="n"/>
      <c r="R179" s="1168" t="n"/>
      <c r="S179" s="1168" t="n"/>
      <c r="T179" s="1168" t="n"/>
      <c r="U179" s="1168" t="n"/>
      <c r="V179" s="1168" t="n"/>
      <c r="W179" s="1168" t="n"/>
      <c r="X179" s="1168" t="n"/>
      <c r="Y179" s="1167" t="n"/>
    </row>
    <row r="180" s="3154" customFormat="1" ht="12.75" customHeight="1">
      <c r="A180" s="1117">
        <f t="array" ref="A180">IF(I179&gt;0.5,A179+1,"")</f>
        <v>163</v>
      </c>
      <c r="B180" s="3515">
        <f t="array" ref="B180">IF(A180&lt;&gt;"",DATE(YEAR($D$9),MONTH($D$9)+A180,DAY($D$9)),"")</f>
        <v>51714</v>
      </c>
      <c r="C180" s="3516">
        <f t="array" ref="C180">IF(A180&lt;&gt;"",I179,"")</f>
        <v>3226175.64518307</v>
      </c>
      <c r="D180" s="3516">
        <f t="array" ref="D180">IF(A180&lt;&gt;"",$H$5,"")</f>
        <v>33254.5945333633</v>
      </c>
      <c r="E180" s="3517">
        <v>0</v>
      </c>
      <c r="F180" s="3516">
        <f t="array" ref="F180">IF(A180&lt;&gt;"",D180+E180,"")</f>
        <v>33254.5945333633</v>
      </c>
      <c r="G180" s="3516">
        <f t="array" ref="G180">IF(A180&lt;&gt;"",F180-H180,0)</f>
        <v>15779.4764552884</v>
      </c>
      <c r="H180" s="3516">
        <f t="array" ref="H180">IF(A180&lt;&gt;"",C180*$D$6/$D$8,0)</f>
        <v>17475.118078075</v>
      </c>
      <c r="I180" s="3516">
        <f t="array" ref="I180">IF(A180&lt;&gt;"",C180-G180,0)</f>
        <v>3210396.16872778</v>
      </c>
      <c r="J180" s="3516">
        <f t="array" ref="J180">IF(A180&lt;&gt;"",J179+H180,J179)</f>
        <v>3705800.019878</v>
      </c>
      <c r="K180" s="666"/>
      <c r="L180" s="1167" t="n"/>
      <c r="M180" s="1167" t="n"/>
      <c r="N180" s="1168" t="n"/>
      <c r="O180" s="1168" t="n"/>
      <c r="P180" s="1168" t="n"/>
      <c r="Q180" s="1168" t="n"/>
      <c r="R180" s="1168" t="n"/>
      <c r="S180" s="1168" t="n"/>
      <c r="T180" s="1168" t="n"/>
      <c r="U180" s="1168" t="n"/>
      <c r="V180" s="1168" t="n"/>
      <c r="W180" s="1168" t="n"/>
      <c r="X180" s="1168" t="n"/>
      <c r="Y180" s="1167" t="n"/>
    </row>
    <row r="181" s="3154" customFormat="1" ht="12.75" customHeight="1">
      <c r="A181" s="1117">
        <f t="array" ref="A181">IF(I180&gt;0.5,A180+1,"")</f>
        <v>164</v>
      </c>
      <c r="B181" s="3515">
        <f t="array" ref="B181">IF(A181&lt;&gt;"",DATE(YEAR($D$9),MONTH($D$9)+A181,DAY($D$9)),"")</f>
        <v>51745</v>
      </c>
      <c r="C181" s="3516">
        <f t="array" ref="C181">IF(A181&lt;&gt;"",I180,"")</f>
        <v>3210396.16872778</v>
      </c>
      <c r="D181" s="3516">
        <f t="array" ref="D181">IF(A181&lt;&gt;"",$H$5,"")</f>
        <v>33254.5945333633</v>
      </c>
      <c r="E181" s="3517">
        <v>0</v>
      </c>
      <c r="F181" s="3516">
        <f t="array" ref="F181">IF(A181&lt;&gt;"",D181+E181,"")</f>
        <v>33254.5945333633</v>
      </c>
      <c r="G181" s="3516">
        <f t="array" ref="G181">IF(A181&lt;&gt;"",F181-H181,0)</f>
        <v>15864.9486194212</v>
      </c>
      <c r="H181" s="3516">
        <f t="array" ref="H181">IF(A181&lt;&gt;"",C181*$D$6/$D$8,0)</f>
        <v>17389.6459139421</v>
      </c>
      <c r="I181" s="3516">
        <f t="array" ref="I181">IF(A181&lt;&gt;"",C181-G181,0)</f>
        <v>3194531.22010836</v>
      </c>
      <c r="J181" s="3516">
        <f t="array" ref="J181">IF(A181&lt;&gt;"",J180+H181,J180)</f>
        <v>3723189.66579194</v>
      </c>
      <c r="K181" s="666"/>
      <c r="L181" s="1167" t="n"/>
      <c r="M181" s="1167" t="n"/>
      <c r="N181" s="1168" t="n"/>
      <c r="O181" s="1168" t="n"/>
      <c r="P181" s="1168" t="n"/>
      <c r="Q181" s="1168" t="n"/>
      <c r="R181" s="1168" t="n"/>
      <c r="S181" s="1168" t="n"/>
      <c r="T181" s="1168" t="n"/>
      <c r="U181" s="1168" t="n"/>
      <c r="V181" s="1168" t="n"/>
      <c r="W181" s="1168" t="n"/>
      <c r="X181" s="1168" t="n"/>
      <c r="Y181" s="1167" t="n"/>
    </row>
    <row r="182" s="3154" customFormat="1" ht="12.75" customHeight="1">
      <c r="A182" s="1117">
        <f t="array" ref="A182">IF(I181&gt;0.5,A181+1,"")</f>
        <v>165</v>
      </c>
      <c r="B182" s="3515">
        <f t="array" ref="B182">IF(A182&lt;&gt;"",DATE(YEAR($D$9),MONTH($D$9)+A182,DAY($D$9)),"")</f>
        <v>51775</v>
      </c>
      <c r="C182" s="3516">
        <f t="array" ref="C182">IF(A182&lt;&gt;"",I181,"")</f>
        <v>3194531.22010836</v>
      </c>
      <c r="D182" s="3516">
        <f t="array" ref="D182">IF(A182&lt;&gt;"",$H$5,"")</f>
        <v>33254.5945333633</v>
      </c>
      <c r="E182" s="3517">
        <v>0</v>
      </c>
      <c r="F182" s="3516">
        <f t="array" ref="F182">IF(A182&lt;&gt;"",D182+E182,"")</f>
        <v>33254.5945333633</v>
      </c>
      <c r="G182" s="3516">
        <f t="array" ref="G182">IF(A182&lt;&gt;"",F182-H182,0)</f>
        <v>15950.8837577764</v>
      </c>
      <c r="H182" s="3516">
        <f t="array" ref="H182">IF(A182&lt;&gt;"",C182*$D$6/$D$8,0)</f>
        <v>17303.7107755869</v>
      </c>
      <c r="I182" s="3516">
        <f t="array" ref="I182">IF(A182&lt;&gt;"",C182-G182,0)</f>
        <v>3178580.33635058</v>
      </c>
      <c r="J182" s="3516">
        <f t="array" ref="J182">IF(A182&lt;&gt;"",J181+H182,J181)</f>
        <v>3740493.37656753</v>
      </c>
      <c r="K182" s="666"/>
      <c r="L182" s="1167" t="n"/>
      <c r="M182" s="1167" t="n"/>
      <c r="N182" s="1168" t="n"/>
      <c r="O182" s="1168" t="n"/>
      <c r="P182" s="1168" t="n"/>
      <c r="Q182" s="1168" t="n"/>
      <c r="R182" s="1168" t="n"/>
      <c r="S182" s="1168" t="n"/>
      <c r="T182" s="1168" t="n"/>
      <c r="U182" s="1168" t="n"/>
      <c r="V182" s="1168" t="n"/>
      <c r="W182" s="1168" t="n"/>
      <c r="X182" s="1168" t="n"/>
      <c r="Y182" s="1167" t="n"/>
    </row>
    <row r="183" s="3154" customFormat="1" ht="12.75" customHeight="1">
      <c r="A183" s="1117">
        <f t="array" ref="A183">IF(I182&gt;0.5,A182+1,"")</f>
        <v>166</v>
      </c>
      <c r="B183" s="3515">
        <f t="array" ref="B183">IF(A183&lt;&gt;"",DATE(YEAR($D$9),MONTH($D$9)+A183,DAY($D$9)),"")</f>
        <v>51806</v>
      </c>
      <c r="C183" s="3516">
        <f t="array" ref="C183">IF(A183&lt;&gt;"",I182,"")</f>
        <v>3178580.33635058</v>
      </c>
      <c r="D183" s="3516">
        <f t="array" ref="D183">IF(A183&lt;&gt;"",$H$5,"")</f>
        <v>33254.5945333633</v>
      </c>
      <c r="E183" s="3517">
        <v>0</v>
      </c>
      <c r="F183" s="3516">
        <f t="array" ref="F183">IF(A183&lt;&gt;"",D183+E183,"")</f>
        <v>33254.5945333633</v>
      </c>
      <c r="G183" s="3516">
        <f t="array" ref="G183">IF(A183&lt;&gt;"",F183-H183,0)</f>
        <v>16037.284378131</v>
      </c>
      <c r="H183" s="3516">
        <f t="array" ref="H183">IF(A183&lt;&gt;"",C183*$D$6/$D$8,0)</f>
        <v>17217.3101552323</v>
      </c>
      <c r="I183" s="3516">
        <f t="array" ref="I183">IF(A183&lt;&gt;"",C183-G183,0)</f>
        <v>3162543.05197245</v>
      </c>
      <c r="J183" s="3516">
        <f t="array" ref="J183">IF(A183&lt;&gt;"",J182+H183,J182)</f>
        <v>3757710.68672276</v>
      </c>
      <c r="K183" s="666"/>
      <c r="L183" s="1167" t="n"/>
      <c r="M183" s="1167" t="n"/>
      <c r="N183" s="1168" t="n"/>
      <c r="O183" s="1168" t="n"/>
      <c r="P183" s="1168" t="n"/>
      <c r="Q183" s="1168" t="n"/>
      <c r="R183" s="1168" t="n"/>
      <c r="S183" s="1168" t="n"/>
      <c r="T183" s="1168" t="n"/>
      <c r="U183" s="1168" t="n"/>
      <c r="V183" s="1168" t="n"/>
      <c r="W183" s="1168" t="n"/>
      <c r="X183" s="1168" t="n"/>
      <c r="Y183" s="1167" t="n"/>
    </row>
    <row r="184" s="3154" customFormat="1" ht="13.5" customHeight="1">
      <c r="A184" s="1132">
        <f t="array" ref="A184">IF(I183&gt;0.5,A183+1,"")</f>
        <v>167</v>
      </c>
      <c r="B184" s="3519">
        <f t="array" ref="B184">IF(A184&lt;&gt;"",DATE(YEAR($D$9),MONTH($D$9)+A184,DAY($D$9)),"")</f>
        <v>51836</v>
      </c>
      <c r="C184" s="3520">
        <f t="array" ref="C184">IF(A184&lt;&gt;"",I183,"")</f>
        <v>3162543.05197245</v>
      </c>
      <c r="D184" s="3520">
        <f t="array" ref="D184">IF(A184&lt;&gt;"",$H$5,"")</f>
        <v>33254.5945333633</v>
      </c>
      <c r="E184" s="3521">
        <v>0</v>
      </c>
      <c r="F184" s="3520">
        <f t="array" ref="F184">IF(A184&lt;&gt;"",D184+E184,"")</f>
        <v>33254.5945333633</v>
      </c>
      <c r="G184" s="3520">
        <f t="array" ref="G184">IF(A184&lt;&gt;"",F184-H184,0)</f>
        <v>16124.1530018459</v>
      </c>
      <c r="H184" s="3520">
        <f t="array" ref="H184">IF(A184&lt;&gt;"",C184*$D$6/$D$8,0)</f>
        <v>17130.4415315174</v>
      </c>
      <c r="I184" s="3520">
        <f t="array" ref="I184">IF(A184&lt;&gt;"",C184-G184,0)</f>
        <v>3146418.89897061</v>
      </c>
      <c r="J184" s="3520">
        <f t="array" ref="J184">IF(A184&lt;&gt;"",J183+H184,J183)</f>
        <v>3774841.12825428</v>
      </c>
      <c r="K184" s="666"/>
      <c r="L184" s="1167" t="n"/>
      <c r="M184" s="1167" t="n"/>
      <c r="N184" s="1168" t="n"/>
      <c r="O184" s="1168" t="n"/>
      <c r="P184" s="1168" t="n"/>
      <c r="Q184" s="1168" t="n"/>
      <c r="R184" s="1168" t="n"/>
      <c r="S184" s="1168" t="n"/>
      <c r="T184" s="1168" t="n"/>
      <c r="U184" s="1168" t="n"/>
      <c r="V184" s="1168" t="n"/>
      <c r="W184" s="1168" t="n"/>
      <c r="X184" s="1168" t="n"/>
      <c r="Y184" s="1167" t="n"/>
    </row>
    <row r="185" s="3154" customFormat="1" ht="13.5" customHeight="1">
      <c r="A185" s="1141">
        <f t="array" ref="A185">IF(I184&gt;0.5,A184+1,"")</f>
        <v>168</v>
      </c>
      <c r="B185" s="3523">
        <f t="array" ref="B185">IF(A185&lt;&gt;"",DATE(YEAR($D$9),MONTH($D$9)+A185,DAY($D$9)),"")</f>
        <v>51867</v>
      </c>
      <c r="C185" s="3524">
        <f t="array" ref="C185">IF(A185&lt;&gt;"",I184,"")</f>
        <v>3146418.89897061</v>
      </c>
      <c r="D185" s="3524">
        <f t="array" ref="D185">IF(A185&lt;&gt;"",$H$5,"")</f>
        <v>33254.5945333633</v>
      </c>
      <c r="E185" s="3525">
        <v>0</v>
      </c>
      <c r="F185" s="3524">
        <f t="array" ref="F185">IF(A185&lt;&gt;"",D185+E185,"")</f>
        <v>33254.5945333633</v>
      </c>
      <c r="G185" s="3524">
        <f t="array" ref="G185">IF(A185&lt;&gt;"",F185-H185,0)</f>
        <v>16211.4921639392</v>
      </c>
      <c r="H185" s="3526">
        <f t="array" ref="H185">IF(A185&lt;&gt;"",C185*$D$6/$D$8,0)</f>
        <v>17043.1023694241</v>
      </c>
      <c r="I185" s="3527">
        <f t="array" ref="I185">IF(A185&lt;&gt;"",C185-G185,0)</f>
        <v>3130207.40680667</v>
      </c>
      <c r="J185" s="3527">
        <f t="array" ref="J185">IF(A185&lt;&gt;"",J184+H185,J184)</f>
        <v>3791884.2306237</v>
      </c>
      <c r="K185" s="793">
        <v>188875.795627325</v>
      </c>
      <c r="L185" s="1167" t="n"/>
      <c r="M185" s="1167" t="n"/>
      <c r="N185" s="1168" t="n"/>
      <c r="O185" s="1168" t="n"/>
      <c r="P185" s="1168" t="n"/>
      <c r="Q185" s="1168" t="n"/>
      <c r="R185" s="1168" t="n"/>
      <c r="S185" s="1168" t="n"/>
      <c r="T185" s="1168" t="n"/>
      <c r="U185" s="1168" t="n"/>
      <c r="V185" s="1168" t="n"/>
      <c r="W185" s="1168" t="n"/>
      <c r="X185" s="1168" t="n"/>
      <c r="Y185" s="1167" t="n"/>
    </row>
    <row r="186" s="3154" customFormat="1" ht="12.75" customHeight="1">
      <c r="A186" s="1149">
        <f t="array" ref="A186">IF(I185&gt;0.5,A185+1,"")</f>
        <v>169</v>
      </c>
      <c r="B186" s="3530">
        <f t="array" ref="B186">IF(A186&lt;&gt;"",DATE(YEAR($D$9),MONTH($D$9)+A186,DAY($D$9)),"")</f>
        <v>51898</v>
      </c>
      <c r="C186" s="3531">
        <f t="array" ref="C186">IF(A186&lt;&gt;"",I185,"")</f>
        <v>3130207.40680667</v>
      </c>
      <c r="D186" s="3531">
        <f t="array" ref="D186">IF(A186&lt;&gt;"",$H$5,"")</f>
        <v>33254.5945333633</v>
      </c>
      <c r="E186" s="3532">
        <v>0</v>
      </c>
      <c r="F186" s="3531">
        <f t="array" ref="F186">IF(A186&lt;&gt;"",D186+E186,"")</f>
        <v>33254.5945333633</v>
      </c>
      <c r="G186" s="3531">
        <f t="array" ref="G186">IF(A186&lt;&gt;"",F186-H186,0)</f>
        <v>16299.3044131606</v>
      </c>
      <c r="H186" s="3531">
        <f t="array" ref="H186">IF(A186&lt;&gt;"",C186*$D$6/$D$8,0)</f>
        <v>16955.2901202028</v>
      </c>
      <c r="I186" s="3531">
        <f t="array" ref="I186">IF(A186&lt;&gt;"",C186-G186,0)</f>
        <v>3113908.10239351</v>
      </c>
      <c r="J186" s="3531">
        <f t="array" ref="J186">IF(A186&lt;&gt;"",J185+H186,J185)</f>
        <v>3808839.52074391</v>
      </c>
      <c r="K186" s="666"/>
      <c r="L186" s="1167" t="n"/>
      <c r="M186" s="1167" t="n"/>
      <c r="N186" s="1168" t="n"/>
      <c r="O186" s="1168" t="n"/>
      <c r="P186" s="1168" t="n"/>
      <c r="Q186" s="1168" t="n"/>
      <c r="R186" s="1168" t="n"/>
      <c r="S186" s="1168" t="n"/>
      <c r="T186" s="1168" t="n"/>
      <c r="U186" s="1168" t="n"/>
      <c r="V186" s="1168" t="n"/>
      <c r="W186" s="1168" t="n"/>
      <c r="X186" s="1168" t="n"/>
      <c r="Y186" s="1167" t="n"/>
    </row>
    <row r="187" s="3154" customFormat="1" ht="12.75" customHeight="1">
      <c r="A187" s="1117">
        <f t="array" ref="A187">IF(I186&gt;0.5,A186+1,"")</f>
        <v>170</v>
      </c>
      <c r="B187" s="3515">
        <f t="array" ref="B187">IF(A187&lt;&gt;"",DATE(YEAR($D$9),MONTH($D$9)+A187,DAY($D$9)),"")</f>
        <v>51926</v>
      </c>
      <c r="C187" s="3516">
        <f t="array" ref="C187">IF(A187&lt;&gt;"",I186,"")</f>
        <v>3113908.10239351</v>
      </c>
      <c r="D187" s="3516">
        <f t="array" ref="D187">IF(A187&lt;&gt;"",$H$5,"")</f>
        <v>33254.5945333633</v>
      </c>
      <c r="E187" s="3517">
        <v>0</v>
      </c>
      <c r="F187" s="3516">
        <f t="array" ref="F187">IF(A187&lt;&gt;"",D187+E187,"")</f>
        <v>33254.5945333633</v>
      </c>
      <c r="G187" s="3516">
        <f t="array" ref="G187">IF(A187&lt;&gt;"",F187-H187,0)</f>
        <v>16387.5923120652</v>
      </c>
      <c r="H187" s="3516">
        <f t="array" ref="H187">IF(A187&lt;&gt;"",C187*$D$6/$D$8,0)</f>
        <v>16867.0022212982</v>
      </c>
      <c r="I187" s="3516">
        <f t="array" ref="I187">IF(A187&lt;&gt;"",C187-G187,0)</f>
        <v>3097520.51008144</v>
      </c>
      <c r="J187" s="3516">
        <f t="array" ref="J187">IF(A187&lt;&gt;"",J186+H187,J186)</f>
        <v>3825706.5229652</v>
      </c>
      <c r="K187" s="666"/>
      <c r="L187" s="1167" t="n"/>
      <c r="M187" s="1167" t="n"/>
      <c r="N187" s="1168" t="n"/>
      <c r="O187" s="1168" t="n"/>
      <c r="P187" s="1168" t="n"/>
      <c r="Q187" s="1168" t="n"/>
      <c r="R187" s="1168" t="n"/>
      <c r="S187" s="1168" t="n"/>
      <c r="T187" s="1168" t="n"/>
      <c r="U187" s="1168" t="n"/>
      <c r="V187" s="1168" t="n"/>
      <c r="W187" s="1168" t="n"/>
      <c r="X187" s="1168" t="n"/>
      <c r="Y187" s="1167" t="n"/>
    </row>
    <row r="188" s="3154" customFormat="1" ht="12.75" customHeight="1">
      <c r="A188" s="1117">
        <f t="array" ref="A188">IF(I187&gt;0.5,A187+1,"")</f>
        <v>171</v>
      </c>
      <c r="B188" s="3515">
        <f t="array" ref="B188">IF(A188&lt;&gt;"",DATE(YEAR($D$9),MONTH($D$9)+A188,DAY($D$9)),"")</f>
        <v>51957</v>
      </c>
      <c r="C188" s="3516">
        <f t="array" ref="C188">IF(A188&lt;&gt;"",I187,"")</f>
        <v>3097520.51008144</v>
      </c>
      <c r="D188" s="3516">
        <f t="array" ref="D188">IF(A188&lt;&gt;"",$H$5,"")</f>
        <v>33254.5945333633</v>
      </c>
      <c r="E188" s="3517">
        <v>0</v>
      </c>
      <c r="F188" s="3516">
        <f t="array" ref="F188">IF(A188&lt;&gt;"",D188+E188,"")</f>
        <v>33254.5945333633</v>
      </c>
      <c r="G188" s="3516">
        <f t="array" ref="G188">IF(A188&lt;&gt;"",F188-H188,0)</f>
        <v>16476.3584370889</v>
      </c>
      <c r="H188" s="3516">
        <f t="array" ref="H188">IF(A188&lt;&gt;"",C188*$D$6/$D$8,0)</f>
        <v>16778.2360962745</v>
      </c>
      <c r="I188" s="3516">
        <f t="array" ref="I188">IF(A188&lt;&gt;"",C188-G188,0)</f>
        <v>3081044.15164435</v>
      </c>
      <c r="J188" s="3516">
        <f t="array" ref="J188">IF(A188&lt;&gt;"",J187+H188,J187)</f>
        <v>3842484.75906148</v>
      </c>
      <c r="K188" s="666"/>
      <c r="L188" s="1167" t="n"/>
      <c r="M188" s="1167" t="n"/>
      <c r="N188" s="1168" t="n"/>
      <c r="O188" s="1168" t="n"/>
      <c r="P188" s="1168" t="n"/>
      <c r="Q188" s="1168" t="n"/>
      <c r="R188" s="1168" t="n"/>
      <c r="S188" s="1168" t="n"/>
      <c r="T188" s="1168" t="n"/>
      <c r="U188" s="1168" t="n"/>
      <c r="V188" s="1168" t="n"/>
      <c r="W188" s="1168" t="n"/>
      <c r="X188" s="1168" t="n"/>
      <c r="Y188" s="1167" t="n"/>
    </row>
    <row r="189" s="3154" customFormat="1" ht="12.75" customHeight="1">
      <c r="A189" s="1117">
        <f t="array" ref="A189">IF(I188&gt;0.5,A188+1,"")</f>
        <v>172</v>
      </c>
      <c r="B189" s="3515">
        <f t="array" ref="B189">IF(A189&lt;&gt;"",DATE(YEAR($D$9),MONTH($D$9)+A189,DAY($D$9)),"")</f>
        <v>51987</v>
      </c>
      <c r="C189" s="3516">
        <f t="array" ref="C189">IF(A189&lt;&gt;"",I188,"")</f>
        <v>3081044.15164435</v>
      </c>
      <c r="D189" s="3516">
        <f t="array" ref="D189">IF(A189&lt;&gt;"",$H$5,"")</f>
        <v>33254.5945333633</v>
      </c>
      <c r="E189" s="3517">
        <v>0</v>
      </c>
      <c r="F189" s="3516">
        <f t="array" ref="F189">IF(A189&lt;&gt;"",D189+E189,"")</f>
        <v>33254.5945333633</v>
      </c>
      <c r="G189" s="3516">
        <f t="array" ref="G189">IF(A189&lt;&gt;"",F189-H189,0)</f>
        <v>16565.6053786231</v>
      </c>
      <c r="H189" s="3516">
        <f t="array" ref="H189">IF(A189&lt;&gt;"",C189*$D$6/$D$8,0)</f>
        <v>16688.9891547402</v>
      </c>
      <c r="I189" s="3516">
        <f t="array" ref="I189">IF(A189&lt;&gt;"",C189-G189,0)</f>
        <v>3064478.54626573</v>
      </c>
      <c r="J189" s="3516">
        <f t="array" ref="J189">IF(A189&lt;&gt;"",J188+H189,J188)</f>
        <v>3859173.74821622</v>
      </c>
      <c r="K189" s="666"/>
      <c r="L189" s="1167" t="n"/>
      <c r="M189" s="1167" t="n"/>
      <c r="N189" s="1168" t="n"/>
      <c r="O189" s="1168" t="n"/>
      <c r="P189" s="1168" t="n"/>
      <c r="Q189" s="1168" t="n"/>
      <c r="R189" s="1168" t="n"/>
      <c r="S189" s="1168" t="n"/>
      <c r="T189" s="1168" t="n"/>
      <c r="U189" s="1168" t="n"/>
      <c r="V189" s="1168" t="n"/>
      <c r="W189" s="1168" t="n"/>
      <c r="X189" s="1168" t="n"/>
      <c r="Y189" s="1167" t="n"/>
    </row>
    <row r="190" s="3154" customFormat="1" ht="12.75" customHeight="1">
      <c r="A190" s="1117">
        <f t="array" ref="A190">IF(I189&gt;0.5,A189+1,"")</f>
        <v>173</v>
      </c>
      <c r="B190" s="3515">
        <f t="array" ref="B190">IF(A190&lt;&gt;"",DATE(YEAR($D$9),MONTH($D$9)+A190,DAY($D$9)),"")</f>
        <v>52018</v>
      </c>
      <c r="C190" s="3516">
        <f t="array" ref="C190">IF(A190&lt;&gt;"",I189,"")</f>
        <v>3064478.54626573</v>
      </c>
      <c r="D190" s="3516">
        <f t="array" ref="D190">IF(A190&lt;&gt;"",$H$5,"")</f>
        <v>33254.5945333633</v>
      </c>
      <c r="E190" s="3517">
        <v>0</v>
      </c>
      <c r="F190" s="3516">
        <f t="array" ref="F190">IF(A190&lt;&gt;"",D190+E190,"")</f>
        <v>33254.5945333633</v>
      </c>
      <c r="G190" s="3516">
        <f t="array" ref="G190">IF(A190&lt;&gt;"",F190-H190,0)</f>
        <v>16655.3357410907</v>
      </c>
      <c r="H190" s="3516">
        <f t="array" ref="H190">IF(A190&lt;&gt;"",C190*$D$6/$D$8,0)</f>
        <v>16599.2587922727</v>
      </c>
      <c r="I190" s="3516">
        <f t="array" ref="I190">IF(A190&lt;&gt;"",C190-G190,0)</f>
        <v>3047823.21052464</v>
      </c>
      <c r="J190" s="3516">
        <f t="array" ref="J190">IF(A190&lt;&gt;"",J189+H190,J189)</f>
        <v>3875773.00700849</v>
      </c>
      <c r="K190" s="666"/>
      <c r="L190" s="1167" t="n"/>
      <c r="M190" s="1167" t="n"/>
      <c r="N190" s="1168" t="n"/>
      <c r="O190" s="1168" t="n"/>
      <c r="P190" s="1168" t="n"/>
      <c r="Q190" s="1168" t="n"/>
      <c r="R190" s="1168" t="n"/>
      <c r="S190" s="1168" t="n"/>
      <c r="T190" s="1168" t="n"/>
      <c r="U190" s="1168" t="n"/>
      <c r="V190" s="1168" t="n"/>
      <c r="W190" s="1168" t="n"/>
      <c r="X190" s="1168" t="n"/>
      <c r="Y190" s="1167" t="n"/>
    </row>
    <row r="191" s="3154" customFormat="1" ht="12.75" customHeight="1">
      <c r="A191" s="1117">
        <f t="array" ref="A191">IF(I190&gt;0.5,A190+1,"")</f>
        <v>174</v>
      </c>
      <c r="B191" s="3515">
        <f t="array" ref="B191">IF(A191&lt;&gt;"",DATE(YEAR($D$9),MONTH($D$9)+A191,DAY($D$9)),"")</f>
        <v>52048</v>
      </c>
      <c r="C191" s="3516">
        <f t="array" ref="C191">IF(A191&lt;&gt;"",I190,"")</f>
        <v>3047823.21052464</v>
      </c>
      <c r="D191" s="3516">
        <f t="array" ref="D191">IF(A191&lt;&gt;"",$H$5,"")</f>
        <v>33254.5945333633</v>
      </c>
      <c r="E191" s="3517">
        <v>0</v>
      </c>
      <c r="F191" s="3516">
        <f t="array" ref="F191">IF(A191&lt;&gt;"",D191+E191,"")</f>
        <v>33254.5945333633</v>
      </c>
      <c r="G191" s="3516">
        <f t="array" ref="G191">IF(A191&lt;&gt;"",F191-H191,0)</f>
        <v>16745.5521430216</v>
      </c>
      <c r="H191" s="3516">
        <f t="array" ref="H191">IF(A191&lt;&gt;"",C191*$D$6/$D$8,0)</f>
        <v>16509.0423903418</v>
      </c>
      <c r="I191" s="3516">
        <f t="array" ref="I191">IF(A191&lt;&gt;"",C191-G191,0)</f>
        <v>3031077.65838162</v>
      </c>
      <c r="J191" s="3516">
        <f t="array" ref="J191">IF(A191&lt;&gt;"",J190+H191,J190)</f>
        <v>3892282.04939883</v>
      </c>
      <c r="K191" s="666"/>
      <c r="L191" s="1167" t="n"/>
      <c r="M191" s="1167" t="n"/>
      <c r="N191" s="1168" t="n"/>
      <c r="O191" s="1168" t="n"/>
      <c r="P191" s="1168" t="n"/>
      <c r="Q191" s="1168" t="n"/>
      <c r="R191" s="1168" t="n"/>
      <c r="S191" s="1168" t="n"/>
      <c r="T191" s="1168" t="n"/>
      <c r="U191" s="1168" t="n"/>
      <c r="V191" s="1168" t="n"/>
      <c r="W191" s="1168" t="n"/>
      <c r="X191" s="1168" t="n"/>
      <c r="Y191" s="1167" t="n"/>
    </row>
    <row r="192" s="3154" customFormat="1" ht="12.75" customHeight="1">
      <c r="A192" s="1117">
        <f t="array" ref="A192">IF(I191&gt;0.5,A191+1,"")</f>
        <v>175</v>
      </c>
      <c r="B192" s="3515">
        <f t="array" ref="B192">IF(A192&lt;&gt;"",DATE(YEAR($D$9),MONTH($D$9)+A192,DAY($D$9)),"")</f>
        <v>52079</v>
      </c>
      <c r="C192" s="3516">
        <f t="array" ref="C192">IF(A192&lt;&gt;"",I191,"")</f>
        <v>3031077.65838162</v>
      </c>
      <c r="D192" s="3516">
        <f t="array" ref="D192">IF(A192&lt;&gt;"",$H$5,"")</f>
        <v>33254.5945333633</v>
      </c>
      <c r="E192" s="3517">
        <v>0</v>
      </c>
      <c r="F192" s="3516">
        <f t="array" ref="F192">IF(A192&lt;&gt;"",D192+E192,"")</f>
        <v>33254.5945333633</v>
      </c>
      <c r="G192" s="3516">
        <f t="array" ref="G192">IF(A192&lt;&gt;"",F192-H192,0)</f>
        <v>16836.2572171296</v>
      </c>
      <c r="H192" s="3516">
        <f t="array" ref="H192">IF(A192&lt;&gt;"",C192*$D$6/$D$8,0)</f>
        <v>16418.3373162338</v>
      </c>
      <c r="I192" s="3516">
        <f t="array" ref="I192">IF(A192&lt;&gt;"",C192-G192,0)</f>
        <v>3014241.40116449</v>
      </c>
      <c r="J192" s="3516">
        <f t="array" ref="J192">IF(A192&lt;&gt;"",J191+H192,J191)</f>
        <v>3908700.38671507</v>
      </c>
      <c r="K192" s="666"/>
      <c r="L192" s="1167" t="n"/>
      <c r="M192" s="1167" t="n"/>
      <c r="N192" s="1168" t="n"/>
      <c r="O192" s="1168" t="n"/>
      <c r="P192" s="1168" t="n"/>
      <c r="Q192" s="1168" t="n"/>
      <c r="R192" s="1168" t="n"/>
      <c r="S192" s="1168" t="n"/>
      <c r="T192" s="1168" t="n"/>
      <c r="U192" s="1168" t="n"/>
      <c r="V192" s="1168" t="n"/>
      <c r="W192" s="1168" t="n"/>
      <c r="X192" s="1168" t="n"/>
      <c r="Y192" s="1167" t="n"/>
    </row>
    <row r="193" s="3154" customFormat="1" ht="12.75" customHeight="1">
      <c r="A193" s="1117">
        <f t="array" ref="A193">IF(I192&gt;0.5,A192+1,"")</f>
        <v>176</v>
      </c>
      <c r="B193" s="3515">
        <f t="array" ref="B193">IF(A193&lt;&gt;"",DATE(YEAR($D$9),MONTH($D$9)+A193,DAY($D$9)),"")</f>
        <v>52110</v>
      </c>
      <c r="C193" s="3516">
        <f t="array" ref="C193">IF(A193&lt;&gt;"",I192,"")</f>
        <v>3014241.40116449</v>
      </c>
      <c r="D193" s="3516">
        <f t="array" ref="D193">IF(A193&lt;&gt;"",$H$5,"")</f>
        <v>33254.5945333633</v>
      </c>
      <c r="E193" s="3517">
        <v>0</v>
      </c>
      <c r="F193" s="3516">
        <f t="array" ref="F193">IF(A193&lt;&gt;"",D193+E193,"")</f>
        <v>33254.5945333633</v>
      </c>
      <c r="G193" s="3516">
        <f t="array" ref="G193">IF(A193&lt;&gt;"",F193-H193,0)</f>
        <v>16927.453610389</v>
      </c>
      <c r="H193" s="3516">
        <f t="array" ref="H193">IF(A193&lt;&gt;"",C193*$D$6/$D$8,0)</f>
        <v>16327.1409229743</v>
      </c>
      <c r="I193" s="3516">
        <f t="array" ref="I193">IF(A193&lt;&gt;"",C193-G193,0)</f>
        <v>2997313.9475541</v>
      </c>
      <c r="J193" s="3516">
        <f t="array" ref="J193">IF(A193&lt;&gt;"",J192+H193,J192)</f>
        <v>3925027.52763804</v>
      </c>
      <c r="K193" s="666"/>
      <c r="L193" s="1167" t="n"/>
      <c r="M193" s="1167" t="n"/>
      <c r="N193" s="1168" t="n"/>
      <c r="O193" s="1168" t="n"/>
      <c r="P193" s="1168" t="n"/>
      <c r="Q193" s="1168" t="n"/>
      <c r="R193" s="1168" t="n"/>
      <c r="S193" s="1168" t="n"/>
      <c r="T193" s="1168" t="n"/>
      <c r="U193" s="1168" t="n"/>
      <c r="V193" s="1168" t="n"/>
      <c r="W193" s="1168" t="n"/>
      <c r="X193" s="1168" t="n"/>
      <c r="Y193" s="1167" t="n"/>
    </row>
    <row r="194" s="3154" customFormat="1" ht="12.75" customHeight="1">
      <c r="A194" s="1117">
        <f t="array" ref="A194">IF(I193&gt;0.5,A193+1,"")</f>
        <v>177</v>
      </c>
      <c r="B194" s="3515">
        <f t="array" ref="B194">IF(A194&lt;&gt;"",DATE(YEAR($D$9),MONTH($D$9)+A194,DAY($D$9)),"")</f>
        <v>52140</v>
      </c>
      <c r="C194" s="3516">
        <f t="array" ref="C194">IF(A194&lt;&gt;"",I193,"")</f>
        <v>2997313.9475541</v>
      </c>
      <c r="D194" s="3516">
        <f t="array" ref="D194">IF(A194&lt;&gt;"",$H$5,"")</f>
        <v>33254.5945333633</v>
      </c>
      <c r="E194" s="3517">
        <v>0</v>
      </c>
      <c r="F194" s="3516">
        <f t="array" ref="F194">IF(A194&lt;&gt;"",D194+E194,"")</f>
        <v>33254.5945333633</v>
      </c>
      <c r="G194" s="3516">
        <f t="array" ref="G194">IF(A194&lt;&gt;"",F194-H194,0)</f>
        <v>17019.143984112</v>
      </c>
      <c r="H194" s="3516">
        <f t="array" ref="H194">IF(A194&lt;&gt;"",C194*$D$6/$D$8,0)</f>
        <v>16235.4505492514</v>
      </c>
      <c r="I194" s="3516">
        <f t="array" ref="I194">IF(A194&lt;&gt;"",C194-G194,0)</f>
        <v>2980294.80356999</v>
      </c>
      <c r="J194" s="3516">
        <f t="array" ref="J194">IF(A194&lt;&gt;"",J193+H194,J193)</f>
        <v>3941262.97818729</v>
      </c>
      <c r="K194" s="666"/>
      <c r="L194" s="1167" t="n"/>
      <c r="M194" s="1167" t="n"/>
      <c r="N194" s="1168" t="n"/>
      <c r="O194" s="1168" t="n"/>
      <c r="P194" s="1168" t="n"/>
      <c r="Q194" s="1168" t="n"/>
      <c r="R194" s="1168" t="n"/>
      <c r="S194" s="1168" t="n"/>
      <c r="T194" s="1168" t="n"/>
      <c r="U194" s="1168" t="n"/>
      <c r="V194" s="1168" t="n"/>
      <c r="W194" s="1168" t="n"/>
      <c r="X194" s="1168" t="n"/>
      <c r="Y194" s="1167" t="n"/>
    </row>
    <row r="195" s="3154" customFormat="1" ht="12.75" customHeight="1">
      <c r="A195" s="1117">
        <f t="array" ref="A195">IF(I194&gt;0.5,A194+1,"")</f>
        <v>178</v>
      </c>
      <c r="B195" s="3515">
        <f t="array" ref="B195">IF(A195&lt;&gt;"",DATE(YEAR($D$9),MONTH($D$9)+A195,DAY($D$9)),"")</f>
        <v>52171</v>
      </c>
      <c r="C195" s="3516">
        <f t="array" ref="C195">IF(A195&lt;&gt;"",I194,"")</f>
        <v>2980294.80356999</v>
      </c>
      <c r="D195" s="3516">
        <f t="array" ref="D195">IF(A195&lt;&gt;"",$H$5,"")</f>
        <v>33254.5945333633</v>
      </c>
      <c r="E195" s="3517">
        <v>0</v>
      </c>
      <c r="F195" s="3516">
        <f t="array" ref="F195">IF(A195&lt;&gt;"",D195+E195,"")</f>
        <v>33254.5945333633</v>
      </c>
      <c r="G195" s="3516">
        <f t="array" ref="G195">IF(A195&lt;&gt;"",F195-H195,0)</f>
        <v>17111.3310140259</v>
      </c>
      <c r="H195" s="3516">
        <f t="array" ref="H195">IF(A195&lt;&gt;"",C195*$D$6/$D$8,0)</f>
        <v>16143.2635193374</v>
      </c>
      <c r="I195" s="3516">
        <f t="array" ref="I195">IF(A195&lt;&gt;"",C195-G195,0)</f>
        <v>2963183.47255596</v>
      </c>
      <c r="J195" s="3516">
        <f t="array" ref="J195">IF(A195&lt;&gt;"",J194+H195,J194)</f>
        <v>3957406.24170663</v>
      </c>
      <c r="K195" s="666"/>
      <c r="L195" s="1167" t="n"/>
      <c r="M195" s="1167" t="n"/>
      <c r="N195" s="1168" t="n"/>
      <c r="O195" s="1168" t="n"/>
      <c r="P195" s="1168" t="n"/>
      <c r="Q195" s="1168" t="n"/>
      <c r="R195" s="1168" t="n"/>
      <c r="S195" s="1168" t="n"/>
      <c r="T195" s="1168" t="n"/>
      <c r="U195" s="1168" t="n"/>
      <c r="V195" s="1168" t="n"/>
      <c r="W195" s="1168" t="n"/>
      <c r="X195" s="1168" t="n"/>
      <c r="Y195" s="1167" t="n"/>
    </row>
    <row r="196" s="3154" customFormat="1" ht="13.5" customHeight="1">
      <c r="A196" s="1132">
        <f t="array" ref="A196">IF(I195&gt;0.5,A195+1,"")</f>
        <v>179</v>
      </c>
      <c r="B196" s="3519">
        <f t="array" ref="B196">IF(A196&lt;&gt;"",DATE(YEAR($D$9),MONTH($D$9)+A196,DAY($D$9)),"")</f>
        <v>52201</v>
      </c>
      <c r="C196" s="3520">
        <f t="array" ref="C196">IF(A196&lt;&gt;"",I195,"")</f>
        <v>2963183.47255596</v>
      </c>
      <c r="D196" s="3520">
        <f t="array" ref="D196">IF(A196&lt;&gt;"",$H$5,"")</f>
        <v>33254.5945333633</v>
      </c>
      <c r="E196" s="3521">
        <v>0</v>
      </c>
      <c r="F196" s="3520">
        <f t="array" ref="F196">IF(A196&lt;&gt;"",D196+E196,"")</f>
        <v>33254.5945333633</v>
      </c>
      <c r="G196" s="3520">
        <f t="array" ref="G196">IF(A196&lt;&gt;"",F196-H196,0)</f>
        <v>17204.0173903519</v>
      </c>
      <c r="H196" s="3520">
        <f t="array" ref="H196">IF(A196&lt;&gt;"",C196*$D$6/$D$8,0)</f>
        <v>16050.5771430114</v>
      </c>
      <c r="I196" s="3520">
        <f t="array" ref="I196">IF(A196&lt;&gt;"",C196-G196,0)</f>
        <v>2945979.45516561</v>
      </c>
      <c r="J196" s="3520">
        <f t="array" ref="J196">IF(A196&lt;&gt;"",J195+H196,J195)</f>
        <v>3973456.81884964</v>
      </c>
      <c r="K196" s="666"/>
      <c r="L196" s="1167" t="n"/>
      <c r="M196" s="1167" t="n"/>
      <c r="N196" s="1168" t="n"/>
      <c r="O196" s="1168" t="n"/>
      <c r="P196" s="1168" t="n"/>
      <c r="Q196" s="1168" t="n"/>
      <c r="R196" s="1168" t="n"/>
      <c r="S196" s="1168" t="n"/>
      <c r="T196" s="1168" t="n"/>
      <c r="U196" s="1168" t="n"/>
      <c r="V196" s="1168" t="n"/>
      <c r="W196" s="1168" t="n"/>
      <c r="X196" s="1168" t="n"/>
      <c r="Y196" s="1167" t="n"/>
    </row>
    <row r="197" s="3154" customFormat="1" ht="13.5" customHeight="1">
      <c r="A197" s="1141">
        <f t="array" ref="A197">IF(I196&gt;0.5,A196+1,"")</f>
        <v>180</v>
      </c>
      <c r="B197" s="3523">
        <f t="array" ref="B197">IF(A197&lt;&gt;"",DATE(YEAR($D$9),MONTH($D$9)+A197,DAY($D$9)),"")</f>
        <v>52232</v>
      </c>
      <c r="C197" s="3524">
        <f t="array" ref="C197">IF(A197&lt;&gt;"",I196,"")</f>
        <v>2945979.45516561</v>
      </c>
      <c r="D197" s="3524">
        <f t="array" ref="D197">IF(A197&lt;&gt;"",$H$5,"")</f>
        <v>33254.5945333633</v>
      </c>
      <c r="E197" s="3525">
        <v>0</v>
      </c>
      <c r="F197" s="3524">
        <f t="array" ref="F197">IF(A197&lt;&gt;"",D197+E197,"")</f>
        <v>33254.5945333633</v>
      </c>
      <c r="G197" s="3524">
        <f t="array" ref="G197">IF(A197&lt;&gt;"",F197-H197,0)</f>
        <v>17297.205817883</v>
      </c>
      <c r="H197" s="3526">
        <f t="array" ref="H197">IF(A197&lt;&gt;"",C197*$D$6/$D$8,0)</f>
        <v>15957.3887154804</v>
      </c>
      <c r="I197" s="3527">
        <f t="array" ref="I197">IF(A197&lt;&gt;"",C197-G197,0)</f>
        <v>2928682.24934772</v>
      </c>
      <c r="J197" s="3527">
        <f t="array" ref="J197">IF(A197&lt;&gt;"",J196+H197,J196)</f>
        <v>3989414.20756512</v>
      </c>
      <c r="K197" s="793">
        <v>201525.157458941</v>
      </c>
      <c r="L197" s="1167" t="n"/>
      <c r="M197" s="1167" t="n"/>
      <c r="N197" s="1168" t="n"/>
      <c r="O197" s="1168" t="n"/>
      <c r="P197" s="1168" t="n"/>
      <c r="Q197" s="1168" t="n"/>
      <c r="R197" s="1168" t="n"/>
      <c r="S197" s="1168" t="n"/>
      <c r="T197" s="1168" t="n"/>
      <c r="U197" s="1168" t="n"/>
      <c r="V197" s="1168" t="n"/>
      <c r="W197" s="1168" t="n"/>
      <c r="X197" s="1168" t="n"/>
      <c r="Y197" s="1167" t="n"/>
    </row>
    <row r="198" s="3154" customFormat="1" ht="12.75" customHeight="1">
      <c r="A198" s="1149">
        <f t="array" ref="A198">IF(I197&gt;0.5,A197+1,"")</f>
        <v>181</v>
      </c>
      <c r="B198" s="3530">
        <f t="array" ref="B198">IF(A198&lt;&gt;"",DATE(YEAR($D$9),MONTH($D$9)+A198,DAY($D$9)),"")</f>
        <v>52263</v>
      </c>
      <c r="C198" s="3531">
        <f t="array" ref="C198">IF(A198&lt;&gt;"",I197,"")</f>
        <v>2928682.24934772</v>
      </c>
      <c r="D198" s="3531">
        <f t="array" ref="D198">IF(A198&lt;&gt;"",$H$5,"")</f>
        <v>33254.5945333633</v>
      </c>
      <c r="E198" s="3532">
        <v>0</v>
      </c>
      <c r="F198" s="3531">
        <f t="array" ref="F198">IF(A198&lt;&gt;"",D198+E198,"")</f>
        <v>33254.5945333633</v>
      </c>
      <c r="G198" s="3531">
        <f t="array" ref="G198">IF(A198&lt;&gt;"",F198-H198,0)</f>
        <v>17390.8990160632</v>
      </c>
      <c r="H198" s="3531">
        <f t="array" ref="H198">IF(A198&lt;&gt;"",C198*$D$6/$D$8,0)</f>
        <v>15863.6955173002</v>
      </c>
      <c r="I198" s="3531">
        <f t="array" ref="I198">IF(A198&lt;&gt;"",C198-G198,0)</f>
        <v>2911291.35033166</v>
      </c>
      <c r="J198" s="3531">
        <f t="array" ref="J198">IF(A198&lt;&gt;"",J197+H198,J197)</f>
        <v>4005277.90308242</v>
      </c>
      <c r="K198" s="666"/>
      <c r="L198" s="1167" t="n"/>
      <c r="M198" s="1167" t="n"/>
      <c r="N198" s="1168" t="n"/>
      <c r="O198" s="1168" t="n"/>
      <c r="P198" s="1168" t="n"/>
      <c r="Q198" s="1168" t="n"/>
      <c r="R198" s="1168" t="n"/>
      <c r="S198" s="1168" t="n"/>
      <c r="T198" s="1168" t="n"/>
      <c r="U198" s="1168" t="n"/>
      <c r="V198" s="1168" t="n"/>
      <c r="W198" s="1168" t="n"/>
      <c r="X198" s="1168" t="n"/>
      <c r="Y198" s="1167" t="n"/>
    </row>
    <row r="199" s="3154" customFormat="1" ht="12.75" customHeight="1">
      <c r="A199" s="1117">
        <f t="array" ref="A199">IF(I198&gt;0.5,A198+1,"")</f>
        <v>182</v>
      </c>
      <c r="B199" s="3515">
        <f t="array" ref="B199">IF(A199&lt;&gt;"",DATE(YEAR($D$9),MONTH($D$9)+A199,DAY($D$9)),"")</f>
        <v>52291</v>
      </c>
      <c r="C199" s="3516">
        <f t="array" ref="C199">IF(A199&lt;&gt;"",I198,"")</f>
        <v>2911291.35033166</v>
      </c>
      <c r="D199" s="3516">
        <f t="array" ref="D199">IF(A199&lt;&gt;"",$H$5,"")</f>
        <v>33254.5945333633</v>
      </c>
      <c r="E199" s="3517">
        <v>0</v>
      </c>
      <c r="F199" s="3516">
        <f t="array" ref="F199">IF(A199&lt;&gt;"",D199+E199,"")</f>
        <v>33254.5945333633</v>
      </c>
      <c r="G199" s="3516">
        <f t="array" ref="G199">IF(A199&lt;&gt;"",F199-H199,0)</f>
        <v>17485.0997190668</v>
      </c>
      <c r="H199" s="3516">
        <f t="array" ref="H199">IF(A199&lt;&gt;"",C199*$D$6/$D$8,0)</f>
        <v>15769.4948142965</v>
      </c>
      <c r="I199" s="3516">
        <f t="array" ref="I199">IF(A199&lt;&gt;"",C199-G199,0)</f>
        <v>2893806.25061259</v>
      </c>
      <c r="J199" s="3516">
        <f t="array" ref="J199">IF(A199&lt;&gt;"",J198+H199,J198)</f>
        <v>4021047.39789672</v>
      </c>
      <c r="K199" s="666"/>
      <c r="L199" s="1167" t="n"/>
      <c r="M199" s="1167" t="n"/>
      <c r="N199" s="1168" t="n"/>
      <c r="O199" s="1168" t="n"/>
      <c r="P199" s="1168" t="n"/>
      <c r="Q199" s="1168" t="n"/>
      <c r="R199" s="1168" t="n"/>
      <c r="S199" s="1168" t="n"/>
      <c r="T199" s="1168" t="n"/>
      <c r="U199" s="1168" t="n"/>
      <c r="V199" s="1168" t="n"/>
      <c r="W199" s="1168" t="n"/>
      <c r="X199" s="1168" t="n"/>
      <c r="Y199" s="1167" t="n"/>
    </row>
    <row r="200" s="3154" customFormat="1" ht="12.75" customHeight="1">
      <c r="A200" s="1117">
        <f t="array" ref="A200">IF(I199&gt;0.5,A199+1,"")</f>
        <v>183</v>
      </c>
      <c r="B200" s="3515">
        <f t="array" ref="B200">IF(A200&lt;&gt;"",DATE(YEAR($D$9),MONTH($D$9)+A200,DAY($D$9)),"")</f>
        <v>52322</v>
      </c>
      <c r="C200" s="3516">
        <f t="array" ref="C200">IF(A200&lt;&gt;"",I199,"")</f>
        <v>2893806.25061259</v>
      </c>
      <c r="D200" s="3516">
        <f t="array" ref="D200">IF(A200&lt;&gt;"",$H$5,"")</f>
        <v>33254.5945333633</v>
      </c>
      <c r="E200" s="3517">
        <v>0</v>
      </c>
      <c r="F200" s="3516">
        <f t="array" ref="F200">IF(A200&lt;&gt;"",D200+E200,"")</f>
        <v>33254.5945333633</v>
      </c>
      <c r="G200" s="3516">
        <f t="array" ref="G200">IF(A200&lt;&gt;"",F200-H200,0)</f>
        <v>17579.8106758785</v>
      </c>
      <c r="H200" s="3516">
        <f t="array" ref="H200">IF(A200&lt;&gt;"",C200*$D$6/$D$8,0)</f>
        <v>15674.7838574849</v>
      </c>
      <c r="I200" s="3516">
        <f t="array" ref="I200">IF(A200&lt;&gt;"",C200-G200,0)</f>
        <v>2876226.43993672</v>
      </c>
      <c r="J200" s="3516">
        <f t="array" ref="J200">IF(A200&lt;&gt;"",J199+H200,J199)</f>
        <v>4036722.1817542</v>
      </c>
      <c r="K200" s="666"/>
      <c r="L200" s="1167" t="n"/>
      <c r="M200" s="1167" t="n"/>
      <c r="N200" s="1168" t="n"/>
      <c r="O200" s="1168" t="n"/>
      <c r="P200" s="1168" t="n"/>
      <c r="Q200" s="1168" t="n"/>
      <c r="R200" s="1168" t="n"/>
      <c r="S200" s="1168" t="n"/>
      <c r="T200" s="1168" t="n"/>
      <c r="U200" s="1168" t="n"/>
      <c r="V200" s="1168" t="n"/>
      <c r="W200" s="1168" t="n"/>
      <c r="X200" s="1168" t="n"/>
      <c r="Y200" s="1167" t="n"/>
    </row>
    <row r="201" s="3154" customFormat="1" ht="12.75" customHeight="1">
      <c r="A201" s="1117">
        <f t="array" ref="A201">IF(I200&gt;0.5,A200+1,"")</f>
        <v>184</v>
      </c>
      <c r="B201" s="3515">
        <f t="array" ref="B201">IF(A201&lt;&gt;"",DATE(YEAR($D$9),MONTH($D$9)+A201,DAY($D$9)),"")</f>
        <v>52352</v>
      </c>
      <c r="C201" s="3516">
        <f t="array" ref="C201">IF(A201&lt;&gt;"",I200,"")</f>
        <v>2876226.43993672</v>
      </c>
      <c r="D201" s="3516">
        <f t="array" ref="D201">IF(A201&lt;&gt;"",$H$5,"")</f>
        <v>33254.5945333633</v>
      </c>
      <c r="E201" s="3517">
        <v>0</v>
      </c>
      <c r="F201" s="3516">
        <f t="array" ref="F201">IF(A201&lt;&gt;"",D201+E201,"")</f>
        <v>33254.5945333633</v>
      </c>
      <c r="G201" s="3516">
        <f t="array" ref="G201">IF(A201&lt;&gt;"",F201-H201,0)</f>
        <v>17675.0346503728</v>
      </c>
      <c r="H201" s="3516">
        <f t="array" ref="H201">IF(A201&lt;&gt;"",C201*$D$6/$D$8,0)</f>
        <v>15579.5598829905</v>
      </c>
      <c r="I201" s="3516">
        <f t="array" ref="I201">IF(A201&lt;&gt;"",C201-G201,0)</f>
        <v>2858551.40528634</v>
      </c>
      <c r="J201" s="3516">
        <f t="array" ref="J201">IF(A201&lt;&gt;"",J200+H201,J200)</f>
        <v>4052301.74163719</v>
      </c>
      <c r="K201" s="666"/>
      <c r="L201" s="1167" t="n"/>
      <c r="M201" s="1167" t="n"/>
      <c r="N201" s="1168" t="n"/>
      <c r="O201" s="1168" t="n"/>
      <c r="P201" s="1168" t="n"/>
      <c r="Q201" s="1168" t="n"/>
      <c r="R201" s="1168" t="n"/>
      <c r="S201" s="1168" t="n"/>
      <c r="T201" s="1168" t="n"/>
      <c r="U201" s="1168" t="n"/>
      <c r="V201" s="1168" t="n"/>
      <c r="W201" s="1168" t="n"/>
      <c r="X201" s="1168" t="n"/>
      <c r="Y201" s="1167" t="n"/>
    </row>
    <row r="202" s="3154" customFormat="1" ht="12.75" customHeight="1">
      <c r="A202" s="1117">
        <f t="array" ref="A202">IF(I201&gt;0.5,A201+1,"")</f>
        <v>185</v>
      </c>
      <c r="B202" s="3515">
        <f t="array" ref="B202">IF(A202&lt;&gt;"",DATE(YEAR($D$9),MONTH($D$9)+A202,DAY($D$9)),"")</f>
        <v>52383</v>
      </c>
      <c r="C202" s="3516">
        <f t="array" ref="C202">IF(A202&lt;&gt;"",I201,"")</f>
        <v>2858551.40528634</v>
      </c>
      <c r="D202" s="3516">
        <f t="array" ref="D202">IF(A202&lt;&gt;"",$H$5,"")</f>
        <v>33254.5945333633</v>
      </c>
      <c r="E202" s="3517">
        <v>0</v>
      </c>
      <c r="F202" s="3516">
        <f t="array" ref="F202">IF(A202&lt;&gt;"",D202+E202,"")</f>
        <v>33254.5945333633</v>
      </c>
      <c r="G202" s="3516">
        <f t="array" ref="G202">IF(A202&lt;&gt;"",F202-H202,0)</f>
        <v>17770.7744213957</v>
      </c>
      <c r="H202" s="3516">
        <f t="array" ref="H202">IF(A202&lt;&gt;"",C202*$D$6/$D$8,0)</f>
        <v>15483.8201119677</v>
      </c>
      <c r="I202" s="3516">
        <f t="array" ref="I202">IF(A202&lt;&gt;"",C202-G202,0)</f>
        <v>2840780.63086495</v>
      </c>
      <c r="J202" s="3516">
        <f t="array" ref="J202">IF(A202&lt;&gt;"",J201+H202,J201)</f>
        <v>4067785.56174916</v>
      </c>
      <c r="K202" s="666"/>
      <c r="L202" s="1167" t="n"/>
      <c r="M202" s="1167" t="n"/>
      <c r="N202" s="1168" t="n"/>
      <c r="O202" s="1168" t="n"/>
      <c r="P202" s="1168" t="n"/>
      <c r="Q202" s="1168" t="n"/>
      <c r="R202" s="1168" t="n"/>
      <c r="S202" s="1168" t="n"/>
      <c r="T202" s="1168" t="n"/>
      <c r="U202" s="1168" t="n"/>
      <c r="V202" s="1168" t="n"/>
      <c r="W202" s="1168" t="n"/>
      <c r="X202" s="1168" t="n"/>
      <c r="Y202" s="1167" t="n"/>
    </row>
    <row r="203" s="3154" customFormat="1" ht="12.75" customHeight="1">
      <c r="A203" s="1117">
        <f t="array" ref="A203">IF(I202&gt;0.5,A202+1,"")</f>
        <v>186</v>
      </c>
      <c r="B203" s="3515">
        <f t="array" ref="B203">IF(A203&lt;&gt;"",DATE(YEAR($D$9),MONTH($D$9)+A203,DAY($D$9)),"")</f>
        <v>52413</v>
      </c>
      <c r="C203" s="3516">
        <f t="array" ref="C203">IF(A203&lt;&gt;"",I202,"")</f>
        <v>2840780.63086495</v>
      </c>
      <c r="D203" s="3516">
        <f t="array" ref="D203">IF(A203&lt;&gt;"",$H$5,"")</f>
        <v>33254.5945333633</v>
      </c>
      <c r="E203" s="3517">
        <v>0</v>
      </c>
      <c r="F203" s="3516">
        <f t="array" ref="F203">IF(A203&lt;&gt;"",D203+E203,"")</f>
        <v>33254.5945333633</v>
      </c>
      <c r="G203" s="3516">
        <f t="array" ref="G203">IF(A203&lt;&gt;"",F203-H203,0)</f>
        <v>17867.0327828449</v>
      </c>
      <c r="H203" s="3516">
        <f t="array" ref="H203">IF(A203&lt;&gt;"",C203*$D$6/$D$8,0)</f>
        <v>15387.5617505185</v>
      </c>
      <c r="I203" s="3516">
        <f t="array" ref="I203">IF(A203&lt;&gt;"",C203-G203,0)</f>
        <v>2822913.5980821</v>
      </c>
      <c r="J203" s="3516">
        <f t="array" ref="J203">IF(A203&lt;&gt;"",J202+H203,J202)</f>
        <v>4083173.12349968</v>
      </c>
      <c r="K203" s="666"/>
      <c r="L203" s="1167" t="n"/>
      <c r="M203" s="1167" t="n"/>
      <c r="N203" s="1168" t="n"/>
      <c r="O203" s="1168" t="n"/>
      <c r="P203" s="1168" t="n"/>
      <c r="Q203" s="1168" t="n"/>
      <c r="R203" s="1168" t="n"/>
      <c r="S203" s="1168" t="n"/>
      <c r="T203" s="1168" t="n"/>
      <c r="U203" s="1168" t="n"/>
      <c r="V203" s="1168" t="n"/>
      <c r="W203" s="1168" t="n"/>
      <c r="X203" s="1168" t="n"/>
      <c r="Y203" s="1167" t="n"/>
    </row>
    <row r="204" s="3154" customFormat="1" ht="12.75" customHeight="1">
      <c r="A204" s="1117">
        <f t="array" ref="A204">IF(I203&gt;0.5,A203+1,"")</f>
        <v>187</v>
      </c>
      <c r="B204" s="3515">
        <f t="array" ref="B204">IF(A204&lt;&gt;"",DATE(YEAR($D$9),MONTH($D$9)+A204,DAY($D$9)),"")</f>
        <v>52444</v>
      </c>
      <c r="C204" s="3516">
        <f t="array" ref="C204">IF(A204&lt;&gt;"",I203,"")</f>
        <v>2822913.5980821</v>
      </c>
      <c r="D204" s="3516">
        <f t="array" ref="D204">IF(A204&lt;&gt;"",$H$5,"")</f>
        <v>33254.5945333633</v>
      </c>
      <c r="E204" s="3517">
        <v>0</v>
      </c>
      <c r="F204" s="3516">
        <f t="array" ref="F204">IF(A204&lt;&gt;"",D204+E204,"")</f>
        <v>33254.5945333633</v>
      </c>
      <c r="G204" s="3516">
        <f t="array" ref="G204">IF(A204&lt;&gt;"",F204-H204,0)</f>
        <v>17963.812543752</v>
      </c>
      <c r="H204" s="3516">
        <f t="array" ref="H204">IF(A204&lt;&gt;"",C204*$D$6/$D$8,0)</f>
        <v>15290.7819896114</v>
      </c>
      <c r="I204" s="3516">
        <f t="array" ref="I204">IF(A204&lt;&gt;"",C204-G204,0)</f>
        <v>2804949.78553835</v>
      </c>
      <c r="J204" s="3516">
        <f t="array" ref="J204">IF(A204&lt;&gt;"",J203+H204,J203)</f>
        <v>4098463.90548929</v>
      </c>
      <c r="K204" s="666"/>
      <c r="L204" s="1167" t="n"/>
      <c r="M204" s="1167" t="n"/>
      <c r="N204" s="1168" t="n"/>
      <c r="O204" s="1168" t="n"/>
      <c r="P204" s="1168" t="n"/>
      <c r="Q204" s="1168" t="n"/>
      <c r="R204" s="1168" t="n"/>
      <c r="S204" s="1168" t="n"/>
      <c r="T204" s="1168" t="n"/>
      <c r="U204" s="1168" t="n"/>
      <c r="V204" s="1168" t="n"/>
      <c r="W204" s="1168" t="n"/>
      <c r="X204" s="1168" t="n"/>
      <c r="Y204" s="1167" t="n"/>
    </row>
    <row r="205" s="3154" customFormat="1" ht="12.75" customHeight="1">
      <c r="A205" s="1117">
        <f t="array" ref="A205">IF(I204&gt;0.5,A204+1,"")</f>
        <v>188</v>
      </c>
      <c r="B205" s="3515">
        <f t="array" ref="B205">IF(A205&lt;&gt;"",DATE(YEAR($D$9),MONTH($D$9)+A205,DAY($D$9)),"")</f>
        <v>52475</v>
      </c>
      <c r="C205" s="3516">
        <f t="array" ref="C205">IF(A205&lt;&gt;"",I204,"")</f>
        <v>2804949.78553835</v>
      </c>
      <c r="D205" s="3516">
        <f t="array" ref="D205">IF(A205&lt;&gt;"",$H$5,"")</f>
        <v>33254.5945333633</v>
      </c>
      <c r="E205" s="3517">
        <v>0</v>
      </c>
      <c r="F205" s="3516">
        <f t="array" ref="F205">IF(A205&lt;&gt;"",D205+E205,"")</f>
        <v>33254.5945333633</v>
      </c>
      <c r="G205" s="3516">
        <f t="array" ref="G205">IF(A205&lt;&gt;"",F205-H205,0)</f>
        <v>18061.1165283639</v>
      </c>
      <c r="H205" s="3516">
        <f t="array" ref="H205">IF(A205&lt;&gt;"",C205*$D$6/$D$8,0)</f>
        <v>15193.4780049994</v>
      </c>
      <c r="I205" s="3516">
        <f t="array" ref="I205">IF(A205&lt;&gt;"",C205-G205,0)</f>
        <v>2786888.66900999</v>
      </c>
      <c r="J205" s="3516">
        <f t="array" ref="J205">IF(A205&lt;&gt;"",J204+H205,J204)</f>
        <v>4113657.38349429</v>
      </c>
      <c r="K205" s="666"/>
      <c r="L205" s="1167" t="n"/>
      <c r="M205" s="1167" t="n"/>
      <c r="N205" s="1168" t="n"/>
      <c r="O205" s="1168" t="n"/>
      <c r="P205" s="1168" t="n"/>
      <c r="Q205" s="1168" t="n"/>
      <c r="R205" s="1168" t="n"/>
      <c r="S205" s="1168" t="n"/>
      <c r="T205" s="1168" t="n"/>
      <c r="U205" s="1168" t="n"/>
      <c r="V205" s="1168" t="n"/>
      <c r="W205" s="1168" t="n"/>
      <c r="X205" s="1168" t="n"/>
      <c r="Y205" s="1167" t="n"/>
    </row>
    <row r="206" s="3154" customFormat="1" ht="12.75" customHeight="1">
      <c r="A206" s="1117">
        <f t="array" ref="A206">IF(I205&gt;0.5,A205+1,"")</f>
        <v>189</v>
      </c>
      <c r="B206" s="3515">
        <f t="array" ref="B206">IF(A206&lt;&gt;"",DATE(YEAR($D$9),MONTH($D$9)+A206,DAY($D$9)),"")</f>
        <v>52505</v>
      </c>
      <c r="C206" s="3516">
        <f t="array" ref="C206">IF(A206&lt;&gt;"",I205,"")</f>
        <v>2786888.66900999</v>
      </c>
      <c r="D206" s="3516">
        <f t="array" ref="D206">IF(A206&lt;&gt;"",$H$5,"")</f>
        <v>33254.5945333633</v>
      </c>
      <c r="E206" s="3517">
        <v>0</v>
      </c>
      <c r="F206" s="3516">
        <f t="array" ref="F206">IF(A206&lt;&gt;"",D206+E206,"")</f>
        <v>33254.5945333633</v>
      </c>
      <c r="G206" s="3516">
        <f t="array" ref="G206">IF(A206&lt;&gt;"",F206-H206,0)</f>
        <v>18158.9475762259</v>
      </c>
      <c r="H206" s="3516">
        <f t="array" ref="H206">IF(A206&lt;&gt;"",C206*$D$6/$D$8,0)</f>
        <v>15095.6469571374</v>
      </c>
      <c r="I206" s="3516">
        <f t="array" ref="I206">IF(A206&lt;&gt;"",C206-G206,0)</f>
        <v>2768729.72143376</v>
      </c>
      <c r="J206" s="3516">
        <f t="array" ref="J206">IF(A206&lt;&gt;"",J205+H206,J205)</f>
        <v>4128753.03045143</v>
      </c>
      <c r="K206" s="666"/>
      <c r="L206" s="1167" t="n"/>
      <c r="M206" s="1167" t="n"/>
      <c r="N206" s="1168" t="n"/>
      <c r="O206" s="1168" t="n"/>
      <c r="P206" s="1168" t="n"/>
      <c r="Q206" s="1168" t="n"/>
      <c r="R206" s="1168" t="n"/>
      <c r="S206" s="1168" t="n"/>
      <c r="T206" s="1168" t="n"/>
      <c r="U206" s="1168" t="n"/>
      <c r="V206" s="1168" t="n"/>
      <c r="W206" s="1168" t="n"/>
      <c r="X206" s="1168" t="n"/>
      <c r="Y206" s="1167" t="n"/>
    </row>
    <row r="207" s="3154" customFormat="1" ht="12.75" customHeight="1">
      <c r="A207" s="1117">
        <f t="array" ref="A207">IF(I206&gt;0.5,A206+1,"")</f>
        <v>190</v>
      </c>
      <c r="B207" s="3515">
        <f t="array" ref="B207">IF(A207&lt;&gt;"",DATE(YEAR($D$9),MONTH($D$9)+A207,DAY($D$9)),"")</f>
        <v>52536</v>
      </c>
      <c r="C207" s="3516">
        <f t="array" ref="C207">IF(A207&lt;&gt;"",I206,"")</f>
        <v>2768729.72143376</v>
      </c>
      <c r="D207" s="3516">
        <f t="array" ref="D207">IF(A207&lt;&gt;"",$H$5,"")</f>
        <v>33254.5945333633</v>
      </c>
      <c r="E207" s="3517">
        <v>0</v>
      </c>
      <c r="F207" s="3516">
        <f t="array" ref="F207">IF(A207&lt;&gt;"",D207+E207,"")</f>
        <v>33254.5945333633</v>
      </c>
      <c r="G207" s="3516">
        <f t="array" ref="G207">IF(A207&lt;&gt;"",F207-H207,0)</f>
        <v>18257.3085422638</v>
      </c>
      <c r="H207" s="3516">
        <f t="array" ref="H207">IF(A207&lt;&gt;"",C207*$D$6/$D$8,0)</f>
        <v>14997.2859910995</v>
      </c>
      <c r="I207" s="3516">
        <f t="array" ref="I207">IF(A207&lt;&gt;"",C207-G207,0)</f>
        <v>2750472.4128915</v>
      </c>
      <c r="J207" s="3516">
        <f t="array" ref="J207">IF(A207&lt;&gt;"",J206+H207,J206)</f>
        <v>4143750.31644253</v>
      </c>
      <c r="K207" s="666"/>
      <c r="L207" s="1167" t="n"/>
      <c r="M207" s="1167" t="n"/>
      <c r="N207" s="1168" t="n"/>
      <c r="O207" s="1168" t="n"/>
      <c r="P207" s="1168" t="n"/>
      <c r="Q207" s="1168" t="n"/>
      <c r="R207" s="1168" t="n"/>
      <c r="S207" s="1168" t="n"/>
      <c r="T207" s="1168" t="n"/>
      <c r="U207" s="1168" t="n"/>
      <c r="V207" s="1168" t="n"/>
      <c r="W207" s="1168" t="n"/>
      <c r="X207" s="1168" t="n"/>
      <c r="Y207" s="1167" t="n"/>
    </row>
    <row r="208" s="3154" customFormat="1" ht="13.5" customHeight="1">
      <c r="A208" s="1132">
        <f t="array" ref="A208">IF(I207&gt;0.5,A207+1,"")</f>
        <v>191</v>
      </c>
      <c r="B208" s="3519">
        <f t="array" ref="B208">IF(A208&lt;&gt;"",DATE(YEAR($D$9),MONTH($D$9)+A208,DAY($D$9)),"")</f>
        <v>52566</v>
      </c>
      <c r="C208" s="3520">
        <f t="array" ref="C208">IF(A208&lt;&gt;"",I207,"")</f>
        <v>2750472.4128915</v>
      </c>
      <c r="D208" s="3520">
        <f t="array" ref="D208">IF(A208&lt;&gt;"",$H$5,"")</f>
        <v>33254.5945333633</v>
      </c>
      <c r="E208" s="3521">
        <v>0</v>
      </c>
      <c r="F208" s="3520">
        <f t="array" ref="F208">IF(A208&lt;&gt;"",D208+E208,"")</f>
        <v>33254.5945333633</v>
      </c>
      <c r="G208" s="3520">
        <f t="array" ref="G208">IF(A208&lt;&gt;"",F208-H208,0)</f>
        <v>18356.2022968677</v>
      </c>
      <c r="H208" s="3520">
        <f t="array" ref="H208">IF(A208&lt;&gt;"",C208*$D$6/$D$8,0)</f>
        <v>14898.3922364956</v>
      </c>
      <c r="I208" s="3520">
        <f t="array" ref="I208">IF(A208&lt;&gt;"",C208-G208,0)</f>
        <v>2732116.21059463</v>
      </c>
      <c r="J208" s="3520">
        <f t="array" ref="J208">IF(A208&lt;&gt;"",J207+H208,J207)</f>
        <v>4158648.70867902</v>
      </c>
      <c r="K208" s="666"/>
      <c r="L208" s="1167" t="n"/>
      <c r="M208" s="1167" t="n"/>
      <c r="N208" s="1168" t="n"/>
      <c r="O208" s="1168" t="n"/>
      <c r="P208" s="1168" t="n"/>
      <c r="Q208" s="1168" t="n"/>
      <c r="R208" s="1168" t="n"/>
      <c r="S208" s="1168" t="n"/>
      <c r="T208" s="1168" t="n"/>
      <c r="U208" s="1168" t="n"/>
      <c r="V208" s="1168" t="n"/>
      <c r="W208" s="1168" t="n"/>
      <c r="X208" s="1168" t="n"/>
      <c r="Y208" s="1167" t="n"/>
    </row>
    <row r="209" s="3154" customFormat="1" ht="13.5" customHeight="1">
      <c r="A209" s="1141">
        <f t="array" ref="A209">IF(I208&gt;0.5,A208+1,"")</f>
        <v>192</v>
      </c>
      <c r="B209" s="3523">
        <f t="array" ref="B209">IF(A209&lt;&gt;"",DATE(YEAR($D$9),MONTH($D$9)+A209,DAY($D$9)),"")</f>
        <v>52597</v>
      </c>
      <c r="C209" s="3524">
        <f t="array" ref="C209">IF(A209&lt;&gt;"",I208,"")</f>
        <v>2732116.21059463</v>
      </c>
      <c r="D209" s="3524">
        <f t="array" ref="D209">IF(A209&lt;&gt;"",$H$5,"")</f>
        <v>33254.5945333633</v>
      </c>
      <c r="E209" s="3525">
        <v>0</v>
      </c>
      <c r="F209" s="3524">
        <f t="array" ref="F209">IF(A209&lt;&gt;"",D209+E209,"")</f>
        <v>33254.5945333633</v>
      </c>
      <c r="G209" s="3524">
        <f t="array" ref="G209">IF(A209&lt;&gt;"",F209-H209,0)</f>
        <v>18455.6317259758</v>
      </c>
      <c r="H209" s="3526">
        <f t="array" ref="H209">IF(A209&lt;&gt;"",C209*$D$6/$D$8,0)</f>
        <v>14798.9628073876</v>
      </c>
      <c r="I209" s="3527">
        <f t="array" ref="I209">IF(A209&lt;&gt;"",C209-G209,0)</f>
        <v>2713660.57886865</v>
      </c>
      <c r="J209" s="3527">
        <f t="array" ref="J209">IF(A209&lt;&gt;"",J208+H209,J208)</f>
        <v>4173447.67148641</v>
      </c>
      <c r="K209" s="793">
        <v>215021.670479071</v>
      </c>
      <c r="L209" s="1167" t="n"/>
      <c r="M209" s="1167" t="n"/>
      <c r="N209" s="1168" t="n"/>
      <c r="O209" s="1168" t="n"/>
      <c r="P209" s="1168" t="n"/>
      <c r="Q209" s="1168" t="n"/>
      <c r="R209" s="1168" t="n"/>
      <c r="S209" s="1168" t="n"/>
      <c r="T209" s="1168" t="n"/>
      <c r="U209" s="1168" t="n"/>
      <c r="V209" s="1168" t="n"/>
      <c r="W209" s="1168" t="n"/>
      <c r="X209" s="1168" t="n"/>
      <c r="Y209" s="1167" t="n"/>
    </row>
    <row r="210" s="3154" customFormat="1" ht="12.75" customHeight="1">
      <c r="A210" s="1149">
        <f t="array" ref="A210">IF(I209&gt;0.5,A209+1,"")</f>
        <v>193</v>
      </c>
      <c r="B210" s="3530">
        <f t="array" ref="B210">IF(A210&lt;&gt;"",DATE(YEAR($D$9),MONTH($D$9)+A210,DAY($D$9)),"")</f>
        <v>52628</v>
      </c>
      <c r="C210" s="3531">
        <f t="array" ref="C210">IF(A210&lt;&gt;"",I209,"")</f>
        <v>2713660.57886865</v>
      </c>
      <c r="D210" s="3531">
        <f t="array" ref="D210">IF(A210&lt;&gt;"",$H$5,"")</f>
        <v>33254.5945333633</v>
      </c>
      <c r="E210" s="3532">
        <v>0</v>
      </c>
      <c r="F210" s="3531">
        <f t="array" ref="F210">IF(A210&lt;&gt;"",D210+E210,"")</f>
        <v>33254.5945333633</v>
      </c>
      <c r="G210" s="3531">
        <f t="array" ref="G210">IF(A210&lt;&gt;"",F210-H210,0)</f>
        <v>18555.5997311581</v>
      </c>
      <c r="H210" s="3531">
        <f t="array" ref="H210">IF(A210&lt;&gt;"",C210*$D$6/$D$8,0)</f>
        <v>14698.9948022052</v>
      </c>
      <c r="I210" s="3531">
        <f t="array" ref="I210">IF(A210&lt;&gt;"",C210-G210,0)</f>
        <v>2695104.9791375</v>
      </c>
      <c r="J210" s="3531">
        <f t="array" ref="J210">IF(A210&lt;&gt;"",J209+H210,J209)</f>
        <v>4188146.66628862</v>
      </c>
      <c r="K210" s="666"/>
      <c r="L210" s="1167" t="n"/>
      <c r="M210" s="1167" t="n"/>
      <c r="N210" s="1168" t="n"/>
      <c r="O210" s="1168" t="n"/>
      <c r="P210" s="1168" t="n"/>
      <c r="Q210" s="1168" t="n"/>
      <c r="R210" s="1168" t="n"/>
      <c r="S210" s="1168" t="n"/>
      <c r="T210" s="1168" t="n"/>
      <c r="U210" s="1168" t="n"/>
      <c r="V210" s="1168" t="n"/>
      <c r="W210" s="1168" t="n"/>
      <c r="X210" s="1168" t="n"/>
      <c r="Y210" s="1167" t="n"/>
    </row>
    <row r="211" s="3154" customFormat="1" ht="12.75" customHeight="1">
      <c r="A211" s="1117">
        <f t="array" ref="A211">IF(I210&gt;0.5,A210+1,"")</f>
        <v>194</v>
      </c>
      <c r="B211" s="3515">
        <f t="array" ref="B211">IF(A211&lt;&gt;"",DATE(YEAR($D$9),MONTH($D$9)+A211,DAY($D$9)),"")</f>
        <v>52657</v>
      </c>
      <c r="C211" s="3516">
        <f t="array" ref="C211">IF(A211&lt;&gt;"",I210,"")</f>
        <v>2695104.9791375</v>
      </c>
      <c r="D211" s="3516">
        <f t="array" ref="D211">IF(A211&lt;&gt;"",$H$5,"")</f>
        <v>33254.5945333633</v>
      </c>
      <c r="E211" s="3517">
        <v>0</v>
      </c>
      <c r="F211" s="3516">
        <f t="array" ref="F211">IF(A211&lt;&gt;"",D211+E211,"")</f>
        <v>33254.5945333633</v>
      </c>
      <c r="G211" s="3516">
        <f t="array" ref="G211">IF(A211&lt;&gt;"",F211-H211,0)</f>
        <v>18656.1092297019</v>
      </c>
      <c r="H211" s="3516">
        <f t="array" ref="H211">IF(A211&lt;&gt;"",C211*$D$6/$D$8,0)</f>
        <v>14598.4853036614</v>
      </c>
      <c r="I211" s="3516">
        <f t="array" ref="I211">IF(A211&lt;&gt;"",C211-G211,0)</f>
        <v>2676448.86990779</v>
      </c>
      <c r="J211" s="3516">
        <f t="array" ref="J211">IF(A211&lt;&gt;"",J210+H211,J210)</f>
        <v>4202745.15159228</v>
      </c>
      <c r="K211" s="666"/>
      <c r="L211" s="1167" t="n"/>
      <c r="M211" s="1167" t="n"/>
      <c r="N211" s="1168" t="n"/>
      <c r="O211" s="1168" t="n"/>
      <c r="P211" s="1168" t="n"/>
      <c r="Q211" s="1168" t="n"/>
      <c r="R211" s="1168" t="n"/>
      <c r="S211" s="1168" t="n"/>
      <c r="T211" s="1168" t="n"/>
      <c r="U211" s="1168" t="n"/>
      <c r="V211" s="1168" t="n"/>
      <c r="W211" s="1168" t="n"/>
      <c r="X211" s="1168" t="n"/>
      <c r="Y211" s="1167" t="n"/>
    </row>
    <row r="212" s="3154" customFormat="1" ht="12.75" customHeight="1">
      <c r="A212" s="1117">
        <f t="array" ref="A212">IF(I211&gt;0.5,A211+1,"")</f>
        <v>195</v>
      </c>
      <c r="B212" s="3515">
        <f t="array" ref="B212">IF(A212&lt;&gt;"",DATE(YEAR($D$9),MONTH($D$9)+A212,DAY($D$9)),"")</f>
        <v>52688</v>
      </c>
      <c r="C212" s="3516">
        <f t="array" ref="C212">IF(A212&lt;&gt;"",I211,"")</f>
        <v>2676448.86990779</v>
      </c>
      <c r="D212" s="3516">
        <f t="array" ref="D212">IF(A212&lt;&gt;"",$H$5,"")</f>
        <v>33254.5945333633</v>
      </c>
      <c r="E212" s="3517">
        <v>0</v>
      </c>
      <c r="F212" s="3516">
        <f t="array" ref="F212">IF(A212&lt;&gt;"",D212+E212,"")</f>
        <v>33254.5945333633</v>
      </c>
      <c r="G212" s="3516">
        <f t="array" ref="G212">IF(A212&lt;&gt;"",F212-H212,0)</f>
        <v>18757.1631546961</v>
      </c>
      <c r="H212" s="3516">
        <f t="array" ref="H212">IF(A212&lt;&gt;"",C212*$D$6/$D$8,0)</f>
        <v>14497.4313786672</v>
      </c>
      <c r="I212" s="3516">
        <f t="array" ref="I212">IF(A212&lt;&gt;"",C212-G212,0)</f>
        <v>2657691.7067531</v>
      </c>
      <c r="J212" s="3516">
        <f t="array" ref="J212">IF(A212&lt;&gt;"",J211+H212,J211)</f>
        <v>4217242.58297095</v>
      </c>
      <c r="K212" s="666"/>
      <c r="L212" s="1167" t="n"/>
      <c r="M212" s="1167" t="n"/>
      <c r="N212" s="1168" t="n"/>
      <c r="O212" s="1168" t="n"/>
      <c r="P212" s="1168" t="n"/>
      <c r="Q212" s="1168" t="n"/>
      <c r="R212" s="1168" t="n"/>
      <c r="S212" s="1168" t="n"/>
      <c r="T212" s="1168" t="n"/>
      <c r="U212" s="1168" t="n"/>
      <c r="V212" s="1168" t="n"/>
      <c r="W212" s="1168" t="n"/>
      <c r="X212" s="1168" t="n"/>
      <c r="Y212" s="1167" t="n"/>
    </row>
    <row r="213" s="3154" customFormat="1" ht="12.75" customHeight="1">
      <c r="A213" s="1117">
        <f t="array" ref="A213">IF(I212&gt;0.5,A212+1,"")</f>
        <v>196</v>
      </c>
      <c r="B213" s="3515">
        <f t="array" ref="B213">IF(A213&lt;&gt;"",DATE(YEAR($D$9),MONTH($D$9)+A213,DAY($D$9)),"")</f>
        <v>52718</v>
      </c>
      <c r="C213" s="3516">
        <f t="array" ref="C213">IF(A213&lt;&gt;"",I212,"")</f>
        <v>2657691.7067531</v>
      </c>
      <c r="D213" s="3516">
        <f t="array" ref="D213">IF(A213&lt;&gt;"",$H$5,"")</f>
        <v>33254.5945333633</v>
      </c>
      <c r="E213" s="3517">
        <v>0</v>
      </c>
      <c r="F213" s="3516">
        <f t="array" ref="F213">IF(A213&lt;&gt;"",D213+E213,"")</f>
        <v>33254.5945333633</v>
      </c>
      <c r="G213" s="3516">
        <f t="array" ref="G213">IF(A213&lt;&gt;"",F213-H213,0)</f>
        <v>18858.7644551174</v>
      </c>
      <c r="H213" s="3516">
        <f t="array" ref="H213">IF(A213&lt;&gt;"",C213*$D$6/$D$8,0)</f>
        <v>14395.8300782459</v>
      </c>
      <c r="I213" s="3516">
        <f t="array" ref="I213">IF(A213&lt;&gt;"",C213-G213,0)</f>
        <v>2638832.94229798</v>
      </c>
      <c r="J213" s="3516">
        <f t="array" ref="J213">IF(A213&lt;&gt;"",J212+H213,J212)</f>
        <v>4231638.41304919</v>
      </c>
      <c r="K213" s="666"/>
      <c r="L213" s="1167" t="n"/>
      <c r="M213" s="1167" t="n"/>
      <c r="N213" s="1168" t="n"/>
      <c r="O213" s="1168" t="n"/>
      <c r="P213" s="1168" t="n"/>
      <c r="Q213" s="1168" t="n"/>
      <c r="R213" s="1168" t="n"/>
      <c r="S213" s="1168" t="n"/>
      <c r="T213" s="1168" t="n"/>
      <c r="U213" s="1168" t="n"/>
      <c r="V213" s="1168" t="n"/>
      <c r="W213" s="1168" t="n"/>
      <c r="X213" s="1168" t="n"/>
      <c r="Y213" s="1167" t="n"/>
    </row>
    <row r="214" s="3154" customFormat="1" ht="12.75" customHeight="1">
      <c r="A214" s="1117">
        <f t="array" ref="A214">IF(I213&gt;0.5,A213+1,"")</f>
        <v>197</v>
      </c>
      <c r="B214" s="3515">
        <f t="array" ref="B214">IF(A214&lt;&gt;"",DATE(YEAR($D$9),MONTH($D$9)+A214,DAY($D$9)),"")</f>
        <v>52749</v>
      </c>
      <c r="C214" s="3516">
        <f t="array" ref="C214">IF(A214&lt;&gt;"",I213,"")</f>
        <v>2638832.94229798</v>
      </c>
      <c r="D214" s="3516">
        <f t="array" ref="D214">IF(A214&lt;&gt;"",$H$5,"")</f>
        <v>33254.5945333633</v>
      </c>
      <c r="E214" s="3517">
        <v>0</v>
      </c>
      <c r="F214" s="3516">
        <f t="array" ref="F214">IF(A214&lt;&gt;"",D214+E214,"")</f>
        <v>33254.5945333633</v>
      </c>
      <c r="G214" s="3516">
        <f t="array" ref="G214">IF(A214&lt;&gt;"",F214-H214,0)</f>
        <v>18960.916095916</v>
      </c>
      <c r="H214" s="3516">
        <f t="array" ref="H214">IF(A214&lt;&gt;"",C214*$D$6/$D$8,0)</f>
        <v>14293.6784374474</v>
      </c>
      <c r="I214" s="3516">
        <f t="array" ref="I214">IF(A214&lt;&gt;"",C214-G214,0)</f>
        <v>2619872.02620206</v>
      </c>
      <c r="J214" s="3516">
        <f t="array" ref="J214">IF(A214&lt;&gt;"",J213+H214,J213)</f>
        <v>4245932.09148664</v>
      </c>
      <c r="K214" s="666"/>
      <c r="L214" s="1167" t="n"/>
      <c r="M214" s="1167" t="n"/>
      <c r="N214" s="1168" t="n"/>
      <c r="O214" s="1168" t="n"/>
      <c r="P214" s="1168" t="n"/>
      <c r="Q214" s="1168" t="n"/>
      <c r="R214" s="1168" t="n"/>
      <c r="S214" s="1168" t="n"/>
      <c r="T214" s="1168" t="n"/>
      <c r="U214" s="1168" t="n"/>
      <c r="V214" s="1168" t="n"/>
      <c r="W214" s="1168" t="n"/>
      <c r="X214" s="1168" t="n"/>
      <c r="Y214" s="1167" t="n"/>
    </row>
    <row r="215" s="3154" customFormat="1" ht="12.75" customHeight="1">
      <c r="A215" s="1117">
        <f t="array" ref="A215">IF(I214&gt;0.5,A214+1,"")</f>
        <v>198</v>
      </c>
      <c r="B215" s="3515">
        <f t="array" ref="B215">IF(A215&lt;&gt;"",DATE(YEAR($D$9),MONTH($D$9)+A215,DAY($D$9)),"")</f>
        <v>52779</v>
      </c>
      <c r="C215" s="3516">
        <f t="array" ref="C215">IF(A215&lt;&gt;"",I214,"")</f>
        <v>2619872.02620206</v>
      </c>
      <c r="D215" s="3516">
        <f t="array" ref="D215">IF(A215&lt;&gt;"",$H$5,"")</f>
        <v>33254.5945333633</v>
      </c>
      <c r="E215" s="3517">
        <v>0</v>
      </c>
      <c r="F215" s="3516">
        <f t="array" ref="F215">IF(A215&lt;&gt;"",D215+E215,"")</f>
        <v>33254.5945333633</v>
      </c>
      <c r="G215" s="3516">
        <f t="array" ref="G215">IF(A215&lt;&gt;"",F215-H215,0)</f>
        <v>19063.6210581022</v>
      </c>
      <c r="H215" s="3516">
        <f t="array" ref="H215">IF(A215&lt;&gt;"",C215*$D$6/$D$8,0)</f>
        <v>14190.9734752612</v>
      </c>
      <c r="I215" s="3516">
        <f t="array" ref="I215">IF(A215&lt;&gt;"",C215-G215,0)</f>
        <v>2600808.40514396</v>
      </c>
      <c r="J215" s="3516">
        <f t="array" ref="J215">IF(A215&lt;&gt;"",J214+H215,J214)</f>
        <v>4260123.0649619</v>
      </c>
      <c r="K215" s="666"/>
      <c r="L215" s="1167" t="n"/>
      <c r="M215" s="1167" t="n"/>
      <c r="N215" s="1168" t="n"/>
      <c r="O215" s="1168" t="n"/>
      <c r="P215" s="1168" t="n"/>
      <c r="Q215" s="1168" t="n"/>
      <c r="R215" s="1168" t="n"/>
      <c r="S215" s="1168" t="n"/>
      <c r="T215" s="1168" t="n"/>
      <c r="U215" s="1168" t="n"/>
      <c r="V215" s="1168" t="n"/>
      <c r="W215" s="1168" t="n"/>
      <c r="X215" s="1168" t="n"/>
      <c r="Y215" s="1167" t="n"/>
    </row>
    <row r="216" s="3154" customFormat="1" ht="12.75" customHeight="1">
      <c r="A216" s="1117">
        <f t="array" ref="A216">IF(I215&gt;0.5,A215+1,"")</f>
        <v>199</v>
      </c>
      <c r="B216" s="3515">
        <f t="array" ref="B216">IF(A216&lt;&gt;"",DATE(YEAR($D$9),MONTH($D$9)+A216,DAY($D$9)),"")</f>
        <v>52810</v>
      </c>
      <c r="C216" s="3516">
        <f t="array" ref="C216">IF(A216&lt;&gt;"",I215,"")</f>
        <v>2600808.40514396</v>
      </c>
      <c r="D216" s="3516">
        <f t="array" ref="D216">IF(A216&lt;&gt;"",$H$5,"")</f>
        <v>33254.5945333633</v>
      </c>
      <c r="E216" s="3517">
        <v>0</v>
      </c>
      <c r="F216" s="3516">
        <f t="array" ref="F216">IF(A216&lt;&gt;"",D216+E216,"")</f>
        <v>33254.5945333633</v>
      </c>
      <c r="G216" s="3516">
        <f t="array" ref="G216">IF(A216&lt;&gt;"",F216-H216,0)</f>
        <v>19166.8823388336</v>
      </c>
      <c r="H216" s="3516">
        <f t="array" ref="H216">IF(A216&lt;&gt;"",C216*$D$6/$D$8,0)</f>
        <v>14087.7121945298</v>
      </c>
      <c r="I216" s="3516">
        <f t="array" ref="I216">IF(A216&lt;&gt;"",C216-G216,0)</f>
        <v>2581641.52280513</v>
      </c>
      <c r="J216" s="3516">
        <f t="array" ref="J216">IF(A216&lt;&gt;"",J215+H216,J215)</f>
        <v>4274210.77715643</v>
      </c>
      <c r="K216" s="666"/>
      <c r="L216" s="1167" t="n"/>
      <c r="M216" s="1167" t="n"/>
      <c r="N216" s="1168" t="n"/>
      <c r="O216" s="1168" t="n"/>
      <c r="P216" s="1168" t="n"/>
      <c r="Q216" s="1168" t="n"/>
      <c r="R216" s="1168" t="n"/>
      <c r="S216" s="1168" t="n"/>
      <c r="T216" s="1168" t="n"/>
      <c r="U216" s="1168" t="n"/>
      <c r="V216" s="1168" t="n"/>
      <c r="W216" s="1168" t="n"/>
      <c r="X216" s="1168" t="n"/>
      <c r="Y216" s="1167" t="n"/>
    </row>
    <row r="217" s="3154" customFormat="1" ht="12.75" customHeight="1">
      <c r="A217" s="1117">
        <f t="array" ref="A217">IF(I216&gt;0.5,A216+1,"")</f>
        <v>200</v>
      </c>
      <c r="B217" s="3515">
        <f t="array" ref="B217">IF(A217&lt;&gt;"",DATE(YEAR($D$9),MONTH($D$9)+A217,DAY($D$9)),"")</f>
        <v>52841</v>
      </c>
      <c r="C217" s="3516">
        <f t="array" ref="C217">IF(A217&lt;&gt;"",I216,"")</f>
        <v>2581641.52280513</v>
      </c>
      <c r="D217" s="3516">
        <f t="array" ref="D217">IF(A217&lt;&gt;"",$H$5,"")</f>
        <v>33254.5945333633</v>
      </c>
      <c r="E217" s="3517">
        <v>0</v>
      </c>
      <c r="F217" s="3516">
        <f t="array" ref="F217">IF(A217&lt;&gt;"",D217+E217,"")</f>
        <v>33254.5945333633</v>
      </c>
      <c r="G217" s="3516">
        <f t="array" ref="G217">IF(A217&lt;&gt;"",F217-H217,0)</f>
        <v>19270.7029515022</v>
      </c>
      <c r="H217" s="3516">
        <f t="array" ref="H217">IF(A217&lt;&gt;"",C217*$D$6/$D$8,0)</f>
        <v>13983.8915818611</v>
      </c>
      <c r="I217" s="3516">
        <f t="array" ref="I217">IF(A217&lt;&gt;"",C217-G217,0)</f>
        <v>2562370.81985363</v>
      </c>
      <c r="J217" s="3516">
        <f t="array" ref="J217">IF(A217&lt;&gt;"",J216+H217,J216)</f>
        <v>4288194.66873829</v>
      </c>
      <c r="K217" s="666"/>
      <c r="L217" s="1167" t="n"/>
      <c r="M217" s="1167" t="n"/>
      <c r="N217" s="1168" t="n"/>
      <c r="O217" s="1168" t="n"/>
      <c r="P217" s="1168" t="n"/>
      <c r="Q217" s="1168" t="n"/>
      <c r="R217" s="1168" t="n"/>
      <c r="S217" s="1168" t="n"/>
      <c r="T217" s="1168" t="n"/>
      <c r="U217" s="1168" t="n"/>
      <c r="V217" s="1168" t="n"/>
      <c r="W217" s="1168" t="n"/>
      <c r="X217" s="1168" t="n"/>
      <c r="Y217" s="1167" t="n"/>
    </row>
    <row r="218" s="3154" customFormat="1" ht="12.75" customHeight="1">
      <c r="A218" s="1117">
        <f t="array" ref="A218">IF(I217&gt;0.5,A217+1,"")</f>
        <v>201</v>
      </c>
      <c r="B218" s="3515">
        <f t="array" ref="B218">IF(A218&lt;&gt;"",DATE(YEAR($D$9),MONTH($D$9)+A218,DAY($D$9)),"")</f>
        <v>52871</v>
      </c>
      <c r="C218" s="3516">
        <f t="array" ref="C218">IF(A218&lt;&gt;"",I217,"")</f>
        <v>2562370.81985363</v>
      </c>
      <c r="D218" s="3516">
        <f t="array" ref="D218">IF(A218&lt;&gt;"",$H$5,"")</f>
        <v>33254.5945333633</v>
      </c>
      <c r="E218" s="3517">
        <v>0</v>
      </c>
      <c r="F218" s="3516">
        <f t="array" ref="F218">IF(A218&lt;&gt;"",D218+E218,"")</f>
        <v>33254.5945333633</v>
      </c>
      <c r="G218" s="3516">
        <f t="array" ref="G218">IF(A218&lt;&gt;"",F218-H218,0)</f>
        <v>19375.0859258229</v>
      </c>
      <c r="H218" s="3516">
        <f t="array" ref="H218">IF(A218&lt;&gt;"",C218*$D$6/$D$8,0)</f>
        <v>13879.5086075405</v>
      </c>
      <c r="I218" s="3516">
        <f t="array" ref="I218">IF(A218&lt;&gt;"",C218-G218,0)</f>
        <v>2542995.7339278</v>
      </c>
      <c r="J218" s="3516">
        <f t="array" ref="J218">IF(A218&lt;&gt;"",J217+H218,J217)</f>
        <v>4302074.17734583</v>
      </c>
      <c r="K218" s="666"/>
      <c r="L218" s="1167" t="n"/>
      <c r="M218" s="1167" t="n"/>
      <c r="N218" s="1168" t="n"/>
      <c r="O218" s="1168" t="n"/>
      <c r="P218" s="1168" t="n"/>
      <c r="Q218" s="1168" t="n"/>
      <c r="R218" s="1168" t="n"/>
      <c r="S218" s="1168" t="n"/>
      <c r="T218" s="1168" t="n"/>
      <c r="U218" s="1168" t="n"/>
      <c r="V218" s="1168" t="n"/>
      <c r="W218" s="1168" t="n"/>
      <c r="X218" s="1168" t="n"/>
      <c r="Y218" s="1167" t="n"/>
    </row>
    <row r="219" s="3154" customFormat="1" ht="12.75" customHeight="1">
      <c r="A219" s="1117">
        <f t="array" ref="A219">IF(I218&gt;0.5,A218+1,"")</f>
        <v>202</v>
      </c>
      <c r="B219" s="3515">
        <f t="array" ref="B219">IF(A219&lt;&gt;"",DATE(YEAR($D$9),MONTH($D$9)+A219,DAY($D$9)),"")</f>
        <v>52902</v>
      </c>
      <c r="C219" s="3516">
        <f t="array" ref="C219">IF(A219&lt;&gt;"",I218,"")</f>
        <v>2542995.7339278</v>
      </c>
      <c r="D219" s="3516">
        <f t="array" ref="D219">IF(A219&lt;&gt;"",$H$5,"")</f>
        <v>33254.5945333633</v>
      </c>
      <c r="E219" s="3517">
        <v>0</v>
      </c>
      <c r="F219" s="3516">
        <f t="array" ref="F219">IF(A219&lt;&gt;"",D219+E219,"")</f>
        <v>33254.5945333633</v>
      </c>
      <c r="G219" s="3516">
        <f t="array" ref="G219">IF(A219&lt;&gt;"",F219-H219,0)</f>
        <v>19480.0343079211</v>
      </c>
      <c r="H219" s="3516">
        <f t="array" ref="H219">IF(A219&lt;&gt;"",C219*$D$6/$D$8,0)</f>
        <v>13774.5602254423</v>
      </c>
      <c r="I219" s="3516">
        <f t="array" ref="I219">IF(A219&lt;&gt;"",C219-G219,0)</f>
        <v>2523515.69961988</v>
      </c>
      <c r="J219" s="3516">
        <f t="array" ref="J219">IF(A219&lt;&gt;"",J218+H219,J218)</f>
        <v>4315848.73757127</v>
      </c>
      <c r="K219" s="666"/>
      <c r="L219" s="1167" t="n"/>
      <c r="M219" s="1167" t="n"/>
      <c r="N219" s="1168" t="n"/>
      <c r="O219" s="1168" t="n"/>
      <c r="P219" s="1168" t="n"/>
      <c r="Q219" s="1168" t="n"/>
      <c r="R219" s="1168" t="n"/>
      <c r="S219" s="1168" t="n"/>
      <c r="T219" s="1168" t="n"/>
      <c r="U219" s="1168" t="n"/>
      <c r="V219" s="1168" t="n"/>
      <c r="W219" s="1168" t="n"/>
      <c r="X219" s="1168" t="n"/>
      <c r="Y219" s="1167" t="n"/>
    </row>
    <row r="220" s="3154" customFormat="1" ht="13.5" customHeight="1">
      <c r="A220" s="1132">
        <f t="array" ref="A220">IF(I219&gt;0.5,A219+1,"")</f>
        <v>203</v>
      </c>
      <c r="B220" s="3519">
        <f t="array" ref="B220">IF(A220&lt;&gt;"",DATE(YEAR($D$9),MONTH($D$9)+A220,DAY($D$9)),"")</f>
        <v>52932</v>
      </c>
      <c r="C220" s="3520">
        <f t="array" ref="C220">IF(A220&lt;&gt;"",I219,"")</f>
        <v>2523515.69961988</v>
      </c>
      <c r="D220" s="3520">
        <f t="array" ref="D220">IF(A220&lt;&gt;"",$H$5,"")</f>
        <v>33254.5945333633</v>
      </c>
      <c r="E220" s="3521">
        <v>0</v>
      </c>
      <c r="F220" s="3520">
        <f t="array" ref="F220">IF(A220&lt;&gt;"",D220+E220,"")</f>
        <v>33254.5945333633</v>
      </c>
      <c r="G220" s="3520">
        <f t="array" ref="G220">IF(A220&lt;&gt;"",F220-H220,0)</f>
        <v>19585.5511604223</v>
      </c>
      <c r="H220" s="3520">
        <f t="array" ref="H220">IF(A220&lt;&gt;"",C220*$D$6/$D$8,0)</f>
        <v>13669.043372941</v>
      </c>
      <c r="I220" s="3520">
        <f t="array" ref="I220">IF(A220&lt;&gt;"",C220-G220,0)</f>
        <v>2503930.14845946</v>
      </c>
      <c r="J220" s="3520">
        <f t="array" ref="J220">IF(A220&lt;&gt;"",J219+H220,J219)</f>
        <v>4329517.78094421</v>
      </c>
      <c r="K220" s="666"/>
      <c r="L220" s="1167" t="n"/>
      <c r="M220" s="1167" t="n"/>
      <c r="N220" s="1168" t="n"/>
      <c r="O220" s="1168" t="n"/>
      <c r="P220" s="1168" t="n"/>
      <c r="Q220" s="1168" t="n"/>
      <c r="R220" s="1168" t="n"/>
      <c r="S220" s="1168" t="n"/>
      <c r="T220" s="1168" t="n"/>
      <c r="U220" s="1168" t="n"/>
      <c r="V220" s="1168" t="n"/>
      <c r="W220" s="1168" t="n"/>
      <c r="X220" s="1168" t="n"/>
      <c r="Y220" s="1167" t="n"/>
    </row>
    <row r="221" s="3154" customFormat="1" ht="13.5" customHeight="1">
      <c r="A221" s="1141">
        <f t="array" ref="A221">IF(I220&gt;0.5,A220+1,"")</f>
        <v>204</v>
      </c>
      <c r="B221" s="3523">
        <f t="array" ref="B221">IF(A221&lt;&gt;"",DATE(YEAR($D$9),MONTH($D$9)+A221,DAY($D$9)),"")</f>
        <v>52963</v>
      </c>
      <c r="C221" s="3524">
        <f t="array" ref="C221">IF(A221&lt;&gt;"",I220,"")</f>
        <v>2503930.14845946</v>
      </c>
      <c r="D221" s="3525">
        <f t="array" ref="D221">IF(A221&lt;&gt;"",$H$5,"")</f>
        <v>33254.5945333633</v>
      </c>
      <c r="E221" s="3524">
        <v>0</v>
      </c>
      <c r="F221" s="3524">
        <f t="array" ref="F221">IF(A221&lt;&gt;"",D221+E221,"")</f>
        <v>33254.5945333633</v>
      </c>
      <c r="G221" s="3526">
        <f t="array" ref="G221">IF(A221&lt;&gt;"",F221-H221,0)</f>
        <v>19691.6395625413</v>
      </c>
      <c r="H221" s="3527">
        <f t="array" ref="H221">IF(A221&lt;&gt;"",C221*$D$6/$D$8,0)</f>
        <v>13562.9549708221</v>
      </c>
      <c r="I221" s="3527">
        <f t="array" ref="I221">IF(A221&lt;&gt;"",C221-G221,0)</f>
        <v>2484238.50889692</v>
      </c>
      <c r="J221" s="3527">
        <f t="array" ref="J221">IF(A221&lt;&gt;"",J220+H221,J220)</f>
        <v>4343080.73591504</v>
      </c>
      <c r="K221" s="793">
        <v>229422.069971735</v>
      </c>
      <c r="L221" s="1167" t="n"/>
      <c r="M221" s="1167" t="n"/>
      <c r="N221" s="1168" t="n"/>
      <c r="O221" s="1168" t="n"/>
      <c r="P221" s="1168" t="n"/>
      <c r="Q221" s="1168" t="n"/>
      <c r="R221" s="1168" t="n"/>
      <c r="S221" s="1168" t="n"/>
      <c r="T221" s="1168" t="n"/>
      <c r="U221" s="1168" t="n"/>
      <c r="V221" s="1168" t="n"/>
      <c r="W221" s="1168" t="n"/>
      <c r="X221" s="1168" t="n"/>
      <c r="Y221" s="1167" t="n"/>
    </row>
    <row r="222" s="3154" customFormat="1" ht="12.75" customHeight="1">
      <c r="A222" s="1149">
        <f t="array" ref="A222">IF(I221&gt;0.5,A221+1,"")</f>
        <v>205</v>
      </c>
      <c r="B222" s="3530">
        <f t="array" ref="B222">IF(A222&lt;&gt;"",DATE(YEAR($D$9),MONTH($D$9)+A222,DAY($D$9)),"")</f>
        <v>52994</v>
      </c>
      <c r="C222" s="3531">
        <f t="array" ref="C222">IF(A222&lt;&gt;"",I221,"")</f>
        <v>2484238.50889692</v>
      </c>
      <c r="D222" s="3531">
        <f t="array" ref="D222">IF(A222&lt;&gt;"",$H$5,"")</f>
        <v>33254.5945333633</v>
      </c>
      <c r="E222" s="3532">
        <v>0</v>
      </c>
      <c r="F222" s="3531">
        <f t="array" ref="F222">IF(A222&lt;&gt;"",D222+E222,"")</f>
        <v>33254.5945333633</v>
      </c>
      <c r="G222" s="3531">
        <f t="array" ref="G222">IF(A222&lt;&gt;"",F222-H222,0)</f>
        <v>19798.3026101717</v>
      </c>
      <c r="H222" s="3531">
        <f t="array" ref="H222">IF(A222&lt;&gt;"",C222*$D$6/$D$8,0)</f>
        <v>13456.2919231916</v>
      </c>
      <c r="I222" s="3531">
        <f t="array" ref="I222">IF(A222&lt;&gt;"",C222-G222,0)</f>
        <v>2464440.20628675</v>
      </c>
      <c r="J222" s="3531">
        <f t="array" ref="J222">IF(A222&lt;&gt;"",J221+H222,J221)</f>
        <v>4356537.02783823</v>
      </c>
      <c r="K222" s="666"/>
      <c r="L222" s="1167" t="n"/>
      <c r="M222" s="1167" t="n"/>
      <c r="N222" s="1168" t="n"/>
      <c r="O222" s="1168" t="n"/>
      <c r="P222" s="1168" t="n"/>
      <c r="Q222" s="1168" t="n"/>
      <c r="R222" s="1168" t="n"/>
      <c r="S222" s="1168" t="n"/>
      <c r="T222" s="1168" t="n"/>
      <c r="U222" s="1168" t="n"/>
      <c r="V222" s="1168" t="n"/>
      <c r="W222" s="1168" t="n"/>
      <c r="X222" s="1168" t="n"/>
      <c r="Y222" s="1167" t="n"/>
    </row>
    <row r="223" s="3154" customFormat="1" ht="12.75" customHeight="1">
      <c r="A223" s="1117">
        <f t="array" ref="A223">IF(I222&gt;0.5,A222+1,"")</f>
        <v>206</v>
      </c>
      <c r="B223" s="3515">
        <f t="array" ref="B223">IF(A223&lt;&gt;"",DATE(YEAR($D$9),MONTH($D$9)+A223,DAY($D$9)),"")</f>
        <v>53022</v>
      </c>
      <c r="C223" s="3516">
        <f t="array" ref="C223">IF(A223&lt;&gt;"",I222,"")</f>
        <v>2464440.20628675</v>
      </c>
      <c r="D223" s="3516">
        <f t="array" ref="D223">IF(A223&lt;&gt;"",$H$5,"")</f>
        <v>33254.5945333633</v>
      </c>
      <c r="E223" s="3517">
        <v>0</v>
      </c>
      <c r="F223" s="3516">
        <f t="array" ref="F223">IF(A223&lt;&gt;"",D223+E223,"")</f>
        <v>33254.5945333633</v>
      </c>
      <c r="G223" s="3516">
        <f t="array" ref="G223">IF(A223&lt;&gt;"",F223-H223,0)</f>
        <v>19905.5434159768</v>
      </c>
      <c r="H223" s="3516">
        <f t="array" ref="H223">IF(A223&lt;&gt;"",C223*$D$6/$D$8,0)</f>
        <v>13349.0511173865</v>
      </c>
      <c r="I223" s="3516">
        <f t="array" ref="I223">IF(A223&lt;&gt;"",C223-G223,0)</f>
        <v>2444534.66287077</v>
      </c>
      <c r="J223" s="3516">
        <f t="array" ref="J223">IF(A223&lt;&gt;"",J222+H223,J222)</f>
        <v>4369886.07895561</v>
      </c>
      <c r="K223" s="666"/>
      <c r="L223" s="1167" t="n"/>
      <c r="M223" s="1167" t="n"/>
      <c r="N223" s="1168" t="n"/>
      <c r="O223" s="1168" t="n"/>
      <c r="P223" s="1168" t="n"/>
      <c r="Q223" s="1168" t="n"/>
      <c r="R223" s="1168" t="n"/>
      <c r="S223" s="1168" t="n"/>
      <c r="T223" s="1168" t="n"/>
      <c r="U223" s="1168" t="n"/>
      <c r="V223" s="1168" t="n"/>
      <c r="W223" s="1168" t="n"/>
      <c r="X223" s="1168" t="n"/>
      <c r="Y223" s="1167" t="n"/>
    </row>
    <row r="224" s="3154" customFormat="1" ht="12.75" customHeight="1">
      <c r="A224" s="1117">
        <f t="array" ref="A224">IF(I223&gt;0.5,A223+1,"")</f>
        <v>207</v>
      </c>
      <c r="B224" s="3515">
        <f t="array" ref="B224">IF(A224&lt;&gt;"",DATE(YEAR($D$9),MONTH($D$9)+A224,DAY($D$9)),"")</f>
        <v>53053</v>
      </c>
      <c r="C224" s="3516">
        <f t="array" ref="C224">IF(A224&lt;&gt;"",I223,"")</f>
        <v>2444534.66287077</v>
      </c>
      <c r="D224" s="3516">
        <f t="array" ref="D224">IF(A224&lt;&gt;"",$H$5,"")</f>
        <v>33254.5945333633</v>
      </c>
      <c r="E224" s="3517">
        <v>0</v>
      </c>
      <c r="F224" s="3516">
        <f t="array" ref="F224">IF(A224&lt;&gt;"",D224+E224,"")</f>
        <v>33254.5945333633</v>
      </c>
      <c r="G224" s="3516">
        <f t="array" ref="G224">IF(A224&lt;&gt;"",F224-H224,0)</f>
        <v>20013.36510948</v>
      </c>
      <c r="H224" s="3516">
        <f t="array" ref="H224">IF(A224&lt;&gt;"",C224*$D$6/$D$8,0)</f>
        <v>13241.2294238833</v>
      </c>
      <c r="I224" s="3516">
        <f t="array" ref="I224">IF(A224&lt;&gt;"",C224-G224,0)</f>
        <v>2424521.29776129</v>
      </c>
      <c r="J224" s="3516">
        <f t="array" ref="J224">IF(A224&lt;&gt;"",J223+H224,J223)</f>
        <v>4383127.3083795</v>
      </c>
      <c r="K224" s="666"/>
      <c r="L224" s="1167" t="n"/>
      <c r="M224" s="1167" t="n"/>
      <c r="N224" s="1168" t="n"/>
      <c r="O224" s="1168" t="n"/>
      <c r="P224" s="1168" t="n"/>
      <c r="Q224" s="1168" t="n"/>
      <c r="R224" s="1168" t="n"/>
      <c r="S224" s="1168" t="n"/>
      <c r="T224" s="1168" t="n"/>
      <c r="U224" s="1168" t="n"/>
      <c r="V224" s="1168" t="n"/>
      <c r="W224" s="1168" t="n"/>
      <c r="X224" s="1168" t="n"/>
      <c r="Y224" s="1167" t="n"/>
    </row>
    <row r="225" s="3154" customFormat="1" ht="12.75" customHeight="1">
      <c r="A225" s="1117">
        <f t="array" ref="A225">IF(I224&gt;0.5,A224+1,"")</f>
        <v>208</v>
      </c>
      <c r="B225" s="3515">
        <f t="array" ref="B225">IF(A225&lt;&gt;"",DATE(YEAR($D$9),MONTH($D$9)+A225,DAY($D$9)),"")</f>
        <v>53083</v>
      </c>
      <c r="C225" s="3516">
        <f t="array" ref="C225">IF(A225&lt;&gt;"",I224,"")</f>
        <v>2424521.29776129</v>
      </c>
      <c r="D225" s="3516">
        <f t="array" ref="D225">IF(A225&lt;&gt;"",$H$5,"")</f>
        <v>33254.5945333633</v>
      </c>
      <c r="E225" s="3517">
        <v>0</v>
      </c>
      <c r="F225" s="3516">
        <f t="array" ref="F225">IF(A225&lt;&gt;"",D225+E225,"")</f>
        <v>33254.5945333633</v>
      </c>
      <c r="G225" s="3516">
        <f t="array" ref="G225">IF(A225&lt;&gt;"",F225-H225,0)</f>
        <v>20121.7708371564</v>
      </c>
      <c r="H225" s="3516">
        <f t="array" ref="H225">IF(A225&lt;&gt;"",C225*$D$6/$D$8,0)</f>
        <v>13132.823696207</v>
      </c>
      <c r="I225" s="3516">
        <f t="array" ref="I225">IF(A225&lt;&gt;"",C225-G225,0)</f>
        <v>2404399.52692413</v>
      </c>
      <c r="J225" s="3516">
        <f t="array" ref="J225">IF(A225&lt;&gt;"",J224+H225,J224)</f>
        <v>4396260.1320757</v>
      </c>
      <c r="K225" s="666"/>
      <c r="L225" s="1167" t="n"/>
      <c r="M225" s="1167" t="n"/>
      <c r="N225" s="1168" t="n"/>
      <c r="O225" s="1168" t="n"/>
      <c r="P225" s="1168" t="n"/>
      <c r="Q225" s="1168" t="n"/>
      <c r="R225" s="1168" t="n"/>
      <c r="S225" s="1168" t="n"/>
      <c r="T225" s="1168" t="n"/>
      <c r="U225" s="1168" t="n"/>
      <c r="V225" s="1168" t="n"/>
      <c r="W225" s="1168" t="n"/>
      <c r="X225" s="1168" t="n"/>
      <c r="Y225" s="1167" t="n"/>
    </row>
    <row r="226" s="3154" customFormat="1" ht="12.75" customHeight="1">
      <c r="A226" s="1117">
        <f t="array" ref="A226">IF(I225&gt;0.5,A225+1,"")</f>
        <v>209</v>
      </c>
      <c r="B226" s="3515">
        <f t="array" ref="B226">IF(A226&lt;&gt;"",DATE(YEAR($D$9),MONTH($D$9)+A226,DAY($D$9)),"")</f>
        <v>53114</v>
      </c>
      <c r="C226" s="3516">
        <f t="array" ref="C226">IF(A226&lt;&gt;"",I225,"")</f>
        <v>2404399.52692413</v>
      </c>
      <c r="D226" s="3516">
        <f t="array" ref="D226">IF(A226&lt;&gt;"",$H$5,"")</f>
        <v>33254.5945333633</v>
      </c>
      <c r="E226" s="3517">
        <v>0</v>
      </c>
      <c r="F226" s="3516">
        <f t="array" ref="F226">IF(A226&lt;&gt;"",D226+E226,"")</f>
        <v>33254.5945333633</v>
      </c>
      <c r="G226" s="3516">
        <f t="array" ref="G226">IF(A226&lt;&gt;"",F226-H226,0)</f>
        <v>20230.7637625243</v>
      </c>
      <c r="H226" s="3516">
        <f t="array" ref="H226">IF(A226&lt;&gt;"",C226*$D$6/$D$8,0)</f>
        <v>13023.8307708391</v>
      </c>
      <c r="I226" s="3516">
        <f t="array" ref="I226">IF(A226&lt;&gt;"",C226-G226,0)</f>
        <v>2384168.76316161</v>
      </c>
      <c r="J226" s="3516">
        <f t="array" ref="J226">IF(A226&lt;&gt;"",J225+H226,J225)</f>
        <v>4409283.96284654</v>
      </c>
      <c r="K226" s="666"/>
      <c r="L226" s="1167" t="n"/>
      <c r="M226" s="1167" t="n"/>
      <c r="N226" s="1168" t="n"/>
      <c r="O226" s="1168" t="n"/>
      <c r="P226" s="1168" t="n"/>
      <c r="Q226" s="1168" t="n"/>
      <c r="R226" s="1168" t="n"/>
      <c r="S226" s="1168" t="n"/>
      <c r="T226" s="1168" t="n"/>
      <c r="U226" s="1168" t="n"/>
      <c r="V226" s="1168" t="n"/>
      <c r="W226" s="1168" t="n"/>
      <c r="X226" s="1168" t="n"/>
      <c r="Y226" s="1167" t="n"/>
    </row>
    <row r="227" s="3154" customFormat="1" ht="12.75" customHeight="1">
      <c r="A227" s="1117">
        <f t="array" ref="A227">IF(I226&gt;0.5,A226+1,"")</f>
        <v>210</v>
      </c>
      <c r="B227" s="3515">
        <f t="array" ref="B227">IF(A227&lt;&gt;"",DATE(YEAR($D$9),MONTH($D$9)+A227,DAY($D$9)),"")</f>
        <v>53144</v>
      </c>
      <c r="C227" s="3516">
        <f t="array" ref="C227">IF(A227&lt;&gt;"",I226,"")</f>
        <v>2384168.76316161</v>
      </c>
      <c r="D227" s="3516">
        <f t="array" ref="D227">IF(A227&lt;&gt;"",$H$5,"")</f>
        <v>33254.5945333633</v>
      </c>
      <c r="E227" s="3517">
        <v>0</v>
      </c>
      <c r="F227" s="3516">
        <f t="array" ref="F227">IF(A227&lt;&gt;"",D227+E227,"")</f>
        <v>33254.5945333633</v>
      </c>
      <c r="G227" s="3516">
        <f t="array" ref="G227">IF(A227&lt;&gt;"",F227-H227,0)</f>
        <v>20340.347066238</v>
      </c>
      <c r="H227" s="3516">
        <f t="array" ref="H227">IF(A227&lt;&gt;"",C227*$D$6/$D$8,0)</f>
        <v>12914.2474671254</v>
      </c>
      <c r="I227" s="3516">
        <f t="array" ref="I227">IF(A227&lt;&gt;"",C227-G227,0)</f>
        <v>2363828.41609537</v>
      </c>
      <c r="J227" s="3516">
        <f t="array" ref="J227">IF(A227&lt;&gt;"",J226+H227,J226)</f>
        <v>4422198.21031367</v>
      </c>
      <c r="K227" s="666"/>
      <c r="L227" s="1167" t="n"/>
      <c r="M227" s="1167" t="n"/>
      <c r="N227" s="1168" t="n"/>
      <c r="O227" s="1168" t="n"/>
      <c r="P227" s="1168" t="n"/>
      <c r="Q227" s="1168" t="n"/>
      <c r="R227" s="1168" t="n"/>
      <c r="S227" s="1168" t="n"/>
      <c r="T227" s="1168" t="n"/>
      <c r="U227" s="1168" t="n"/>
      <c r="V227" s="1168" t="n"/>
      <c r="W227" s="1168" t="n"/>
      <c r="X227" s="1168" t="n"/>
      <c r="Y227" s="1167" t="n"/>
    </row>
    <row r="228" s="3154" customFormat="1" ht="12.75" customHeight="1">
      <c r="A228" s="1117">
        <f t="array" ref="A228">IF(I227&gt;0.5,A227+1,"")</f>
        <v>211</v>
      </c>
      <c r="B228" s="3515">
        <f t="array" ref="B228">IF(A228&lt;&gt;"",DATE(YEAR($D$9),MONTH($D$9)+A228,DAY($D$9)),"")</f>
        <v>53175</v>
      </c>
      <c r="C228" s="3516">
        <f t="array" ref="C228">IF(A228&lt;&gt;"",I227,"")</f>
        <v>2363828.41609537</v>
      </c>
      <c r="D228" s="3516">
        <f t="array" ref="D228">IF(A228&lt;&gt;"",$H$5,"")</f>
        <v>33254.5945333633</v>
      </c>
      <c r="E228" s="3517">
        <v>0</v>
      </c>
      <c r="F228" s="3516">
        <f t="array" ref="F228">IF(A228&lt;&gt;"",D228+E228,"")</f>
        <v>33254.5945333633</v>
      </c>
      <c r="G228" s="3516">
        <f t="array" ref="G228">IF(A228&lt;&gt;"",F228-H228,0)</f>
        <v>20450.5239461801</v>
      </c>
      <c r="H228" s="3516">
        <f t="array" ref="H228">IF(A228&lt;&gt;"",C228*$D$6/$D$8,0)</f>
        <v>12804.0705871833</v>
      </c>
      <c r="I228" s="3516">
        <f t="array" ref="I228">IF(A228&lt;&gt;"",C228-G228,0)</f>
        <v>2343377.89214919</v>
      </c>
      <c r="J228" s="3516">
        <f t="array" ref="J228">IF(A228&lt;&gt;"",J227+H228,J227)</f>
        <v>4435002.28090085</v>
      </c>
      <c r="K228" s="666"/>
      <c r="L228" s="1167" t="n"/>
      <c r="M228" s="1167" t="n"/>
      <c r="N228" s="1168" t="n"/>
      <c r="O228" s="1168" t="n"/>
      <c r="P228" s="1168" t="n"/>
      <c r="Q228" s="1168" t="n"/>
      <c r="R228" s="1168" t="n"/>
      <c r="S228" s="1168" t="n"/>
      <c r="T228" s="1168" t="n"/>
      <c r="U228" s="1168" t="n"/>
      <c r="V228" s="1168" t="n"/>
      <c r="W228" s="1168" t="n"/>
      <c r="X228" s="1168" t="n"/>
      <c r="Y228" s="1167" t="n"/>
    </row>
    <row r="229" s="3154" customFormat="1" ht="12.75" customHeight="1">
      <c r="A229" s="1117">
        <f t="array" ref="A229">IF(I228&gt;0.5,A228+1,"")</f>
        <v>212</v>
      </c>
      <c r="B229" s="3515">
        <f t="array" ref="B229">IF(A229&lt;&gt;"",DATE(YEAR($D$9),MONTH($D$9)+A229,DAY($D$9)),"")</f>
        <v>53206</v>
      </c>
      <c r="C229" s="3516">
        <f t="array" ref="C229">IF(A229&lt;&gt;"",I228,"")</f>
        <v>2343377.89214919</v>
      </c>
      <c r="D229" s="3516">
        <f t="array" ref="D229">IF(A229&lt;&gt;"",$H$5,"")</f>
        <v>33254.5945333633</v>
      </c>
      <c r="E229" s="3517">
        <v>0</v>
      </c>
      <c r="F229" s="3516">
        <f t="array" ref="F229">IF(A229&lt;&gt;"",D229+E229,"")</f>
        <v>33254.5945333633</v>
      </c>
      <c r="G229" s="3516">
        <f t="array" ref="G229">IF(A229&lt;&gt;"",F229-H229,0)</f>
        <v>20561.2976175552</v>
      </c>
      <c r="H229" s="3516">
        <f t="array" ref="H229">IF(A229&lt;&gt;"",C229*$D$6/$D$8,0)</f>
        <v>12693.2969158081</v>
      </c>
      <c r="I229" s="3516">
        <f t="array" ref="I229">IF(A229&lt;&gt;"",C229-G229,0)</f>
        <v>2322816.59453164</v>
      </c>
      <c r="J229" s="3516">
        <f t="array" ref="J229">IF(A229&lt;&gt;"",J228+H229,J228)</f>
        <v>4447695.57781666</v>
      </c>
      <c r="K229" s="666"/>
      <c r="L229" s="1167" t="n"/>
      <c r="M229" s="1167" t="n"/>
      <c r="N229" s="1168" t="n"/>
      <c r="O229" s="1168" t="n"/>
      <c r="P229" s="1168" t="n"/>
      <c r="Q229" s="1168" t="n"/>
      <c r="R229" s="1168" t="n"/>
      <c r="S229" s="1168" t="n"/>
      <c r="T229" s="1168" t="n"/>
      <c r="U229" s="1168" t="n"/>
      <c r="V229" s="1168" t="n"/>
      <c r="W229" s="1168" t="n"/>
      <c r="X229" s="1168" t="n"/>
      <c r="Y229" s="1167" t="n"/>
    </row>
    <row r="230" s="3154" customFormat="1" ht="12.75" customHeight="1">
      <c r="A230" s="1117">
        <f t="array" ref="A230">IF(I229&gt;0.5,A229+1,"")</f>
        <v>213</v>
      </c>
      <c r="B230" s="3515">
        <f t="array" ref="B230">IF(A230&lt;&gt;"",DATE(YEAR($D$9),MONTH($D$9)+A230,DAY($D$9)),"")</f>
        <v>53236</v>
      </c>
      <c r="C230" s="3516">
        <f t="array" ref="C230">IF(A230&lt;&gt;"",I229,"")</f>
        <v>2322816.59453164</v>
      </c>
      <c r="D230" s="3516">
        <f t="array" ref="D230">IF(A230&lt;&gt;"",$H$5,"")</f>
        <v>33254.5945333633</v>
      </c>
      <c r="E230" s="3517">
        <v>0</v>
      </c>
      <c r="F230" s="3516">
        <f t="array" ref="F230">IF(A230&lt;&gt;"",D230+E230,"")</f>
        <v>33254.5945333633</v>
      </c>
      <c r="G230" s="3516">
        <f t="array" ref="G230">IF(A230&lt;&gt;"",F230-H230,0)</f>
        <v>20672.6713129837</v>
      </c>
      <c r="H230" s="3516">
        <f t="array" ref="H230">IF(A230&lt;&gt;"",C230*$D$6/$D$8,0)</f>
        <v>12581.9232203797</v>
      </c>
      <c r="I230" s="3516">
        <f t="array" ref="I230">IF(A230&lt;&gt;"",C230-G230,0)</f>
        <v>2302143.92321865</v>
      </c>
      <c r="J230" s="3516">
        <f t="array" ref="J230">IF(A230&lt;&gt;"",J229+H230,J229)</f>
        <v>4460277.50103704</v>
      </c>
      <c r="K230" s="666"/>
      <c r="L230" s="1167" t="n"/>
      <c r="M230" s="1167" t="n"/>
      <c r="N230" s="1168" t="n"/>
      <c r="O230" s="1168" t="n"/>
      <c r="P230" s="1168" t="n"/>
      <c r="Q230" s="1168" t="n"/>
      <c r="R230" s="1168" t="n"/>
      <c r="S230" s="1168" t="n"/>
      <c r="T230" s="1168" t="n"/>
      <c r="U230" s="1168" t="n"/>
      <c r="V230" s="1168" t="n"/>
      <c r="W230" s="1168" t="n"/>
      <c r="X230" s="1168" t="n"/>
      <c r="Y230" s="1167" t="n"/>
    </row>
    <row r="231" s="3154" customFormat="1" ht="12.75" customHeight="1">
      <c r="A231" s="1117">
        <f t="array" ref="A231">IF(I230&gt;0.5,A230+1,"")</f>
        <v>214</v>
      </c>
      <c r="B231" s="3515">
        <f t="array" ref="B231">IF(A231&lt;&gt;"",DATE(YEAR($D$9),MONTH($D$9)+A231,DAY($D$9)),"")</f>
        <v>53267</v>
      </c>
      <c r="C231" s="3516">
        <f t="array" ref="C231">IF(A231&lt;&gt;"",I230,"")</f>
        <v>2302143.92321865</v>
      </c>
      <c r="D231" s="3516">
        <f t="array" ref="D231">IF(A231&lt;&gt;"",$H$5,"")</f>
        <v>33254.5945333633</v>
      </c>
      <c r="E231" s="3517">
        <v>0</v>
      </c>
      <c r="F231" s="3516">
        <f t="array" ref="F231">IF(A231&lt;&gt;"",D231+E231,"")</f>
        <v>33254.5945333633</v>
      </c>
      <c r="G231" s="3516">
        <f t="array" ref="G231">IF(A231&lt;&gt;"",F231-H231,0)</f>
        <v>20784.6482825956</v>
      </c>
      <c r="H231" s="3516">
        <f t="array" ref="H231">IF(A231&lt;&gt;"",C231*$D$6/$D$8,0)</f>
        <v>12469.9462507677</v>
      </c>
      <c r="I231" s="3516">
        <f t="array" ref="I231">IF(A231&lt;&gt;"",C231-G231,0)</f>
        <v>2281359.27493606</v>
      </c>
      <c r="J231" s="3516">
        <f t="array" ref="J231">IF(A231&lt;&gt;"",J230+H231,J230)</f>
        <v>4472747.44728781</v>
      </c>
      <c r="K231" s="666"/>
      <c r="L231" s="1167" t="n"/>
      <c r="M231" s="1167" t="n"/>
      <c r="N231" s="1168" t="n"/>
      <c r="O231" s="1168" t="n"/>
      <c r="P231" s="1168" t="n"/>
      <c r="Q231" s="1168" t="n"/>
      <c r="R231" s="1168" t="n"/>
      <c r="S231" s="1168" t="n"/>
      <c r="T231" s="1168" t="n"/>
      <c r="U231" s="1168" t="n"/>
      <c r="V231" s="1168" t="n"/>
      <c r="W231" s="1168" t="n"/>
      <c r="X231" s="1168" t="n"/>
      <c r="Y231" s="1167" t="n"/>
    </row>
    <row r="232" s="3154" customFormat="1" ht="13.5" customHeight="1">
      <c r="A232" s="1132">
        <f t="array" ref="A232">IF(I231&gt;0.5,A231+1,"")</f>
        <v>215</v>
      </c>
      <c r="B232" s="3519">
        <f t="array" ref="B232">IF(A232&lt;&gt;"",DATE(YEAR($D$9),MONTH($D$9)+A232,DAY($D$9)),"")</f>
        <v>53297</v>
      </c>
      <c r="C232" s="3520">
        <f t="array" ref="C232">IF(A232&lt;&gt;"",I231,"")</f>
        <v>2281359.27493606</v>
      </c>
      <c r="D232" s="3520">
        <f t="array" ref="D232">IF(A232&lt;&gt;"",$H$5,"")</f>
        <v>33254.5945333633</v>
      </c>
      <c r="E232" s="3521">
        <v>0</v>
      </c>
      <c r="F232" s="3520">
        <f t="array" ref="F232">IF(A232&lt;&gt;"",D232+E232,"")</f>
        <v>33254.5945333633</v>
      </c>
      <c r="G232" s="3520">
        <f t="array" ref="G232">IF(A232&lt;&gt;"",F232-H232,0)</f>
        <v>20897.2317941264</v>
      </c>
      <c r="H232" s="3520">
        <f t="array" ref="H232">IF(A232&lt;&gt;"",C232*$D$6/$D$8,0)</f>
        <v>12357.362739237</v>
      </c>
      <c r="I232" s="3520">
        <f t="array" ref="I232">IF(A232&lt;&gt;"",C232-G232,0)</f>
        <v>2260462.04314193</v>
      </c>
      <c r="J232" s="3520">
        <f t="array" ref="J232">IF(A232&lt;&gt;"",J231+H232,J231)</f>
        <v>4485104.81002704</v>
      </c>
      <c r="K232" s="666"/>
      <c r="L232" s="1167" t="n"/>
      <c r="M232" s="1167" t="n"/>
      <c r="N232" s="1168" t="n"/>
      <c r="O232" s="1168" t="n"/>
      <c r="P232" s="1168" t="n"/>
      <c r="Q232" s="1168" t="n"/>
      <c r="R232" s="1168" t="n"/>
      <c r="S232" s="1168" t="n"/>
      <c r="T232" s="1168" t="n"/>
      <c r="U232" s="1168" t="n"/>
      <c r="V232" s="1168" t="n"/>
      <c r="W232" s="1168" t="n"/>
      <c r="X232" s="1168" t="n"/>
      <c r="Y232" s="1167" t="n"/>
    </row>
    <row r="233" s="3154" customFormat="1" ht="13.5" customHeight="1">
      <c r="A233" s="1141">
        <f t="array" ref="A233">IF(I232&gt;0.5,A232+1,"")</f>
        <v>216</v>
      </c>
      <c r="B233" s="3523">
        <f t="array" ref="B233">IF(A233&lt;&gt;"",DATE(YEAR($D$9),MONTH($D$9)+A233,DAY($D$9)),"")</f>
        <v>53328</v>
      </c>
      <c r="C233" s="3524">
        <f t="array" ref="C233">IF(A233&lt;&gt;"",I232,"")</f>
        <v>2260462.04314193</v>
      </c>
      <c r="D233" s="3524">
        <f t="array" ref="D233">IF(A233&lt;&gt;"",$H$5,"")</f>
        <v>33254.5945333633</v>
      </c>
      <c r="E233" s="3525">
        <v>0</v>
      </c>
      <c r="F233" s="3524">
        <f t="array" ref="F233">IF(A233&lt;&gt;"",D233+E233,"")</f>
        <v>33254.5945333633</v>
      </c>
      <c r="G233" s="3524">
        <f t="array" ref="G233">IF(A233&lt;&gt;"",F233-H233,0)</f>
        <v>21010.4251330112</v>
      </c>
      <c r="H233" s="3526">
        <f t="array" ref="H233">IF(A233&lt;&gt;"",C233*$D$6/$D$8,0)</f>
        <v>12244.1694003521</v>
      </c>
      <c r="I233" s="3527">
        <f t="array" ref="I233">IF(A233&lt;&gt;"",C233-G233,0)</f>
        <v>2239451.61800892</v>
      </c>
      <c r="J233" s="3527">
        <f t="array" ref="J233">IF(A233&lt;&gt;"",J232+H233,J232)</f>
        <v>4497348.9794274</v>
      </c>
      <c r="K233" s="793">
        <v>244786.890887999</v>
      </c>
      <c r="L233" s="1167" t="n"/>
      <c r="M233" s="1167" t="n"/>
      <c r="N233" s="1168" t="n"/>
      <c r="O233" s="1168" t="n"/>
      <c r="P233" s="1168" t="n"/>
      <c r="Q233" s="1168" t="n"/>
      <c r="R233" s="1168" t="n"/>
      <c r="S233" s="1168" t="n"/>
      <c r="T233" s="1168" t="n"/>
      <c r="U233" s="1168" t="n"/>
      <c r="V233" s="1168" t="n"/>
      <c r="W233" s="1168" t="n"/>
      <c r="X233" s="1168" t="n"/>
      <c r="Y233" s="1167" t="n"/>
    </row>
    <row r="234" s="3154" customFormat="1" ht="12.75" customHeight="1">
      <c r="A234" s="1149">
        <f t="array" ref="A234">IF(I233&gt;0.5,A233+1,"")</f>
        <v>217</v>
      </c>
      <c r="B234" s="3530">
        <f t="array" ref="B234">IF(A234&lt;&gt;"",DATE(YEAR($D$9),MONTH($D$9)+A234,DAY($D$9)),"")</f>
        <v>53359</v>
      </c>
      <c r="C234" s="3531">
        <f t="array" ref="C234">IF(A234&lt;&gt;"",I233,"")</f>
        <v>2239451.61800892</v>
      </c>
      <c r="D234" s="3531">
        <f t="array" ref="D234">IF(A234&lt;&gt;"",$H$5,"")</f>
        <v>33254.5945333633</v>
      </c>
      <c r="E234" s="3532">
        <v>0</v>
      </c>
      <c r="F234" s="3531">
        <f t="array" ref="F234">IF(A234&lt;&gt;"",D234+E234,"")</f>
        <v>33254.5945333633</v>
      </c>
      <c r="G234" s="3531">
        <f t="array" ref="G234">IF(A234&lt;&gt;"",F234-H234,0)</f>
        <v>21124.2316024817</v>
      </c>
      <c r="H234" s="3531">
        <f t="array" ref="H234">IF(A234&lt;&gt;"",C234*$D$6/$D$8,0)</f>
        <v>12130.3629308816</v>
      </c>
      <c r="I234" s="3531">
        <f t="array" ref="I234">IF(A234&lt;&gt;"",C234-G234,0)</f>
        <v>2218327.38640644</v>
      </c>
      <c r="J234" s="3531">
        <f t="array" ref="J234">IF(A234&lt;&gt;"",J233+H234,J233)</f>
        <v>4509479.34235828</v>
      </c>
      <c r="K234" s="666"/>
      <c r="L234" s="1167" t="n"/>
      <c r="M234" s="1167" t="n"/>
      <c r="N234" s="1168" t="n"/>
      <c r="O234" s="1168" t="n"/>
      <c r="P234" s="1168" t="n"/>
      <c r="Q234" s="1168" t="n"/>
      <c r="R234" s="1168" t="n"/>
      <c r="S234" s="1168" t="n"/>
      <c r="T234" s="1168" t="n"/>
      <c r="U234" s="1168" t="n"/>
      <c r="V234" s="1168" t="n"/>
      <c r="W234" s="1168" t="n"/>
      <c r="X234" s="1168" t="n"/>
      <c r="Y234" s="1167" t="n"/>
    </row>
    <row r="235" s="3154" customFormat="1" ht="12.75" customHeight="1">
      <c r="A235" s="1117">
        <f t="array" ref="A235">IF(I234&gt;0.5,A234+1,"")</f>
        <v>218</v>
      </c>
      <c r="B235" s="3515">
        <f t="array" ref="B235">IF(A235&lt;&gt;"",DATE(YEAR($D$9),MONTH($D$9)+A235,DAY($D$9)),"")</f>
        <v>53387</v>
      </c>
      <c r="C235" s="3516">
        <f t="array" ref="C235">IF(A235&lt;&gt;"",I234,"")</f>
        <v>2218327.38640644</v>
      </c>
      <c r="D235" s="3516">
        <f t="array" ref="D235">IF(A235&lt;&gt;"",$H$5,"")</f>
        <v>33254.5945333633</v>
      </c>
      <c r="E235" s="3517">
        <v>0</v>
      </c>
      <c r="F235" s="3516">
        <f t="array" ref="F235">IF(A235&lt;&gt;"",D235+E235,"")</f>
        <v>33254.5945333633</v>
      </c>
      <c r="G235" s="3516">
        <f t="array" ref="G235">IF(A235&lt;&gt;"",F235-H235,0)</f>
        <v>21238.6545236618</v>
      </c>
      <c r="H235" s="3516">
        <f t="array" ref="H235">IF(A235&lt;&gt;"",C235*$D$6/$D$8,0)</f>
        <v>12015.9400097015</v>
      </c>
      <c r="I235" s="3516">
        <f t="array" ref="I235">IF(A235&lt;&gt;"",C235-G235,0)</f>
        <v>2197088.73188278</v>
      </c>
      <c r="J235" s="3516">
        <f t="array" ref="J235">IF(A235&lt;&gt;"",J234+H235,J234)</f>
        <v>4521495.28236798</v>
      </c>
      <c r="K235" s="666"/>
      <c r="L235" s="1167" t="n"/>
      <c r="M235" s="1167" t="n"/>
      <c r="N235" s="1168" t="n"/>
      <c r="O235" s="1168" t="n"/>
      <c r="P235" s="1168" t="n"/>
      <c r="Q235" s="1168" t="n"/>
      <c r="R235" s="1168" t="n"/>
      <c r="S235" s="1168" t="n"/>
      <c r="T235" s="1168" t="n"/>
      <c r="U235" s="1168" t="n"/>
      <c r="V235" s="1168" t="n"/>
      <c r="W235" s="1168" t="n"/>
      <c r="X235" s="1168" t="n"/>
      <c r="Y235" s="1167" t="n"/>
    </row>
    <row r="236" s="3154" customFormat="1" ht="12.75" customHeight="1">
      <c r="A236" s="1117">
        <f t="array" ref="A236">IF(I235&gt;0.5,A235+1,"")</f>
        <v>219</v>
      </c>
      <c r="B236" s="3515">
        <f t="array" ref="B236">IF(A236&lt;&gt;"",DATE(YEAR($D$9),MONTH($D$9)+A236,DAY($D$9)),"")</f>
        <v>53418</v>
      </c>
      <c r="C236" s="3516">
        <f t="array" ref="C236">IF(A236&lt;&gt;"",I235,"")</f>
        <v>2197088.73188278</v>
      </c>
      <c r="D236" s="3516">
        <f t="array" ref="D236">IF(A236&lt;&gt;"",$H$5,"")</f>
        <v>33254.5945333633</v>
      </c>
      <c r="E236" s="3517">
        <v>0</v>
      </c>
      <c r="F236" s="3516">
        <f t="array" ref="F236">IF(A236&lt;&gt;"",D236+E236,"")</f>
        <v>33254.5945333633</v>
      </c>
      <c r="G236" s="3516">
        <f t="array" ref="G236">IF(A236&lt;&gt;"",F236-H236,0)</f>
        <v>21353.697235665</v>
      </c>
      <c r="H236" s="3516">
        <f t="array" ref="H236">IF(A236&lt;&gt;"",C236*$D$6/$D$8,0)</f>
        <v>11900.8972976984</v>
      </c>
      <c r="I236" s="3516">
        <f t="array" ref="I236">IF(A236&lt;&gt;"",C236-G236,0)</f>
        <v>2175735.03464711</v>
      </c>
      <c r="J236" s="3516">
        <f t="array" ref="J236">IF(A236&lt;&gt;"",J235+H236,J235)</f>
        <v>4533396.17966568</v>
      </c>
      <c r="K236" s="666"/>
      <c r="L236" s="1167" t="n"/>
      <c r="M236" s="1167" t="n"/>
      <c r="N236" s="1168" t="n"/>
      <c r="O236" s="1168" t="n"/>
      <c r="P236" s="1168" t="n"/>
      <c r="Q236" s="1168" t="n"/>
      <c r="R236" s="1168" t="n"/>
      <c r="S236" s="1168" t="n"/>
      <c r="T236" s="1168" t="n"/>
      <c r="U236" s="1168" t="n"/>
      <c r="V236" s="1168" t="n"/>
      <c r="W236" s="1168" t="n"/>
      <c r="X236" s="1168" t="n"/>
      <c r="Y236" s="1167" t="n"/>
    </row>
    <row r="237" s="3154" customFormat="1" ht="12.75" customHeight="1">
      <c r="A237" s="1117">
        <f t="array" ref="A237">IF(I236&gt;0.5,A236+1,"")</f>
        <v>220</v>
      </c>
      <c r="B237" s="3515">
        <f t="array" ref="B237">IF(A237&lt;&gt;"",DATE(YEAR($D$9),MONTH($D$9)+A237,DAY($D$9)),"")</f>
        <v>53448</v>
      </c>
      <c r="C237" s="3516">
        <f t="array" ref="C237">IF(A237&lt;&gt;"",I236,"")</f>
        <v>2175735.03464711</v>
      </c>
      <c r="D237" s="3516">
        <f t="array" ref="D237">IF(A237&lt;&gt;"",$H$5,"")</f>
        <v>33254.5945333633</v>
      </c>
      <c r="E237" s="3517">
        <v>0</v>
      </c>
      <c r="F237" s="3516">
        <f t="array" ref="F237">IF(A237&lt;&gt;"",D237+E237,"")</f>
        <v>33254.5945333633</v>
      </c>
      <c r="G237" s="3516">
        <f t="array" ref="G237">IF(A237&lt;&gt;"",F237-H237,0)</f>
        <v>21469.3630956915</v>
      </c>
      <c r="H237" s="3516">
        <f t="array" ref="H237">IF(A237&lt;&gt;"",C237*$D$6/$D$8,0)</f>
        <v>11785.2314376719</v>
      </c>
      <c r="I237" s="3516">
        <f t="array" ref="I237">IF(A237&lt;&gt;"",C237-G237,0)</f>
        <v>2154265.67155142</v>
      </c>
      <c r="J237" s="3516">
        <f t="array" ref="J237">IF(A237&lt;&gt;"",J236+H237,J236)</f>
        <v>4545181.41110335</v>
      </c>
      <c r="K237" s="666"/>
      <c r="L237" s="1167" t="n"/>
      <c r="M237" s="1167" t="n"/>
      <c r="N237" s="1168" t="n"/>
      <c r="O237" s="1168" t="n"/>
      <c r="P237" s="1168" t="n"/>
      <c r="Q237" s="1168" t="n"/>
      <c r="R237" s="1168" t="n"/>
      <c r="S237" s="1168" t="n"/>
      <c r="T237" s="1168" t="n"/>
      <c r="U237" s="1168" t="n"/>
      <c r="V237" s="1168" t="n"/>
      <c r="W237" s="1168" t="n"/>
      <c r="X237" s="1168" t="n"/>
      <c r="Y237" s="1167" t="n"/>
    </row>
    <row r="238" s="3154" customFormat="1" ht="12.75" customHeight="1">
      <c r="A238" s="1117">
        <f t="array" ref="A238">IF(I237&gt;0.5,A237+1,"")</f>
        <v>221</v>
      </c>
      <c r="B238" s="3515">
        <f t="array" ref="B238">IF(A238&lt;&gt;"",DATE(YEAR($D$9),MONTH($D$9)+A238,DAY($D$9)),"")</f>
        <v>53479</v>
      </c>
      <c r="C238" s="3516">
        <f t="array" ref="C238">IF(A238&lt;&gt;"",I237,"")</f>
        <v>2154265.67155142</v>
      </c>
      <c r="D238" s="3516">
        <f t="array" ref="D238">IF(A238&lt;&gt;"",$H$5,"")</f>
        <v>33254.5945333633</v>
      </c>
      <c r="E238" s="3517">
        <v>0</v>
      </c>
      <c r="F238" s="3516">
        <f t="array" ref="F238">IF(A238&lt;&gt;"",D238+E238,"")</f>
        <v>33254.5945333633</v>
      </c>
      <c r="G238" s="3516">
        <f t="array" ref="G238">IF(A238&lt;&gt;"",F238-H238,0)</f>
        <v>21585.6554791265</v>
      </c>
      <c r="H238" s="3516">
        <f t="array" ref="H238">IF(A238&lt;&gt;"",C238*$D$6/$D$8,0)</f>
        <v>11668.9390542369</v>
      </c>
      <c r="I238" s="3516">
        <f t="array" ref="I238">IF(A238&lt;&gt;"",C238-G238,0)</f>
        <v>2132680.01607229</v>
      </c>
      <c r="J238" s="3516">
        <f t="array" ref="J238">IF(A238&lt;&gt;"",J237+H238,J237)</f>
        <v>4556850.35015759</v>
      </c>
      <c r="K238" s="666"/>
      <c r="L238" s="1167" t="n"/>
      <c r="M238" s="1167" t="n"/>
      <c r="N238" s="1168" t="n"/>
      <c r="O238" s="1168" t="n"/>
      <c r="P238" s="1168" t="n"/>
      <c r="Q238" s="1168" t="n"/>
      <c r="R238" s="1168" t="n"/>
      <c r="S238" s="1168" t="n"/>
      <c r="T238" s="1168" t="n"/>
      <c r="U238" s="1168" t="n"/>
      <c r="V238" s="1168" t="n"/>
      <c r="W238" s="1168" t="n"/>
      <c r="X238" s="1168" t="n"/>
      <c r="Y238" s="1167" t="n"/>
    </row>
    <row r="239" s="3154" customFormat="1" ht="12.75" customHeight="1">
      <c r="A239" s="1117">
        <f t="array" ref="A239">IF(I238&gt;0.5,A238+1,"")</f>
        <v>222</v>
      </c>
      <c r="B239" s="3515">
        <f t="array" ref="B239">IF(A239&lt;&gt;"",DATE(YEAR($D$9),MONTH($D$9)+A239,DAY($D$9)),"")</f>
        <v>53509</v>
      </c>
      <c r="C239" s="3516">
        <f t="array" ref="C239">IF(A239&lt;&gt;"",I238,"")</f>
        <v>2132680.01607229</v>
      </c>
      <c r="D239" s="3516">
        <f t="array" ref="D239">IF(A239&lt;&gt;"",$H$5,"")</f>
        <v>33254.5945333633</v>
      </c>
      <c r="E239" s="3517">
        <v>0</v>
      </c>
      <c r="F239" s="3516">
        <f t="array" ref="F239">IF(A239&lt;&gt;"",D239+E239,"")</f>
        <v>33254.5945333633</v>
      </c>
      <c r="G239" s="3516">
        <f t="array" ref="G239">IF(A239&lt;&gt;"",F239-H239,0)</f>
        <v>21702.5777796384</v>
      </c>
      <c r="H239" s="3516">
        <f t="array" ref="H239">IF(A239&lt;&gt;"",C239*$D$6/$D$8,0)</f>
        <v>11552.0167537249</v>
      </c>
      <c r="I239" s="3516">
        <f t="array" ref="I239">IF(A239&lt;&gt;"",C239-G239,0)</f>
        <v>2110977.43829265</v>
      </c>
      <c r="J239" s="3516">
        <f t="array" ref="J239">IF(A239&lt;&gt;"",J238+H239,J238)</f>
        <v>4568402.36691131</v>
      </c>
      <c r="K239" s="666"/>
      <c r="L239" s="1167" t="n"/>
      <c r="M239" s="1167" t="n"/>
      <c r="N239" s="1168" t="n"/>
      <c r="O239" s="1168" t="n"/>
      <c r="P239" s="1168" t="n"/>
      <c r="Q239" s="1168" t="n"/>
      <c r="R239" s="1168" t="n"/>
      <c r="S239" s="1168" t="n"/>
      <c r="T239" s="1168" t="n"/>
      <c r="U239" s="1168" t="n"/>
      <c r="V239" s="1168" t="n"/>
      <c r="W239" s="1168" t="n"/>
      <c r="X239" s="1168" t="n"/>
      <c r="Y239" s="1167" t="n"/>
    </row>
    <row r="240" s="3154" customFormat="1" ht="12.75" customHeight="1">
      <c r="A240" s="1117">
        <f t="array" ref="A240">IF(I239&gt;0.5,A239+1,"")</f>
        <v>223</v>
      </c>
      <c r="B240" s="3515">
        <f t="array" ref="B240">IF(A240&lt;&gt;"",DATE(YEAR($D$9),MONTH($D$9)+A240,DAY($D$9)),"")</f>
        <v>53540</v>
      </c>
      <c r="C240" s="3516">
        <f t="array" ref="C240">IF(A240&lt;&gt;"",I239,"")</f>
        <v>2110977.43829265</v>
      </c>
      <c r="D240" s="3516">
        <f t="array" ref="D240">IF(A240&lt;&gt;"",$H$5,"")</f>
        <v>33254.5945333633</v>
      </c>
      <c r="E240" s="3517">
        <v>0</v>
      </c>
      <c r="F240" s="3516">
        <f t="array" ref="F240">IF(A240&lt;&gt;"",D240+E240,"")</f>
        <v>33254.5945333633</v>
      </c>
      <c r="G240" s="3516">
        <f t="array" ref="G240">IF(A240&lt;&gt;"",F240-H240,0)</f>
        <v>21820.1334092781</v>
      </c>
      <c r="H240" s="3516">
        <f t="array" ref="H240">IF(A240&lt;&gt;"",C240*$D$6/$D$8,0)</f>
        <v>11434.4611240852</v>
      </c>
      <c r="I240" s="3516">
        <f t="array" ref="I240">IF(A240&lt;&gt;"",C240-G240,0)</f>
        <v>2089157.30488338</v>
      </c>
      <c r="J240" s="3516">
        <f t="array" ref="J240">IF(A240&lt;&gt;"",J239+H240,J239)</f>
        <v>4579836.8280354</v>
      </c>
      <c r="K240" s="666"/>
      <c r="L240" s="1167" t="n"/>
      <c r="M240" s="1167" t="n"/>
      <c r="N240" s="1168" t="n"/>
      <c r="O240" s="1168" t="n"/>
      <c r="P240" s="1168" t="n"/>
      <c r="Q240" s="1168" t="n"/>
      <c r="R240" s="1168" t="n"/>
      <c r="S240" s="1168" t="n"/>
      <c r="T240" s="1168" t="n"/>
      <c r="U240" s="1168" t="n"/>
      <c r="V240" s="1168" t="n"/>
      <c r="W240" s="1168" t="n"/>
      <c r="X240" s="1168" t="n"/>
      <c r="Y240" s="1167" t="n"/>
    </row>
    <row r="241" s="3154" customFormat="1" ht="12.75" customHeight="1">
      <c r="A241" s="1117">
        <f t="array" ref="A241">IF(I240&gt;0.5,A240+1,"")</f>
        <v>224</v>
      </c>
      <c r="B241" s="3515">
        <f t="array" ref="B241">IF(A241&lt;&gt;"",DATE(YEAR($D$9),MONTH($D$9)+A241,DAY($D$9)),"")</f>
        <v>53571</v>
      </c>
      <c r="C241" s="3516">
        <f t="array" ref="C241">IF(A241&lt;&gt;"",I240,"")</f>
        <v>2089157.30488338</v>
      </c>
      <c r="D241" s="3516">
        <f t="array" ref="D241">IF(A241&lt;&gt;"",$H$5,"")</f>
        <v>33254.5945333633</v>
      </c>
      <c r="E241" s="3517">
        <v>0</v>
      </c>
      <c r="F241" s="3516">
        <f t="array" ref="F241">IF(A241&lt;&gt;"",D241+E241,"")</f>
        <v>33254.5945333633</v>
      </c>
      <c r="G241" s="3516">
        <f t="array" ref="G241">IF(A241&lt;&gt;"",F241-H241,0)</f>
        <v>21938.3257985784</v>
      </c>
      <c r="H241" s="3516">
        <f t="array" ref="H241">IF(A241&lt;&gt;"",C241*$D$6/$D$8,0)</f>
        <v>11316.268734785</v>
      </c>
      <c r="I241" s="3516">
        <f t="array" ref="I241">IF(A241&lt;&gt;"",C241-G241,0)</f>
        <v>2067218.9790848</v>
      </c>
      <c r="J241" s="3516">
        <f t="array" ref="J241">IF(A241&lt;&gt;"",J240+H241,J240)</f>
        <v>4591153.09677018</v>
      </c>
      <c r="K241" s="666"/>
      <c r="L241" s="1167" t="n"/>
      <c r="M241" s="1167" t="n"/>
      <c r="N241" s="1168" t="n"/>
      <c r="O241" s="1168" t="n"/>
      <c r="P241" s="1168" t="n"/>
      <c r="Q241" s="1168" t="n"/>
      <c r="R241" s="1168" t="n"/>
      <c r="S241" s="1168" t="n"/>
      <c r="T241" s="1168" t="n"/>
      <c r="U241" s="1168" t="n"/>
      <c r="V241" s="1168" t="n"/>
      <c r="W241" s="1168" t="n"/>
      <c r="X241" s="1168" t="n"/>
      <c r="Y241" s="1167" t="n"/>
    </row>
    <row r="242" s="3154" customFormat="1" ht="12.75" customHeight="1">
      <c r="A242" s="1117">
        <f t="array" ref="A242">IF(I241&gt;0.5,A241+1,"")</f>
        <v>225</v>
      </c>
      <c r="B242" s="3515">
        <f t="array" ref="B242">IF(A242&lt;&gt;"",DATE(YEAR($D$9),MONTH($D$9)+A242,DAY($D$9)),"")</f>
        <v>53601</v>
      </c>
      <c r="C242" s="3516">
        <f t="array" ref="C242">IF(A242&lt;&gt;"",I241,"")</f>
        <v>2067218.9790848</v>
      </c>
      <c r="D242" s="3516">
        <f t="array" ref="D242">IF(A242&lt;&gt;"",$H$5,"")</f>
        <v>33254.5945333633</v>
      </c>
      <c r="E242" s="3517">
        <v>0</v>
      </c>
      <c r="F242" s="3516">
        <f t="array" ref="F242">IF(A242&lt;&gt;"",D242+E242,"")</f>
        <v>33254.5945333633</v>
      </c>
      <c r="G242" s="3516">
        <f t="array" ref="G242">IF(A242&lt;&gt;"",F242-H242,0)</f>
        <v>22057.158396654</v>
      </c>
      <c r="H242" s="3516">
        <f t="array" ref="H242">IF(A242&lt;&gt;"",C242*$D$6/$D$8,0)</f>
        <v>11197.4361367093</v>
      </c>
      <c r="I242" s="3516">
        <f t="array" ref="I242">IF(A242&lt;&gt;"",C242-G242,0)</f>
        <v>2045161.82068814</v>
      </c>
      <c r="J242" s="3516">
        <f t="array" ref="J242">IF(A242&lt;&gt;"",J241+H242,J241)</f>
        <v>4602350.53290689</v>
      </c>
      <c r="K242" s="666"/>
      <c r="L242" s="1167" t="n"/>
      <c r="M242" s="1167" t="n"/>
      <c r="N242" s="1168" t="n"/>
      <c r="O242" s="1168" t="n"/>
      <c r="P242" s="1168" t="n"/>
      <c r="Q242" s="1168" t="n"/>
      <c r="R242" s="1168" t="n"/>
      <c r="S242" s="1168" t="n"/>
      <c r="T242" s="1168" t="n"/>
      <c r="U242" s="1168" t="n"/>
      <c r="V242" s="1168" t="n"/>
      <c r="W242" s="1168" t="n"/>
      <c r="X242" s="1168" t="n"/>
      <c r="Y242" s="1167" t="n"/>
    </row>
    <row r="243" s="3154" customFormat="1" ht="12.75" customHeight="1">
      <c r="A243" s="1117">
        <f t="array" ref="A243">IF(I242&gt;0.5,A242+1,"")</f>
        <v>226</v>
      </c>
      <c r="B243" s="3515">
        <f t="array" ref="B243">IF(A243&lt;&gt;"",DATE(YEAR($D$9),MONTH($D$9)+A243,DAY($D$9)),"")</f>
        <v>53632</v>
      </c>
      <c r="C243" s="3516">
        <f t="array" ref="C243">IF(A243&lt;&gt;"",I242,"")</f>
        <v>2045161.82068814</v>
      </c>
      <c r="D243" s="3516">
        <f t="array" ref="D243">IF(A243&lt;&gt;"",$H$5,"")</f>
        <v>33254.5945333633</v>
      </c>
      <c r="E243" s="3517">
        <v>0</v>
      </c>
      <c r="F243" s="3516">
        <f t="array" ref="F243">IF(A243&lt;&gt;"",D243+E243,"")</f>
        <v>33254.5945333633</v>
      </c>
      <c r="G243" s="3516">
        <f t="array" ref="G243">IF(A243&lt;&gt;"",F243-H243,0)</f>
        <v>22176.6346713026</v>
      </c>
      <c r="H243" s="3516">
        <f t="array" ref="H243">IF(A243&lt;&gt;"",C243*$D$6/$D$8,0)</f>
        <v>11077.9598620608</v>
      </c>
      <c r="I243" s="3516">
        <f t="array" ref="I243">IF(A243&lt;&gt;"",C243-G243,0)</f>
        <v>2022985.18601684</v>
      </c>
      <c r="J243" s="1162">
        <f t="array" ref="J243">IF(A243&lt;&gt;"",J242+H243,J242)</f>
        <v>4613428.49276895</v>
      </c>
      <c r="K243" s="666"/>
      <c r="L243" s="1167" t="n"/>
      <c r="M243" s="1167" t="n"/>
      <c r="N243" s="1168" t="n"/>
      <c r="O243" s="1168" t="n"/>
      <c r="P243" s="1168" t="n"/>
      <c r="Q243" s="1168" t="n"/>
      <c r="R243" s="1168" t="n"/>
      <c r="S243" s="1168" t="n"/>
      <c r="T243" s="1168" t="n"/>
      <c r="U243" s="1168" t="n"/>
      <c r="V243" s="1168" t="n"/>
      <c r="W243" s="1168" t="n"/>
      <c r="X243" s="1168" t="n"/>
      <c r="Y243" s="1167" t="n"/>
    </row>
    <row r="244" s="3154" customFormat="1" ht="13.5" customHeight="1">
      <c r="A244" s="1132">
        <f t="array" ref="A244">IF(I243&gt;0.5,A243+1,"")</f>
        <v>227</v>
      </c>
      <c r="B244" s="3519">
        <f t="array" ref="B244">IF(A244&lt;&gt;"",DATE(YEAR($D$9),MONTH($D$9)+A244,DAY($D$9)),"")</f>
        <v>53662</v>
      </c>
      <c r="C244" s="3520">
        <f t="array" ref="C244">IF(A244&lt;&gt;"",I243,"")</f>
        <v>2022985.18601684</v>
      </c>
      <c r="D244" s="3520">
        <f t="array" ref="D244">IF(A244&lt;&gt;"",$H$5,"")</f>
        <v>33254.5945333633</v>
      </c>
      <c r="E244" s="3521">
        <v>0</v>
      </c>
      <c r="F244" s="3520">
        <f t="array" ref="F244">IF(A244&lt;&gt;"",D244+E244,"")</f>
        <v>33254.5945333633</v>
      </c>
      <c r="G244" s="3520">
        <f t="array" ref="G244">IF(A244&lt;&gt;"",F244-H244,0)</f>
        <v>22296.7581091055</v>
      </c>
      <c r="H244" s="3520">
        <f t="array" ref="H244">IF(A244&lt;&gt;"",C244*$D$6/$D$8,0)</f>
        <v>10957.8364242579</v>
      </c>
      <c r="I244" s="3520">
        <f t="array" ref="I244">IF(A244&lt;&gt;"",C244-G244,0)</f>
        <v>2000688.42790774</v>
      </c>
      <c r="J244" s="3520">
        <f t="array" ref="J244">IF(A244&lt;&gt;"",J243+H244,J243)</f>
        <v>4624386.32919321</v>
      </c>
      <c r="K244" s="666"/>
      <c r="L244" s="1167" t="n"/>
      <c r="M244" s="1167" t="n"/>
      <c r="N244" s="1168" t="n"/>
      <c r="O244" s="1168" t="n"/>
      <c r="P244" s="1168" t="n"/>
      <c r="Q244" s="1168" t="n"/>
      <c r="R244" s="1168" t="n"/>
      <c r="S244" s="1168" t="n"/>
      <c r="T244" s="1168" t="n"/>
      <c r="U244" s="1168" t="n"/>
      <c r="V244" s="1168" t="n"/>
      <c r="W244" s="1168" t="n"/>
      <c r="X244" s="1168" t="n"/>
      <c r="Y244" s="1167" t="n"/>
    </row>
    <row r="245" s="3154" customFormat="1" ht="13.5" customHeight="1">
      <c r="A245" s="1141">
        <f t="array" ref="A245">IF(I244&gt;0.5,A244+1,"")</f>
        <v>228</v>
      </c>
      <c r="B245" s="3523">
        <f t="array" ref="B245">IF(A245&lt;&gt;"",DATE(YEAR($D$9),MONTH($D$9)+A245,DAY($D$9)),"")</f>
        <v>53693</v>
      </c>
      <c r="C245" s="3524">
        <f t="array" ref="C245">IF(A245&lt;&gt;"",I244,"")</f>
        <v>2000688.42790774</v>
      </c>
      <c r="D245" s="3524">
        <f t="array" ref="D245">IF(A245&lt;&gt;"",$H$5,"")</f>
        <v>33254.5945333633</v>
      </c>
      <c r="E245" s="3525">
        <v>0</v>
      </c>
      <c r="F245" s="3524">
        <f t="array" ref="F245">IF(A245&lt;&gt;"",D245+E245,"")</f>
        <v>33254.5945333633</v>
      </c>
      <c r="G245" s="3524">
        <f t="array" ref="G245">IF(A245&lt;&gt;"",F245-H245,0)</f>
        <v>22417.5322155298</v>
      </c>
      <c r="H245" s="3526">
        <f t="array" ref="H245">IF(A245&lt;&gt;"",C245*$D$6/$D$8,0)</f>
        <v>10837.0623178336</v>
      </c>
      <c r="I245" s="3527">
        <f t="array" ref="I245">IF(A245&lt;&gt;"",C245-G245,0)</f>
        <v>1978270.89569221</v>
      </c>
      <c r="J245" s="3527">
        <f t="array" ref="J245">IF(A245&lt;&gt;"",J244+H245,J244)</f>
        <v>4635223.39151104</v>
      </c>
      <c r="K245" s="793">
        <v>261180.722316713</v>
      </c>
      <c r="L245" s="1167" t="n"/>
      <c r="M245" s="1167" t="n"/>
      <c r="N245" s="1168" t="n"/>
      <c r="O245" s="1168" t="n"/>
      <c r="P245" s="1168" t="n"/>
      <c r="Q245" s="1168" t="n"/>
      <c r="R245" s="1168" t="n"/>
      <c r="S245" s="1168" t="n"/>
      <c r="T245" s="1168" t="n"/>
      <c r="U245" s="1168" t="n"/>
      <c r="V245" s="1168" t="n"/>
      <c r="W245" s="1168" t="n"/>
      <c r="X245" s="1168" t="n"/>
      <c r="Y245" s="1167" t="n"/>
    </row>
    <row r="246" s="3154" customFormat="1" ht="12.75" customHeight="1">
      <c r="A246" s="1149">
        <f t="array" ref="A246">IF(I245&gt;0.5,A245+1,"")</f>
        <v>229</v>
      </c>
      <c r="B246" s="3530">
        <f t="array" ref="B246">IF(A246&lt;&gt;"",DATE(YEAR($D$9),MONTH($D$9)+A246,DAY($D$9)),"")</f>
        <v>53724</v>
      </c>
      <c r="C246" s="3531">
        <f t="array" ref="C246">IF(A246&lt;&gt;"",I245,"")</f>
        <v>1978270.89569221</v>
      </c>
      <c r="D246" s="3531">
        <f t="array" ref="D246">IF(A246&lt;&gt;"",$H$5,"")</f>
        <v>33254.5945333633</v>
      </c>
      <c r="E246" s="3532">
        <v>0</v>
      </c>
      <c r="F246" s="3531">
        <f t="array" ref="F246">IF(A246&lt;&gt;"",D246+E246,"")</f>
        <v>33254.5945333633</v>
      </c>
      <c r="G246" s="3531">
        <f t="array" ref="G246">IF(A246&lt;&gt;"",F246-H246,0)</f>
        <v>22538.9605150306</v>
      </c>
      <c r="H246" s="3531">
        <f t="array" ref="H246">IF(A246&lt;&gt;"",C246*$D$6/$D$8,0)</f>
        <v>10715.6340183328</v>
      </c>
      <c r="I246" s="3531">
        <f t="array" ref="I246">IF(A246&lt;&gt;"",C246-G246,0)</f>
        <v>1955731.93517718</v>
      </c>
      <c r="J246" s="3531">
        <f t="array" ref="J246">IF(A246&lt;&gt;"",J245+H246,J245)</f>
        <v>4645939.02552938</v>
      </c>
      <c r="K246" s="666"/>
      <c r="L246" s="1167" t="n"/>
      <c r="M246" s="1167" t="n"/>
      <c r="N246" s="1168" t="n"/>
      <c r="O246" s="1168" t="n"/>
      <c r="P246" s="1168" t="n"/>
      <c r="Q246" s="1168" t="n"/>
      <c r="R246" s="1168" t="n"/>
      <c r="S246" s="1168" t="n"/>
      <c r="T246" s="1168" t="n"/>
      <c r="U246" s="1168" t="n"/>
      <c r="V246" s="1168" t="n"/>
      <c r="W246" s="1168" t="n"/>
      <c r="X246" s="1168" t="n"/>
      <c r="Y246" s="1167" t="n"/>
    </row>
    <row r="247" s="3154" customFormat="1" ht="12.75" customHeight="1">
      <c r="A247" s="1117">
        <f t="array" ref="A247">IF(I246&gt;0.5,A246+1,"")</f>
        <v>230</v>
      </c>
      <c r="B247" s="3515">
        <f t="array" ref="B247">IF(A247&lt;&gt;"",DATE(YEAR($D$9),MONTH($D$9)+A247,DAY($D$9)),"")</f>
        <v>53752</v>
      </c>
      <c r="C247" s="3516">
        <f t="array" ref="C247">IF(A247&lt;&gt;"",I246,"")</f>
        <v>1955731.93517718</v>
      </c>
      <c r="D247" s="3516">
        <f t="array" ref="D247">IF(A247&lt;&gt;"",$H$5,"")</f>
        <v>33254.5945333633</v>
      </c>
      <c r="E247" s="3517">
        <v>0</v>
      </c>
      <c r="F247" s="3516">
        <f t="array" ref="F247">IF(A247&lt;&gt;"",D247+E247,"")</f>
        <v>33254.5945333633</v>
      </c>
      <c r="G247" s="3516">
        <f t="array" ref="G247">IF(A247&lt;&gt;"",F247-H247,0)</f>
        <v>22661.0465511536</v>
      </c>
      <c r="H247" s="3516">
        <f t="array" ref="H247">IF(A247&lt;&gt;"",C247*$D$6/$D$8,0)</f>
        <v>10593.5479822097</v>
      </c>
      <c r="I247" s="3516">
        <f t="array" ref="I247">IF(A247&lt;&gt;"",C247-G247,0)</f>
        <v>1933070.88862602</v>
      </c>
      <c r="J247" s="3516">
        <f t="array" ref="J247">IF(A247&lt;&gt;"",J246+H247,J246)</f>
        <v>4656532.57351158</v>
      </c>
      <c r="K247" s="666"/>
      <c r="L247" s="1167" t="n"/>
      <c r="M247" s="1167" t="n"/>
      <c r="N247" s="1168" t="n"/>
      <c r="O247" s="1168" t="n"/>
      <c r="P247" s="1168" t="n"/>
      <c r="Q247" s="1168" t="n"/>
      <c r="R247" s="1168" t="n"/>
      <c r="S247" s="1168" t="n"/>
      <c r="T247" s="1168" t="n"/>
      <c r="U247" s="1168" t="n"/>
      <c r="V247" s="1168" t="n"/>
      <c r="W247" s="1168" t="n"/>
      <c r="X247" s="1168" t="n"/>
      <c r="Y247" s="1167" t="n"/>
    </row>
    <row r="248" s="3154" customFormat="1" ht="12.75" customHeight="1">
      <c r="A248" s="1117">
        <f t="array" ref="A248">IF(I247&gt;0.5,A247+1,"")</f>
        <v>231</v>
      </c>
      <c r="B248" s="3515">
        <f t="array" ref="B248">IF(A248&lt;&gt;"",DATE(YEAR($D$9),MONTH($D$9)+A248,DAY($D$9)),"")</f>
        <v>53783</v>
      </c>
      <c r="C248" s="3516">
        <f t="array" ref="C248">IF(A248&lt;&gt;"",I247,"")</f>
        <v>1933070.88862602</v>
      </c>
      <c r="D248" s="3516">
        <f t="array" ref="D248">IF(A248&lt;&gt;"",$H$5,"")</f>
        <v>33254.5945333633</v>
      </c>
      <c r="E248" s="3517">
        <v>0</v>
      </c>
      <c r="F248" s="3516">
        <f t="array" ref="F248">IF(A248&lt;&gt;"",D248+E248,"")</f>
        <v>33254.5945333633</v>
      </c>
      <c r="G248" s="3516">
        <f t="array" ref="G248">IF(A248&lt;&gt;"",F248-H248,0)</f>
        <v>22783.7938866391</v>
      </c>
      <c r="H248" s="3516">
        <f t="array" ref="H248">IF(A248&lt;&gt;"",C248*$D$6/$D$8,0)</f>
        <v>10470.8006467243</v>
      </c>
      <c r="I248" s="3516">
        <f t="array" ref="I248">IF(A248&lt;&gt;"",C248-G248,0)</f>
        <v>1910287.09473938</v>
      </c>
      <c r="J248" s="3516">
        <f t="array" ref="J248">IF(A248&lt;&gt;"",J247+H248,J247)</f>
        <v>4667003.37415831</v>
      </c>
      <c r="K248" s="666"/>
      <c r="L248" s="1167" t="n"/>
      <c r="M248" s="1167" t="n"/>
      <c r="N248" s="1168" t="n"/>
      <c r="O248" s="1168" t="n"/>
      <c r="P248" s="1168" t="n"/>
      <c r="Q248" s="1168" t="n"/>
      <c r="R248" s="1168" t="n"/>
      <c r="S248" s="1168" t="n"/>
      <c r="T248" s="1168" t="n"/>
      <c r="U248" s="1168" t="n"/>
      <c r="V248" s="1168" t="n"/>
      <c r="W248" s="1168" t="n"/>
      <c r="X248" s="1168" t="n"/>
      <c r="Y248" s="1167" t="n"/>
    </row>
    <row r="249" s="3154" customFormat="1" ht="12.75" customHeight="1">
      <c r="A249" s="1117">
        <f t="array" ref="A249">IF(I248&gt;0.5,A248+1,"")</f>
        <v>232</v>
      </c>
      <c r="B249" s="3515">
        <f t="array" ref="B249">IF(A249&lt;&gt;"",DATE(YEAR($D$9),MONTH($D$9)+A249,DAY($D$9)),"")</f>
        <v>53813</v>
      </c>
      <c r="C249" s="3516">
        <f t="array" ref="C249">IF(A249&lt;&gt;"",I248,"")</f>
        <v>1910287.09473938</v>
      </c>
      <c r="D249" s="3516">
        <f t="array" ref="D249">IF(A249&lt;&gt;"",$H$5,"")</f>
        <v>33254.5945333633</v>
      </c>
      <c r="E249" s="3517">
        <v>0</v>
      </c>
      <c r="F249" s="3516">
        <f t="array" ref="F249">IF(A249&lt;&gt;"",D249+E249,"")</f>
        <v>33254.5945333633</v>
      </c>
      <c r="G249" s="3516">
        <f t="array" ref="G249">IF(A249&lt;&gt;"",F249-H249,0)</f>
        <v>22907.206103525</v>
      </c>
      <c r="H249" s="3516">
        <f t="array" ref="H249">IF(A249&lt;&gt;"",C249*$D$6/$D$8,0)</f>
        <v>10347.3884298383</v>
      </c>
      <c r="I249" s="3516">
        <f t="array" ref="I249">IF(A249&lt;&gt;"",C249-G249,0)</f>
        <v>1887379.88863586</v>
      </c>
      <c r="J249" s="3516">
        <f t="array" ref="J249">IF(A249&lt;&gt;"",J248+H249,J248)</f>
        <v>4677350.76258815</v>
      </c>
      <c r="K249" s="666"/>
      <c r="L249" s="1167" t="n"/>
      <c r="M249" s="1167" t="n"/>
      <c r="N249" s="1168" t="n"/>
      <c r="O249" s="1168" t="n"/>
      <c r="P249" s="1168" t="n"/>
      <c r="Q249" s="1168" t="n"/>
      <c r="R249" s="1168" t="n"/>
      <c r="S249" s="1168" t="n"/>
      <c r="T249" s="1168" t="n"/>
      <c r="U249" s="1168" t="n"/>
      <c r="V249" s="1168" t="n"/>
      <c r="W249" s="1168" t="n"/>
      <c r="X249" s="1168" t="n"/>
      <c r="Y249" s="1167" t="n"/>
    </row>
    <row r="250" s="3154" customFormat="1" ht="12.75" customHeight="1">
      <c r="A250" s="1117">
        <f t="array" ref="A250">IF(I249&gt;0.5,A249+1,"")</f>
        <v>233</v>
      </c>
      <c r="B250" s="3515">
        <f t="array" ref="B250">IF(A250&lt;&gt;"",DATE(YEAR($D$9),MONTH($D$9)+A250,DAY($D$9)),"")</f>
        <v>53844</v>
      </c>
      <c r="C250" s="3516">
        <f t="array" ref="C250">IF(A250&lt;&gt;"",I249,"")</f>
        <v>1887379.88863586</v>
      </c>
      <c r="D250" s="3516">
        <f t="array" ref="D250">IF(A250&lt;&gt;"",$H$5,"")</f>
        <v>33254.5945333633</v>
      </c>
      <c r="E250" s="3517">
        <v>0</v>
      </c>
      <c r="F250" s="3516">
        <f t="array" ref="F250">IF(A250&lt;&gt;"",D250+E250,"")</f>
        <v>33254.5945333633</v>
      </c>
      <c r="G250" s="3516">
        <f t="array" ref="G250">IF(A250&lt;&gt;"",F250-H250,0)</f>
        <v>23031.2868032525</v>
      </c>
      <c r="H250" s="3516">
        <f t="array" ref="H250">IF(A250&lt;&gt;"",C250*$D$6/$D$8,0)</f>
        <v>10223.3077301109</v>
      </c>
      <c r="I250" s="3516">
        <f t="array" ref="I250">IF(A250&lt;&gt;"",C250-G250,0)</f>
        <v>1864348.6018326</v>
      </c>
      <c r="J250" s="3516">
        <f t="array" ref="J250">IF(A250&lt;&gt;"",J249+H250,J249)</f>
        <v>4687574.07031826</v>
      </c>
      <c r="K250" s="666"/>
      <c r="L250" s="1167" t="n"/>
      <c r="M250" s="1167" t="n"/>
      <c r="N250" s="1168" t="n"/>
      <c r="O250" s="1168" t="n"/>
      <c r="P250" s="1168" t="n"/>
      <c r="Q250" s="1168" t="n"/>
      <c r="R250" s="1168" t="n"/>
      <c r="S250" s="1168" t="n"/>
      <c r="T250" s="1168" t="n"/>
      <c r="U250" s="1168" t="n"/>
      <c r="V250" s="1168" t="n"/>
      <c r="W250" s="1168" t="n"/>
      <c r="X250" s="1168" t="n"/>
      <c r="Y250" s="1167" t="n"/>
    </row>
    <row r="251" s="3154" customFormat="1" ht="12.75" customHeight="1">
      <c r="A251" s="1117">
        <f t="array" ref="A251">IF(I250&gt;0.5,A250+1,"")</f>
        <v>234</v>
      </c>
      <c r="B251" s="3515">
        <f t="array" ref="B251">IF(A251&lt;&gt;"",DATE(YEAR($D$9),MONTH($D$9)+A251,DAY($D$9)),"")</f>
        <v>53874</v>
      </c>
      <c r="C251" s="3516">
        <f t="array" ref="C251">IF(A251&lt;&gt;"",I250,"")</f>
        <v>1864348.6018326</v>
      </c>
      <c r="D251" s="3516">
        <f t="array" ref="D251">IF(A251&lt;&gt;"",$H$5,"")</f>
        <v>33254.5945333633</v>
      </c>
      <c r="E251" s="3517">
        <v>0</v>
      </c>
      <c r="F251" s="3516">
        <f t="array" ref="F251">IF(A251&lt;&gt;"",D251+E251,"")</f>
        <v>33254.5945333633</v>
      </c>
      <c r="G251" s="3516">
        <f t="array" ref="G251">IF(A251&lt;&gt;"",F251-H251,0)</f>
        <v>23156.0396067701</v>
      </c>
      <c r="H251" s="3516">
        <f t="array" ref="H251">IF(A251&lt;&gt;"",C251*$D$6/$D$8,0)</f>
        <v>10098.5549265933</v>
      </c>
      <c r="I251" s="3516">
        <f t="array" ref="I251">IF(A251&lt;&gt;"",C251-G251,0)</f>
        <v>1841192.56222583</v>
      </c>
      <c r="J251" s="3516">
        <f t="array" ref="J251">IF(A251&lt;&gt;"",J250+H251,J250)</f>
        <v>4697672.62524485</v>
      </c>
      <c r="K251" s="666"/>
      <c r="L251" s="1167" t="n"/>
      <c r="M251" s="1167" t="n"/>
      <c r="N251" s="1168" t="n"/>
      <c r="O251" s="1168" t="n"/>
      <c r="P251" s="1168" t="n"/>
      <c r="Q251" s="1168" t="n"/>
      <c r="R251" s="1168" t="n"/>
      <c r="S251" s="1168" t="n"/>
      <c r="T251" s="1168" t="n"/>
      <c r="U251" s="1168" t="n"/>
      <c r="V251" s="1168" t="n"/>
      <c r="W251" s="1168" t="n"/>
      <c r="X251" s="1168" t="n"/>
      <c r="Y251" s="1167" t="n"/>
    </row>
    <row r="252" s="3154" customFormat="1" ht="12.75" customHeight="1">
      <c r="A252" s="1117">
        <f t="array" ref="A252">IF(I251&gt;0.5,A251+1,"")</f>
        <v>235</v>
      </c>
      <c r="B252" s="3515">
        <f t="array" ref="B252">IF(A252&lt;&gt;"",DATE(YEAR($D$9),MONTH($D$9)+A252,DAY($D$9)),"")</f>
        <v>53905</v>
      </c>
      <c r="C252" s="3516">
        <f t="array" ref="C252">IF(A252&lt;&gt;"",I251,"")</f>
        <v>1841192.56222583</v>
      </c>
      <c r="D252" s="3516">
        <f t="array" ref="D252">IF(A252&lt;&gt;"",$H$5,"")</f>
        <v>33254.5945333633</v>
      </c>
      <c r="E252" s="3517">
        <v>0</v>
      </c>
      <c r="F252" s="3516">
        <f t="array" ref="F252">IF(A252&lt;&gt;"",D252+E252,"")</f>
        <v>33254.5945333633</v>
      </c>
      <c r="G252" s="3516">
        <f t="array" ref="G252">IF(A252&lt;&gt;"",F252-H252,0)</f>
        <v>23281.4681546401</v>
      </c>
      <c r="H252" s="3516">
        <f t="array" ref="H252">IF(A252&lt;&gt;"",C252*$D$6/$D$8,0)</f>
        <v>9973.12637872327</v>
      </c>
      <c r="I252" s="3516">
        <f t="array" ref="I252">IF(A252&lt;&gt;"",C252-G252,0)</f>
        <v>1817911.09407119</v>
      </c>
      <c r="J252" s="3516">
        <f t="array" ref="J252">IF(A252&lt;&gt;"",J251+H252,J251)</f>
        <v>4707645.75162357</v>
      </c>
      <c r="K252" s="666"/>
      <c r="L252" s="1167" t="n"/>
      <c r="M252" s="1167" t="n"/>
      <c r="N252" s="1168" t="n"/>
      <c r="O252" s="1168" t="n"/>
      <c r="P252" s="1168" t="n"/>
      <c r="Q252" s="1168" t="n"/>
      <c r="R252" s="1168" t="n"/>
      <c r="S252" s="1168" t="n"/>
      <c r="T252" s="1168" t="n"/>
      <c r="U252" s="1168" t="n"/>
      <c r="V252" s="1168" t="n"/>
      <c r="W252" s="1168" t="n"/>
      <c r="X252" s="1168" t="n"/>
      <c r="Y252" s="1167" t="n"/>
    </row>
    <row r="253" s="3154" customFormat="1" ht="12.75" customHeight="1">
      <c r="A253" s="1117">
        <f t="array" ref="A253">IF(I252&gt;0.5,A252+1,"")</f>
        <v>236</v>
      </c>
      <c r="B253" s="3515">
        <f t="array" ref="B253">IF(A253&lt;&gt;"",DATE(YEAR($D$9),MONTH($D$9)+A253,DAY($D$9)),"")</f>
        <v>53936</v>
      </c>
      <c r="C253" s="3516">
        <f t="array" ref="C253">IF(A253&lt;&gt;"",I252,"")</f>
        <v>1817911.09407119</v>
      </c>
      <c r="D253" s="3516">
        <f t="array" ref="D253">IF(A253&lt;&gt;"",$H$5,"")</f>
        <v>33254.5945333633</v>
      </c>
      <c r="E253" s="3517">
        <v>0</v>
      </c>
      <c r="F253" s="3516">
        <f t="array" ref="F253">IF(A253&lt;&gt;"",D253+E253,"")</f>
        <v>33254.5945333633</v>
      </c>
      <c r="G253" s="3516">
        <f t="array" ref="G253">IF(A253&lt;&gt;"",F253-H253,0)</f>
        <v>23407.5761071444</v>
      </c>
      <c r="H253" s="3516">
        <f t="array" ref="H253">IF(A253&lt;&gt;"",C253*$D$6/$D$8,0)</f>
        <v>9847.01842621897</v>
      </c>
      <c r="I253" s="3516">
        <f t="array" ref="I253">IF(A253&lt;&gt;"",C253-G253,0)</f>
        <v>1794503.51796405</v>
      </c>
      <c r="J253" s="3516">
        <f t="array" ref="J253">IF(A253&lt;&gt;"",J252+H253,J252)</f>
        <v>4717492.77004979</v>
      </c>
      <c r="K253" s="666"/>
      <c r="L253" s="1167" t="n"/>
      <c r="M253" s="1167" t="n"/>
      <c r="N253" s="1168" t="n"/>
      <c r="O253" s="1168" t="n"/>
      <c r="P253" s="1168" t="n"/>
      <c r="Q253" s="1168" t="n"/>
      <c r="R253" s="1168" t="n"/>
      <c r="S253" s="1168" t="n"/>
      <c r="T253" s="1168" t="n"/>
      <c r="U253" s="1168" t="n"/>
      <c r="V253" s="1168" t="n"/>
      <c r="W253" s="1168" t="n"/>
      <c r="X253" s="1168" t="n"/>
      <c r="Y253" s="1167" t="n"/>
    </row>
    <row r="254" s="3154" customFormat="1" ht="12.75" customHeight="1">
      <c r="A254" s="1117">
        <f t="array" ref="A254">IF(I253&gt;0.5,A253+1,"")</f>
        <v>237</v>
      </c>
      <c r="B254" s="3515">
        <f t="array" ref="B254">IF(A254&lt;&gt;"",DATE(YEAR($D$9),MONTH($D$9)+A254,DAY($D$9)),"")</f>
        <v>53966</v>
      </c>
      <c r="C254" s="3516">
        <f t="array" ref="C254">IF(A254&lt;&gt;"",I253,"")</f>
        <v>1794503.51796405</v>
      </c>
      <c r="D254" s="3516">
        <f t="array" ref="D254">IF(A254&lt;&gt;"",$H$5,"")</f>
        <v>33254.5945333633</v>
      </c>
      <c r="E254" s="3517">
        <v>0</v>
      </c>
      <c r="F254" s="3516">
        <f t="array" ref="F254">IF(A254&lt;&gt;"",D254+E254,"")</f>
        <v>33254.5945333633</v>
      </c>
      <c r="G254" s="3516">
        <f t="array" ref="G254">IF(A254&lt;&gt;"",F254-H254,0)</f>
        <v>23534.3671443914</v>
      </c>
      <c r="H254" s="3516">
        <f t="array" ref="H254">IF(A254&lt;&gt;"",C254*$D$6/$D$8,0)</f>
        <v>9720.22738897194</v>
      </c>
      <c r="I254" s="3516">
        <f t="array" ref="I254">IF(A254&lt;&gt;"",C254-G254,0)</f>
        <v>1770969.15081966</v>
      </c>
      <c r="J254" s="3516">
        <f t="array" ref="J254">IF(A254&lt;&gt;"",J253+H254,J253)</f>
        <v>4727212.99743877</v>
      </c>
      <c r="K254" s="666"/>
      <c r="L254" s="1167" t="n"/>
      <c r="M254" s="1167" t="n"/>
      <c r="N254" s="1168" t="n"/>
      <c r="O254" s="1168" t="n"/>
      <c r="P254" s="1168" t="n"/>
      <c r="Q254" s="1168" t="n"/>
      <c r="R254" s="1168" t="n"/>
      <c r="S254" s="1168" t="n"/>
      <c r="T254" s="1168" t="n"/>
      <c r="U254" s="1168" t="n"/>
      <c r="V254" s="1168" t="n"/>
      <c r="W254" s="1168" t="n"/>
      <c r="X254" s="1168" t="n"/>
      <c r="Y254" s="1167" t="n"/>
    </row>
    <row r="255" s="3154" customFormat="1" ht="12.75" customHeight="1">
      <c r="A255" s="1117">
        <f t="array" ref="A255">IF(I254&gt;0.5,A254+1,"")</f>
        <v>238</v>
      </c>
      <c r="B255" s="3515">
        <f t="array" ref="B255">IF(A255&lt;&gt;"",DATE(YEAR($D$9),MONTH($D$9)+A255,DAY($D$9)),"")</f>
        <v>53997</v>
      </c>
      <c r="C255" s="3516">
        <f t="array" ref="C255">IF(A255&lt;&gt;"",I254,"")</f>
        <v>1770969.15081966</v>
      </c>
      <c r="D255" s="3516">
        <f t="array" ref="D255">IF(A255&lt;&gt;"",$H$5,"")</f>
        <v>33254.5945333633</v>
      </c>
      <c r="E255" s="3517">
        <v>0</v>
      </c>
      <c r="F255" s="3516">
        <f t="array" ref="F255">IF(A255&lt;&gt;"",D255+E255,"")</f>
        <v>33254.5945333633</v>
      </c>
      <c r="G255" s="3516">
        <f t="array" ref="G255">IF(A255&lt;&gt;"",F255-H255,0)</f>
        <v>23661.8449664235</v>
      </c>
      <c r="H255" s="3516">
        <f t="array" ref="H255">IF(A255&lt;&gt;"",C255*$D$6/$D$8,0)</f>
        <v>9592.74956693982</v>
      </c>
      <c r="I255" s="3516">
        <f t="array" ref="I255">IF(A255&lt;&gt;"",C255-G255,0)</f>
        <v>1747307.30585324</v>
      </c>
      <c r="J255" s="3516">
        <f t="array" ref="J255">IF(A255&lt;&gt;"",J254+H255,J254)</f>
        <v>4736805.7470057</v>
      </c>
      <c r="K255" s="666"/>
      <c r="L255" s="1167" t="n"/>
      <c r="M255" s="1167" t="n"/>
      <c r="N255" s="1168" t="n"/>
      <c r="O255" s="1168" t="n"/>
      <c r="P255" s="1168" t="n"/>
      <c r="Q255" s="1168" t="n"/>
      <c r="R255" s="1168" t="n"/>
      <c r="S255" s="1168" t="n"/>
      <c r="T255" s="1168" t="n"/>
      <c r="U255" s="1168" t="n"/>
      <c r="V255" s="1168" t="n"/>
      <c r="W255" s="1168" t="n"/>
      <c r="X255" s="1168" t="n"/>
      <c r="Y255" s="1167" t="n"/>
    </row>
    <row r="256" s="3154" customFormat="1" ht="13.5" customHeight="1">
      <c r="A256" s="1132">
        <f t="array" ref="A256">IF(I255&gt;0.5,A255+1,"")</f>
        <v>239</v>
      </c>
      <c r="B256" s="3519">
        <f t="array" ref="B256">IF(A256&lt;&gt;"",DATE(YEAR($D$9),MONTH($D$9)+A256,DAY($D$9)),"")</f>
        <v>54027</v>
      </c>
      <c r="C256" s="3520">
        <f t="array" ref="C256">IF(A256&lt;&gt;"",I255,"")</f>
        <v>1747307.30585324</v>
      </c>
      <c r="D256" s="3520">
        <f t="array" ref="D256">IF(A256&lt;&gt;"",$H$5,"")</f>
        <v>33254.5945333633</v>
      </c>
      <c r="E256" s="3521">
        <v>0</v>
      </c>
      <c r="F256" s="3520">
        <f t="array" ref="F256">IF(A256&lt;&gt;"",D256+E256,"")</f>
        <v>33254.5945333633</v>
      </c>
      <c r="G256" s="3520">
        <f t="array" ref="G256">IF(A256&lt;&gt;"",F256-H256,0)</f>
        <v>23790.013293325</v>
      </c>
      <c r="H256" s="3520">
        <f t="array" ref="H256">IF(A256&lt;&gt;"",C256*$D$6/$D$8,0)</f>
        <v>9464.58124003836</v>
      </c>
      <c r="I256" s="3520">
        <f t="array" ref="I256">IF(A256&lt;&gt;"",C256-G256,0)</f>
        <v>1723517.29255991</v>
      </c>
      <c r="J256" s="3520">
        <f t="array" ref="J256">IF(A256&lt;&gt;"",J255+H256,J255)</f>
        <v>4746270.32824574</v>
      </c>
      <c r="K256" s="666"/>
      <c r="L256" s="1167" t="n"/>
      <c r="M256" s="1167" t="n"/>
      <c r="N256" s="1168" t="n"/>
      <c r="O256" s="1168" t="n"/>
      <c r="P256" s="1168" t="n"/>
      <c r="Q256" s="1168" t="n"/>
      <c r="R256" s="1168" t="n"/>
      <c r="S256" s="1168" t="n"/>
      <c r="T256" s="1168" t="n"/>
      <c r="U256" s="1168" t="n"/>
      <c r="V256" s="1168" t="n"/>
      <c r="W256" s="1168" t="n"/>
      <c r="X256" s="1168" t="n"/>
      <c r="Y256" s="1167" t="n"/>
    </row>
    <row r="257" s="3154" customFormat="1" ht="13.5" customHeight="1">
      <c r="A257" s="1141">
        <f t="array" ref="A257">IF(I256&gt;0.5,A256+1,"")</f>
        <v>240</v>
      </c>
      <c r="B257" s="3523">
        <f t="array" ref="B257">IF(A257&lt;&gt;"",DATE(YEAR($D$9),MONTH($D$9)+A257,DAY($D$9)),"")</f>
        <v>54058</v>
      </c>
      <c r="C257" s="3524">
        <f t="array" ref="C257">IF(A257&lt;&gt;"",I256,"")</f>
        <v>1723517.29255991</v>
      </c>
      <c r="D257" s="3524">
        <f t="array" ref="D257">IF(A257&lt;&gt;"",$H$5,"")</f>
        <v>33254.5945333633</v>
      </c>
      <c r="E257" s="3525">
        <v>0</v>
      </c>
      <c r="F257" s="3524">
        <f t="array" ref="F257">IF(A257&lt;&gt;"",D257+E257,"")</f>
        <v>33254.5945333633</v>
      </c>
      <c r="G257" s="3524">
        <f t="array" ref="G257">IF(A257&lt;&gt;"",F257-H257,0)</f>
        <v>23918.8758653305</v>
      </c>
      <c r="H257" s="3526">
        <f t="array" ref="H257">IF(A257&lt;&gt;"",C257*$D$6/$D$8,0)</f>
        <v>9335.71866803285</v>
      </c>
      <c r="I257" s="3527">
        <f t="array" ref="I257">IF(A257&lt;&gt;"",C257-G257,0)</f>
        <v>1699598.41669458</v>
      </c>
      <c r="J257" s="3527">
        <f t="array" ref="J257">IF(A257&lt;&gt;"",J256+H257,J256)</f>
        <v>4755606.04691378</v>
      </c>
      <c r="K257" s="793">
        <v>278672.478997626</v>
      </c>
      <c r="L257" s="1167" t="n"/>
      <c r="M257" s="1167" t="n"/>
      <c r="N257" s="1168" t="n"/>
      <c r="O257" s="1168" t="n"/>
      <c r="P257" s="1168" t="n"/>
      <c r="Q257" s="1168" t="n"/>
      <c r="R257" s="1168" t="n"/>
      <c r="S257" s="1168" t="n"/>
      <c r="T257" s="1168" t="n"/>
      <c r="U257" s="1168" t="n"/>
      <c r="V257" s="1168" t="n"/>
      <c r="W257" s="1168" t="n"/>
      <c r="X257" s="1168" t="n"/>
      <c r="Y257" s="1167" t="n"/>
    </row>
    <row r="258" s="3154" customFormat="1" ht="12.75" customHeight="1">
      <c r="A258" s="1149">
        <f t="array" ref="A258">IF(I257&gt;0.5,A257+1,"")</f>
        <v>241</v>
      </c>
      <c r="B258" s="3530">
        <f t="array" ref="B258">IF(A258&lt;&gt;"",DATE(YEAR($D$9),MONTH($D$9)+A258,DAY($D$9)),"")</f>
        <v>54089</v>
      </c>
      <c r="C258" s="3531">
        <f t="array" ref="C258">IF(A258&lt;&gt;"",I257,"")</f>
        <v>1699598.41669458</v>
      </c>
      <c r="D258" s="3531">
        <f t="array" ref="D258">IF(A258&lt;&gt;"",$H$5,"")</f>
        <v>33254.5945333633</v>
      </c>
      <c r="E258" s="3532">
        <v>0</v>
      </c>
      <c r="F258" s="3531">
        <f t="array" ref="F258">IF(A258&lt;&gt;"",D258+E258,"")</f>
        <v>33254.5945333633</v>
      </c>
      <c r="G258" s="3531">
        <f t="array" ref="G258">IF(A258&lt;&gt;"",F258-H258,0)</f>
        <v>24048.4364429344</v>
      </c>
      <c r="H258" s="3531">
        <f t="array" ref="H258">IF(A258&lt;&gt;"",C258*$D$6/$D$8,0)</f>
        <v>9206.15809042898</v>
      </c>
      <c r="I258" s="3531">
        <f t="array" ref="I258">IF(A258&lt;&gt;"",C258-G258,0)</f>
        <v>1675549.98025165</v>
      </c>
      <c r="J258" s="3531">
        <f t="array" ref="J258">IF(A258&lt;&gt;"",J257+H258,J257)</f>
        <v>4764812.2050042</v>
      </c>
      <c r="K258" s="666"/>
      <c r="L258" s="1167" t="n"/>
      <c r="M258" s="1167" t="n"/>
      <c r="N258" s="1168" t="n"/>
      <c r="O258" s="1168" t="n"/>
      <c r="P258" s="1168" t="n"/>
      <c r="Q258" s="1168" t="n"/>
      <c r="R258" s="1168" t="n"/>
      <c r="S258" s="1168" t="n"/>
      <c r="T258" s="1168" t="n"/>
      <c r="U258" s="1168" t="n"/>
      <c r="V258" s="1168" t="n"/>
      <c r="W258" s="1168" t="n"/>
      <c r="X258" s="1168" t="n"/>
      <c r="Y258" s="1167" t="n"/>
    </row>
    <row r="259" s="3154" customFormat="1" ht="12.75" customHeight="1">
      <c r="A259" s="1117">
        <f t="array" ref="A259">IF(I258&gt;0.5,A258+1,"")</f>
        <v>242</v>
      </c>
      <c r="B259" s="3515">
        <f t="array" ref="B259">IF(A259&lt;&gt;"",DATE(YEAR($D$9),MONTH($D$9)+A259,DAY($D$9)),"")</f>
        <v>54118</v>
      </c>
      <c r="C259" s="3516">
        <f t="array" ref="C259">IF(A259&lt;&gt;"",I258,"")</f>
        <v>1675549.98025165</v>
      </c>
      <c r="D259" s="3516">
        <f t="array" ref="D259">IF(A259&lt;&gt;"",$H$5,"")</f>
        <v>33254.5945333633</v>
      </c>
      <c r="E259" s="3517">
        <v>0</v>
      </c>
      <c r="F259" s="3516">
        <f t="array" ref="F259">IF(A259&lt;&gt;"",D259+E259,"")</f>
        <v>33254.5945333633</v>
      </c>
      <c r="G259" s="3516">
        <f t="array" ref="G259">IF(A259&lt;&gt;"",F259-H259,0)</f>
        <v>24178.6988070003</v>
      </c>
      <c r="H259" s="3516">
        <f t="array" ref="H259">IF(A259&lt;&gt;"",C259*$D$6/$D$8,0)</f>
        <v>9075.89572636308</v>
      </c>
      <c r="I259" s="3516">
        <f t="array" ref="I259">IF(A259&lt;&gt;"",C259-G259,0)</f>
        <v>1651371.28144465</v>
      </c>
      <c r="J259" s="3516">
        <f t="array" ref="J259">IF(A259&lt;&gt;"",J258+H259,J258)</f>
        <v>4773888.10073057</v>
      </c>
      <c r="K259" s="666"/>
      <c r="L259" s="1167" t="n"/>
      <c r="M259" s="1167" t="n"/>
      <c r="N259" s="1168" t="n"/>
      <c r="O259" s="1168" t="n"/>
      <c r="P259" s="1168" t="n"/>
      <c r="Q259" s="1168" t="n"/>
      <c r="R259" s="1168" t="n"/>
      <c r="S259" s="1168" t="n"/>
      <c r="T259" s="1168" t="n"/>
      <c r="U259" s="1168" t="n"/>
      <c r="V259" s="1168" t="n"/>
      <c r="W259" s="1168" t="n"/>
      <c r="X259" s="1168" t="n"/>
      <c r="Y259" s="1167" t="n"/>
    </row>
    <row r="260" s="3154" customFormat="1" ht="12.75" customHeight="1">
      <c r="A260" s="1117">
        <f t="array" ref="A260">IF(I259&gt;0.5,A259+1,"")</f>
        <v>243</v>
      </c>
      <c r="B260" s="3515">
        <f t="array" ref="B260">IF(A260&lt;&gt;"",DATE(YEAR($D$9),MONTH($D$9)+A260,DAY($D$9)),"")</f>
        <v>54149</v>
      </c>
      <c r="C260" s="3516">
        <f t="array" ref="C260">IF(A260&lt;&gt;"",I259,"")</f>
        <v>1651371.28144465</v>
      </c>
      <c r="D260" s="3516">
        <f t="array" ref="D260">IF(A260&lt;&gt;"",$H$5,"")</f>
        <v>33254.5945333633</v>
      </c>
      <c r="E260" s="3517">
        <v>0</v>
      </c>
      <c r="F260" s="3516">
        <f t="array" ref="F260">IF(A260&lt;&gt;"",D260+E260,"")</f>
        <v>33254.5945333633</v>
      </c>
      <c r="G260" s="3516">
        <f t="array" ref="G260">IF(A260&lt;&gt;"",F260-H260,0)</f>
        <v>24309.6667588715</v>
      </c>
      <c r="H260" s="3516">
        <f t="array" ref="H260">IF(A260&lt;&gt;"",C260*$D$6/$D$8,0)</f>
        <v>8944.92777449183</v>
      </c>
      <c r="I260" s="3516">
        <f t="array" ref="I260">IF(A260&lt;&gt;"",C260-G260,0)</f>
        <v>1627061.61468577</v>
      </c>
      <c r="J260" s="3516">
        <f t="array" ref="J260">IF(A260&lt;&gt;"",J259+H260,J259)</f>
        <v>4782833.02850506</v>
      </c>
      <c r="K260" s="666"/>
      <c r="L260" s="1167" t="n"/>
      <c r="M260" s="1167" t="n"/>
      <c r="N260" s="1168" t="n"/>
      <c r="O260" s="1168" t="n"/>
      <c r="P260" s="1168" t="n"/>
      <c r="Q260" s="1168" t="n"/>
      <c r="R260" s="1168" t="n"/>
      <c r="S260" s="1168" t="n"/>
      <c r="T260" s="1168" t="n"/>
      <c r="U260" s="1168" t="n"/>
      <c r="V260" s="1168" t="n"/>
      <c r="W260" s="1168" t="n"/>
      <c r="X260" s="1168" t="n"/>
      <c r="Y260" s="1167" t="n"/>
    </row>
    <row r="261" s="3154" customFormat="1" ht="12.75" customHeight="1">
      <c r="A261" s="1117">
        <f t="array" ref="A261">IF(I260&gt;0.5,A260+1,"")</f>
        <v>244</v>
      </c>
      <c r="B261" s="3515">
        <f t="array" ref="B261">IF(A261&lt;&gt;"",DATE(YEAR($D$9),MONTH($D$9)+A261,DAY($D$9)),"")</f>
        <v>54179</v>
      </c>
      <c r="C261" s="3516">
        <f t="array" ref="C261">IF(A261&lt;&gt;"",I260,"")</f>
        <v>1627061.61468577</v>
      </c>
      <c r="D261" s="3516">
        <f t="array" ref="D261">IF(A261&lt;&gt;"",$H$5,"")</f>
        <v>33254.5945333633</v>
      </c>
      <c r="E261" s="3517">
        <v>0</v>
      </c>
      <c r="F261" s="3516">
        <f t="array" ref="F261">IF(A261&lt;&gt;"",D261+E261,"")</f>
        <v>33254.5945333633</v>
      </c>
      <c r="G261" s="3516">
        <f t="array" ref="G261">IF(A261&lt;&gt;"",F261-H261,0)</f>
        <v>24441.3441204821</v>
      </c>
      <c r="H261" s="3516">
        <f t="array" ref="H261">IF(A261&lt;&gt;"",C261*$D$6/$D$8,0)</f>
        <v>8813.25041288128</v>
      </c>
      <c r="I261" s="3516">
        <f t="array" ref="I261">IF(A261&lt;&gt;"",C261-G261,0)</f>
        <v>1602620.27056529</v>
      </c>
      <c r="J261" s="3516">
        <f t="array" ref="J261">IF(A261&lt;&gt;"",J260+H261,J260)</f>
        <v>4791646.27891794</v>
      </c>
      <c r="K261" s="666"/>
      <c r="L261" s="1167" t="n"/>
      <c r="M261" s="1167" t="n"/>
      <c r="N261" s="1168" t="n"/>
      <c r="O261" s="1168" t="n"/>
      <c r="P261" s="1168" t="n"/>
      <c r="Q261" s="1168" t="n"/>
      <c r="R261" s="1168" t="n"/>
      <c r="S261" s="1168" t="n"/>
      <c r="T261" s="1168" t="n"/>
      <c r="U261" s="1168" t="n"/>
      <c r="V261" s="1168" t="n"/>
      <c r="W261" s="1168" t="n"/>
      <c r="X261" s="1168" t="n"/>
      <c r="Y261" s="1167" t="n"/>
    </row>
    <row r="262" s="3154" customFormat="1" ht="12.75" customHeight="1">
      <c r="A262" s="1117">
        <f t="array" ref="A262">IF(I261&gt;0.5,A261+1,"")</f>
        <v>245</v>
      </c>
      <c r="B262" s="3515">
        <f t="array" ref="B262">IF(A262&lt;&gt;"",DATE(YEAR($D$9),MONTH($D$9)+A262,DAY($D$9)),"")</f>
        <v>54210</v>
      </c>
      <c r="C262" s="3516">
        <f t="array" ref="C262">IF(A262&lt;&gt;"",I261,"")</f>
        <v>1602620.27056529</v>
      </c>
      <c r="D262" s="3516">
        <f t="array" ref="D262">IF(A262&lt;&gt;"",$H$5,"")</f>
        <v>33254.5945333633</v>
      </c>
      <c r="E262" s="3517">
        <v>0</v>
      </c>
      <c r="F262" s="3516">
        <f t="array" ref="F262">IF(A262&lt;&gt;"",D262+E262,"")</f>
        <v>33254.5945333633</v>
      </c>
      <c r="G262" s="3516">
        <f t="array" ref="G262">IF(A262&lt;&gt;"",F262-H262,0)</f>
        <v>24573.734734468</v>
      </c>
      <c r="H262" s="3516">
        <f t="array" ref="H262">IF(A262&lt;&gt;"",C262*$D$6/$D$8,0)</f>
        <v>8680.85979889533</v>
      </c>
      <c r="I262" s="3516">
        <f t="array" ref="I262">IF(A262&lt;&gt;"",C262-G262,0)</f>
        <v>1578046.53583082</v>
      </c>
      <c r="J262" s="3516">
        <f t="array" ref="J262">IF(A262&lt;&gt;"",J261+H262,J261)</f>
        <v>4800327.13871684</v>
      </c>
      <c r="K262" s="666"/>
      <c r="L262" s="1167" t="n"/>
      <c r="M262" s="1167" t="n"/>
      <c r="N262" s="1168" t="n"/>
      <c r="O262" s="1168" t="n"/>
      <c r="P262" s="1168" t="n"/>
      <c r="Q262" s="1168" t="n"/>
      <c r="R262" s="1168" t="n"/>
      <c r="S262" s="1168" t="n"/>
      <c r="T262" s="1168" t="n"/>
      <c r="U262" s="1168" t="n"/>
      <c r="V262" s="1168" t="n"/>
      <c r="W262" s="1168" t="n"/>
      <c r="X262" s="1168" t="n"/>
      <c r="Y262" s="1167" t="n"/>
    </row>
    <row r="263" s="3154" customFormat="1" ht="12.75" customHeight="1">
      <c r="A263" s="1117">
        <f t="array" ref="A263">IF(I262&gt;0.5,A262+1,"")</f>
        <v>246</v>
      </c>
      <c r="B263" s="3515">
        <f t="array" ref="B263">IF(A263&lt;&gt;"",DATE(YEAR($D$9),MONTH($D$9)+A263,DAY($D$9)),"")</f>
        <v>54240</v>
      </c>
      <c r="C263" s="3516">
        <f t="array" ref="C263">IF(A263&lt;&gt;"",I262,"")</f>
        <v>1578046.53583082</v>
      </c>
      <c r="D263" s="3516">
        <f t="array" ref="D263">IF(A263&lt;&gt;"",$H$5,"")</f>
        <v>33254.5945333633</v>
      </c>
      <c r="E263" s="3517">
        <v>0</v>
      </c>
      <c r="F263" s="3516">
        <f t="array" ref="F263">IF(A263&lt;&gt;"",D263+E263,"")</f>
        <v>33254.5945333633</v>
      </c>
      <c r="G263" s="3516">
        <f t="array" ref="G263">IF(A263&lt;&gt;"",F263-H263,0)</f>
        <v>24706.8424642797</v>
      </c>
      <c r="H263" s="3516">
        <f t="array" ref="H263">IF(A263&lt;&gt;"",C263*$D$6/$D$8,0)</f>
        <v>8547.75206908363</v>
      </c>
      <c r="I263" s="3516">
        <f t="array" ref="I263">IF(A263&lt;&gt;"",C263-G263,0)</f>
        <v>1553339.69336654</v>
      </c>
      <c r="J263" s="3516">
        <f t="array" ref="J263">IF(A263&lt;&gt;"",J262+H263,J262)</f>
        <v>4808874.89078592</v>
      </c>
      <c r="K263" s="666"/>
      <c r="L263" s="1167" t="n"/>
      <c r="M263" s="1167" t="n"/>
      <c r="N263" s="1168" t="n"/>
      <c r="O263" s="1168" t="n"/>
      <c r="P263" s="1168" t="n"/>
      <c r="Q263" s="1168" t="n"/>
      <c r="R263" s="1168" t="n"/>
      <c r="S263" s="1168" t="n"/>
      <c r="T263" s="1168" t="n"/>
      <c r="U263" s="1168" t="n"/>
      <c r="V263" s="1168" t="n"/>
      <c r="W263" s="1168" t="n"/>
      <c r="X263" s="1168" t="n"/>
      <c r="Y263" s="1167" t="n"/>
    </row>
    <row r="264" s="3154" customFormat="1" ht="12.75" customHeight="1">
      <c r="A264" s="1117">
        <f t="array" ref="A264">IF(I263&gt;0.5,A263+1,"")</f>
        <v>247</v>
      </c>
      <c r="B264" s="3515">
        <f t="array" ref="B264">IF(A264&lt;&gt;"",DATE(YEAR($D$9),MONTH($D$9)+A264,DAY($D$9)),"")</f>
        <v>54271</v>
      </c>
      <c r="C264" s="3516">
        <f t="array" ref="C264">IF(A264&lt;&gt;"",I263,"")</f>
        <v>1553339.69336654</v>
      </c>
      <c r="D264" s="3516">
        <f t="array" ref="D264">IF(A264&lt;&gt;"",$H$5,"")</f>
        <v>33254.5945333633</v>
      </c>
      <c r="E264" s="3517">
        <v>0</v>
      </c>
      <c r="F264" s="3516">
        <f t="array" ref="F264">IF(A264&lt;&gt;"",D264+E264,"")</f>
        <v>33254.5945333633</v>
      </c>
      <c r="G264" s="3516">
        <f t="array" ref="G264">IF(A264&lt;&gt;"",F264-H264,0)</f>
        <v>24840.6711942946</v>
      </c>
      <c r="H264" s="3516">
        <f t="array" ref="H264">IF(A264&lt;&gt;"",C264*$D$6/$D$8,0)</f>
        <v>8413.92333906878</v>
      </c>
      <c r="I264" s="3516">
        <f t="array" ref="I264">IF(A264&lt;&gt;"",C264-G264,0)</f>
        <v>1528499.02217225</v>
      </c>
      <c r="J264" s="3516">
        <f t="array" ref="J264">IF(A264&lt;&gt;"",J263+H264,J263)</f>
        <v>4817288.81412499</v>
      </c>
      <c r="K264" s="666"/>
      <c r="L264" s="1167" t="n"/>
      <c r="M264" s="1167" t="n"/>
      <c r="N264" s="1168" t="n"/>
      <c r="O264" s="1168" t="n"/>
      <c r="P264" s="1168" t="n"/>
      <c r="Q264" s="1168" t="n"/>
      <c r="R264" s="1168" t="n"/>
      <c r="S264" s="1168" t="n"/>
      <c r="T264" s="1168" t="n"/>
      <c r="U264" s="1168" t="n"/>
      <c r="V264" s="1168" t="n"/>
      <c r="W264" s="1168" t="n"/>
      <c r="X264" s="1168" t="n"/>
      <c r="Y264" s="1167" t="n"/>
    </row>
    <row r="265" s="3154" customFormat="1" ht="12.75" customHeight="1">
      <c r="A265" s="1117">
        <f t="array" ref="A265">IF(I264&gt;0.5,A264+1,"")</f>
        <v>248</v>
      </c>
      <c r="B265" s="3515">
        <f t="array" ref="B265">IF(A265&lt;&gt;"",DATE(YEAR($D$9),MONTH($D$9)+A265,DAY($D$9)),"")</f>
        <v>54302</v>
      </c>
      <c r="C265" s="3516">
        <f t="array" ref="C265">IF(A265&lt;&gt;"",I264,"")</f>
        <v>1528499.02217225</v>
      </c>
      <c r="D265" s="3516">
        <f t="array" ref="D265">IF(A265&lt;&gt;"",$H$5,"")</f>
        <v>33254.5945333633</v>
      </c>
      <c r="E265" s="3517">
        <v>0</v>
      </c>
      <c r="F265" s="3516">
        <f t="array" ref="F265">IF(A265&lt;&gt;"",D265+E265,"")</f>
        <v>33254.5945333633</v>
      </c>
      <c r="G265" s="3516">
        <f t="array" ref="G265">IF(A265&lt;&gt;"",F265-H265,0)</f>
        <v>24975.2248299303</v>
      </c>
      <c r="H265" s="3516">
        <f t="array" ref="H265">IF(A265&lt;&gt;"",C265*$D$6/$D$8,0)</f>
        <v>8279.36970343302</v>
      </c>
      <c r="I265" s="3516">
        <f t="array" ref="I265">IF(A265&lt;&gt;"",C265-G265,0)</f>
        <v>1503523.79734232</v>
      </c>
      <c r="J265" s="3516">
        <f t="array" ref="J265">IF(A265&lt;&gt;"",J264+H265,J264)</f>
        <v>4825568.18382842</v>
      </c>
      <c r="K265" s="666"/>
      <c r="L265" s="1167" t="n"/>
      <c r="M265" s="1167" t="n"/>
      <c r="N265" s="1168" t="n"/>
      <c r="O265" s="1168" t="n"/>
      <c r="P265" s="1168" t="n"/>
      <c r="Q265" s="1168" t="n"/>
      <c r="R265" s="1168" t="n"/>
      <c r="S265" s="1168" t="n"/>
      <c r="T265" s="1168" t="n"/>
      <c r="U265" s="1168" t="n"/>
      <c r="V265" s="1168" t="n"/>
      <c r="W265" s="1168" t="n"/>
      <c r="X265" s="1168" t="n"/>
      <c r="Y265" s="1167" t="n"/>
    </row>
    <row r="266" s="3154" customFormat="1" ht="12.75" customHeight="1">
      <c r="A266" s="1117">
        <f t="array" ref="A266">IF(I265&gt;0.5,A265+1,"")</f>
        <v>249</v>
      </c>
      <c r="B266" s="3515">
        <f t="array" ref="B266">IF(A266&lt;&gt;"",DATE(YEAR($D$9),MONTH($D$9)+A266,DAY($D$9)),"")</f>
        <v>54332</v>
      </c>
      <c r="C266" s="3516">
        <f t="array" ref="C266">IF(A266&lt;&gt;"",I265,"")</f>
        <v>1503523.79734232</v>
      </c>
      <c r="D266" s="3516">
        <f t="array" ref="D266">IF(A266&lt;&gt;"",$H$5,"")</f>
        <v>33254.5945333633</v>
      </c>
      <c r="E266" s="3517">
        <v>0</v>
      </c>
      <c r="F266" s="3516">
        <f t="array" ref="F266">IF(A266&lt;&gt;"",D266+E266,"")</f>
        <v>33254.5945333633</v>
      </c>
      <c r="G266" s="3516">
        <f t="array" ref="G266">IF(A266&lt;&gt;"",F266-H266,0)</f>
        <v>25110.5072977591</v>
      </c>
      <c r="H266" s="3516">
        <f t="array" ref="H266">IF(A266&lt;&gt;"",C266*$D$6/$D$8,0)</f>
        <v>8144.08723560423</v>
      </c>
      <c r="I266" s="3516">
        <f t="array" ref="I266">IF(A266&lt;&gt;"",C266-G266,0)</f>
        <v>1478413.29004456</v>
      </c>
      <c r="J266" s="3516">
        <f t="array" ref="J266">IF(A266&lt;&gt;"",J265+H266,J265)</f>
        <v>4833712.27106403</v>
      </c>
      <c r="K266" s="666"/>
      <c r="L266" s="1167" t="n"/>
      <c r="M266" s="1167" t="n"/>
      <c r="N266" s="1168" t="n"/>
      <c r="O266" s="1168" t="n"/>
      <c r="P266" s="1168" t="n"/>
      <c r="Q266" s="1168" t="n"/>
      <c r="R266" s="1168" t="n"/>
      <c r="S266" s="1168" t="n"/>
      <c r="T266" s="1168" t="n"/>
      <c r="U266" s="1168" t="n"/>
      <c r="V266" s="1168" t="n"/>
      <c r="W266" s="1168" t="n"/>
      <c r="X266" s="1168" t="n"/>
      <c r="Y266" s="1167" t="n"/>
    </row>
    <row r="267" s="3154" customFormat="1" ht="12.75" customHeight="1">
      <c r="A267" s="1117">
        <f t="array" ref="A267">IF(I266&gt;0.5,A266+1,"")</f>
        <v>250</v>
      </c>
      <c r="B267" s="3515">
        <f t="array" ref="B267">IF(A267&lt;&gt;"",DATE(YEAR($D$9),MONTH($D$9)+A267,DAY($D$9)),"")</f>
        <v>54363</v>
      </c>
      <c r="C267" s="3516">
        <f t="array" ref="C267">IF(A267&lt;&gt;"",I266,"")</f>
        <v>1478413.29004456</v>
      </c>
      <c r="D267" s="3516">
        <f t="array" ref="D267">IF(A267&lt;&gt;"",$H$5,"")</f>
        <v>33254.5945333633</v>
      </c>
      <c r="E267" s="3517">
        <v>0</v>
      </c>
      <c r="F267" s="3516">
        <f t="array" ref="F267">IF(A267&lt;&gt;"",D267+E267,"")</f>
        <v>33254.5945333633</v>
      </c>
      <c r="G267" s="3516">
        <f t="array" ref="G267">IF(A267&lt;&gt;"",F267-H267,0)</f>
        <v>25246.522545622</v>
      </c>
      <c r="H267" s="3516">
        <f t="array" ref="H267">IF(A267&lt;&gt;"",C267*$D$6/$D$8,0)</f>
        <v>8008.07198774137</v>
      </c>
      <c r="I267" s="3516">
        <f t="array" ref="I267">IF(A267&lt;&gt;"",C267-G267,0)</f>
        <v>1453166.76749894</v>
      </c>
      <c r="J267" s="3516">
        <f t="array" ref="J267">IF(A267&lt;&gt;"",J266+H267,J266)</f>
        <v>4841720.34305177</v>
      </c>
      <c r="K267" s="666"/>
      <c r="L267" s="1167" t="n"/>
      <c r="M267" s="1167" t="n"/>
      <c r="N267" s="1168" t="n"/>
      <c r="O267" s="1168" t="n"/>
      <c r="P267" s="1168" t="n"/>
      <c r="Q267" s="1168" t="n"/>
      <c r="R267" s="1168" t="n"/>
      <c r="S267" s="1168" t="n"/>
      <c r="T267" s="1168" t="n"/>
      <c r="U267" s="1168" t="n"/>
      <c r="V267" s="1168" t="n"/>
      <c r="W267" s="1168" t="n"/>
      <c r="X267" s="1168" t="n"/>
      <c r="Y267" s="1167" t="n"/>
    </row>
    <row r="268" s="3154" customFormat="1" ht="12.75" customHeight="1">
      <c r="A268" s="1117">
        <f t="array" ref="A268">IF(I267&gt;0.5,A267+1,"")</f>
        <v>251</v>
      </c>
      <c r="B268" s="3515">
        <f t="array" ref="B268">IF(A268&lt;&gt;"",DATE(YEAR($D$9),MONTH($D$9)+A268,DAY($D$9)),"")</f>
        <v>54393</v>
      </c>
      <c r="C268" s="3516">
        <f t="array" ref="C268">IF(A268&lt;&gt;"",I267,"")</f>
        <v>1453166.76749894</v>
      </c>
      <c r="D268" s="3516">
        <f t="array" ref="D268">IF(A268&lt;&gt;"",$H$5,"")</f>
        <v>33254.5945333633</v>
      </c>
      <c r="E268" s="3517">
        <v>0</v>
      </c>
      <c r="F268" s="3516">
        <f t="array" ref="F268">IF(A268&lt;&gt;"",D268+E268,"")</f>
        <v>33254.5945333633</v>
      </c>
      <c r="G268" s="3516">
        <f t="array" ref="G268">IF(A268&lt;&gt;"",F268-H268,0)</f>
        <v>25383.2745427441</v>
      </c>
      <c r="H268" s="3516">
        <f t="array" ref="H268">IF(A268&lt;&gt;"",C268*$D$6/$D$8,0)</f>
        <v>7871.31999061925</v>
      </c>
      <c r="I268" s="3516">
        <f t="array" ref="I268">IF(A268&lt;&gt;"",C268-G268,0)</f>
        <v>1427783.49295619</v>
      </c>
      <c r="J268" s="3516">
        <f t="array" ref="J268">IF(A268&lt;&gt;"",J267+H268,J267)</f>
        <v>4849591.66304239</v>
      </c>
      <c r="K268" s="666"/>
      <c r="L268" s="1167" t="n"/>
      <c r="M268" s="1167" t="n"/>
      <c r="N268" s="1168" t="n"/>
      <c r="O268" s="1168" t="n"/>
      <c r="P268" s="1168" t="n"/>
      <c r="Q268" s="1168" t="n"/>
      <c r="R268" s="1168" t="n"/>
      <c r="S268" s="1168" t="n"/>
      <c r="T268" s="1168" t="n"/>
      <c r="U268" s="1168" t="n"/>
      <c r="V268" s="1168" t="n"/>
      <c r="W268" s="1168" t="n"/>
      <c r="X268" s="1168" t="n"/>
      <c r="Y268" s="1167" t="n"/>
    </row>
    <row r="269" s="3154" customFormat="1" ht="12.75" customHeight="1">
      <c r="A269" s="1117">
        <f t="array" ref="A269">IF(I268&gt;0.5,A268+1,"")</f>
        <v>252</v>
      </c>
      <c r="B269" s="3515">
        <f t="array" ref="B269">IF(A269&lt;&gt;"",DATE(YEAR($D$9),MONTH($D$9)+A269,DAY($D$9)),"")</f>
        <v>54424</v>
      </c>
      <c r="C269" s="3516">
        <f t="array" ref="C269">IF(A269&lt;&gt;"",I268,"")</f>
        <v>1427783.49295619</v>
      </c>
      <c r="D269" s="3516">
        <f t="array" ref="D269">IF(A269&lt;&gt;"",$H$5,"")</f>
        <v>33254.5945333633</v>
      </c>
      <c r="E269" s="3517">
        <v>0</v>
      </c>
      <c r="F269" s="3516">
        <f t="array" ref="F269">IF(A269&lt;&gt;"",D269+E269,"")</f>
        <v>33254.5945333633</v>
      </c>
      <c r="G269" s="3516">
        <f t="array" ref="G269">IF(A269&lt;&gt;"",F269-H269,0)</f>
        <v>25520.7672798506</v>
      </c>
      <c r="H269" s="3516">
        <f t="array" ref="H269">IF(A269&lt;&gt;"",C269*$D$6/$D$8,0)</f>
        <v>7733.82725351272</v>
      </c>
      <c r="I269" s="3516">
        <f t="array" ref="I269">IF(A269&lt;&gt;"",C269-G269,0)</f>
        <v>1402262.72567634</v>
      </c>
      <c r="J269" s="3516">
        <f t="array" ref="J269">IF(A269&lt;&gt;"",J268+H269,J268)</f>
        <v>4857325.4902959</v>
      </c>
      <c r="K269" s="666">
        <v>297335.691018237</v>
      </c>
      <c r="L269" s="1167" t="n"/>
      <c r="M269" s="1167" t="n"/>
      <c r="N269" s="1168" t="n"/>
      <c r="O269" s="1168" t="n"/>
      <c r="P269" s="1168" t="n"/>
      <c r="Q269" s="1168" t="n"/>
      <c r="R269" s="1168" t="n"/>
      <c r="S269" s="1168" t="n"/>
      <c r="T269" s="1168" t="n"/>
      <c r="U269" s="1168" t="n"/>
      <c r="V269" s="1168" t="n"/>
      <c r="W269" s="1168" t="n"/>
      <c r="X269" s="1168" t="n"/>
      <c r="Y269" s="1167" t="n"/>
    </row>
    <row r="270" s="3154" customFormat="1" ht="12.75" customHeight="1">
      <c r="A270" s="1117">
        <f t="array" ref="A270">IF(I269&gt;0.5,A269+1,"")</f>
        <v>253</v>
      </c>
      <c r="B270" s="3515">
        <f t="array" ref="B270">IF(A270&lt;&gt;"",DATE(YEAR($D$9),MONTH($D$9)+A270,DAY($D$9)),"")</f>
        <v>54455</v>
      </c>
      <c r="C270" s="3516">
        <f t="array" ref="C270">IF(A270&lt;&gt;"",I269,"")</f>
        <v>1402262.72567634</v>
      </c>
      <c r="D270" s="3516">
        <f t="array" ref="D270">IF(A270&lt;&gt;"",$H$5,"")</f>
        <v>33254.5945333633</v>
      </c>
      <c r="E270" s="3517">
        <v>0</v>
      </c>
      <c r="F270" s="3516">
        <f t="array" ref="F270">IF(A270&lt;&gt;"",D270+E270,"")</f>
        <v>33254.5945333633</v>
      </c>
      <c r="G270" s="3516">
        <f t="array" ref="G270">IF(A270&lt;&gt;"",F270-H270,0)</f>
        <v>25659.0047692832</v>
      </c>
      <c r="H270" s="3516">
        <f t="array" ref="H270">IF(A270&lt;&gt;"",C270*$D$6/$D$8,0)</f>
        <v>7595.5897640802</v>
      </c>
      <c r="I270" s="3516">
        <f t="array" ref="I270">IF(A270&lt;&gt;"",C270-G270,0)</f>
        <v>1376603.72090706</v>
      </c>
      <c r="J270" s="3516">
        <f t="array" ref="J270">IF(A270&lt;&gt;"",J269+H270,J269)</f>
        <v>4864921.08005998</v>
      </c>
      <c r="K270" s="666"/>
      <c r="L270" s="1167" t="n"/>
      <c r="M270" s="1167" t="n"/>
      <c r="N270" s="1168" t="n"/>
      <c r="O270" s="1168" t="n"/>
      <c r="P270" s="1168" t="n"/>
      <c r="Q270" s="1168" t="n"/>
      <c r="R270" s="1168" t="n"/>
      <c r="S270" s="1168" t="n"/>
      <c r="T270" s="1168" t="n"/>
      <c r="U270" s="1168" t="n"/>
      <c r="V270" s="1168" t="n"/>
      <c r="W270" s="1168" t="n"/>
      <c r="X270" s="1168" t="n"/>
      <c r="Y270" s="1167" t="n"/>
    </row>
    <row r="271" s="3154" customFormat="1" ht="12.75" customHeight="1">
      <c r="A271" s="1117">
        <f t="array" ref="A271">IF(I270&gt;0.5,A270+1,"")</f>
        <v>254</v>
      </c>
      <c r="B271" s="3515">
        <f t="array" ref="B271">IF(A271&lt;&gt;"",DATE(YEAR($D$9),MONTH($D$9)+A271,DAY($D$9)),"")</f>
        <v>54483</v>
      </c>
      <c r="C271" s="3516">
        <f t="array" ref="C271">IF(A271&lt;&gt;"",I270,"")</f>
        <v>1376603.72090706</v>
      </c>
      <c r="D271" s="3516">
        <f t="array" ref="D271">IF(A271&lt;&gt;"",$H$5,"")</f>
        <v>33254.5945333633</v>
      </c>
      <c r="E271" s="3517">
        <v>0</v>
      </c>
      <c r="F271" s="3516">
        <f t="array" ref="F271">IF(A271&lt;&gt;"",D271+E271,"")</f>
        <v>33254.5945333633</v>
      </c>
      <c r="G271" s="3516">
        <f t="array" ref="G271">IF(A271&lt;&gt;"",F271-H271,0)</f>
        <v>25797.9910451168</v>
      </c>
      <c r="H271" s="3516">
        <f t="array" ref="H271">IF(A271&lt;&gt;"",C271*$D$6/$D$8,0)</f>
        <v>7456.60348824658</v>
      </c>
      <c r="I271" s="3516">
        <f t="array" ref="I271">IF(A271&lt;&gt;"",C271-G271,0)</f>
        <v>1350805.72986194</v>
      </c>
      <c r="J271" s="3516">
        <f t="array" ref="J271">IF(A271&lt;&gt;"",J270+H271,J270)</f>
        <v>4872377.68354823</v>
      </c>
      <c r="K271" s="666"/>
      <c r="L271" s="1167" t="n"/>
      <c r="M271" s="1167" t="n"/>
      <c r="N271" s="1168" t="n"/>
      <c r="O271" s="1168" t="n"/>
      <c r="P271" s="1168" t="n"/>
      <c r="Q271" s="1168" t="n"/>
      <c r="R271" s="1168" t="n"/>
      <c r="S271" s="1168" t="n"/>
      <c r="T271" s="1168" t="n"/>
      <c r="U271" s="1168" t="n"/>
      <c r="V271" s="1168" t="n"/>
      <c r="W271" s="1168" t="n"/>
      <c r="X271" s="1168" t="n"/>
      <c r="Y271" s="1167" t="n"/>
    </row>
    <row r="272" s="3154" customFormat="1" ht="12.75" customHeight="1">
      <c r="A272" s="1117">
        <f t="array" ref="A272">IF(I271&gt;0.5,A271+1,"")</f>
        <v>255</v>
      </c>
      <c r="B272" s="3515">
        <f t="array" ref="B272">IF(A272&lt;&gt;"",DATE(YEAR($D$9),MONTH($D$9)+A272,DAY($D$9)),"")</f>
        <v>54514</v>
      </c>
      <c r="C272" s="3516">
        <f t="array" ref="C272">IF(A272&lt;&gt;"",I271,"")</f>
        <v>1350805.72986194</v>
      </c>
      <c r="D272" s="3516">
        <f t="array" ref="D272">IF(A272&lt;&gt;"",$H$5,"")</f>
        <v>33254.5945333633</v>
      </c>
      <c r="E272" s="3517">
        <v>0</v>
      </c>
      <c r="F272" s="3516">
        <f t="array" ref="F272">IF(A272&lt;&gt;"",D272+E272,"")</f>
        <v>33254.5945333633</v>
      </c>
      <c r="G272" s="3516">
        <f t="array" ref="G272">IF(A272&lt;&gt;"",F272-H272,0)</f>
        <v>25937.7301632778</v>
      </c>
      <c r="H272" s="3516">
        <f t="array" ref="H272">IF(A272&lt;&gt;"",C272*$D$6/$D$8,0)</f>
        <v>7316.86437008553</v>
      </c>
      <c r="I272" s="3516">
        <f t="array" ref="I272">IF(A272&lt;&gt;"",C272-G272,0)</f>
        <v>1324867.99969867</v>
      </c>
      <c r="J272" s="3516">
        <f t="array" ref="J272">IF(A272&lt;&gt;"",J271+H272,J271)</f>
        <v>4879694.54791831</v>
      </c>
      <c r="K272" s="666"/>
      <c r="L272" s="1167" t="n"/>
      <c r="M272" s="1167" t="n"/>
      <c r="N272" s="1168" t="n"/>
      <c r="O272" s="1168" t="n"/>
      <c r="P272" s="1168" t="n"/>
      <c r="Q272" s="1168" t="n"/>
      <c r="R272" s="1168" t="n"/>
      <c r="S272" s="1168" t="n"/>
      <c r="T272" s="1168" t="n"/>
      <c r="U272" s="1168" t="n"/>
      <c r="V272" s="1168" t="n"/>
      <c r="W272" s="1168" t="n"/>
      <c r="X272" s="1168" t="n"/>
      <c r="Y272" s="1167" t="n"/>
    </row>
    <row r="273" s="3154" customFormat="1" ht="12.75" customHeight="1">
      <c r="A273" s="1117">
        <f t="array" ref="A273">IF(I272&gt;0.5,A272+1,"")</f>
        <v>256</v>
      </c>
      <c r="B273" s="3515">
        <f t="array" ref="B273">IF(A273&lt;&gt;"",DATE(YEAR($D$9),MONTH($D$9)+A273,DAY($D$9)),"")</f>
        <v>54544</v>
      </c>
      <c r="C273" s="3516">
        <f t="array" ref="C273">IF(A273&lt;&gt;"",I272,"")</f>
        <v>1324867.99969867</v>
      </c>
      <c r="D273" s="3516">
        <f t="array" ref="D273">IF(A273&lt;&gt;"",$H$5,"")</f>
        <v>33254.5945333633</v>
      </c>
      <c r="E273" s="3517">
        <v>0</v>
      </c>
      <c r="F273" s="3516">
        <f t="array" ref="F273">IF(A273&lt;&gt;"",D273+E273,"")</f>
        <v>33254.5945333633</v>
      </c>
      <c r="G273" s="3516">
        <f t="array" ref="G273">IF(A273&lt;&gt;"",F273-H273,0)</f>
        <v>26078.2262016622</v>
      </c>
      <c r="H273" s="3516">
        <f t="array" ref="H273">IF(A273&lt;&gt;"",C273*$D$6/$D$8,0)</f>
        <v>7176.36833170111</v>
      </c>
      <c r="I273" s="3516">
        <f t="array" ref="I273">IF(A273&lt;&gt;"",C273-G273,0)</f>
        <v>1298789.773497</v>
      </c>
      <c r="J273" s="3516">
        <f t="array" ref="J273">IF(A273&lt;&gt;"",J272+H273,J272)</f>
        <v>4886870.91625001</v>
      </c>
      <c r="K273" s="666"/>
      <c r="L273" s="1167" t="n"/>
      <c r="M273" s="1167" t="n"/>
      <c r="N273" s="1168" t="n"/>
      <c r="O273" s="1168" t="n"/>
      <c r="P273" s="1168" t="n"/>
      <c r="Q273" s="1168" t="n"/>
      <c r="R273" s="1168" t="n"/>
      <c r="S273" s="1168" t="n"/>
      <c r="T273" s="1168" t="n"/>
      <c r="U273" s="1168" t="n"/>
      <c r="V273" s="1168" t="n"/>
      <c r="W273" s="1168" t="n"/>
      <c r="X273" s="1168" t="n"/>
      <c r="Y273" s="1167" t="n"/>
    </row>
    <row r="274" s="3154" customFormat="1" ht="12.75" customHeight="1">
      <c r="A274" s="1117">
        <f t="array" ref="A274">IF(I273&gt;0.5,A273+1,"")</f>
        <v>257</v>
      </c>
      <c r="B274" s="3515">
        <f t="array" ref="B274">IF(A274&lt;&gt;"",DATE(YEAR($D$9),MONTH($D$9)+A274,DAY($D$9)),"")</f>
        <v>54575</v>
      </c>
      <c r="C274" s="3516">
        <f t="array" ref="C274">IF(A274&lt;&gt;"",I273,"")</f>
        <v>1298789.773497</v>
      </c>
      <c r="D274" s="3516">
        <f t="array" ref="D274">IF(A274&lt;&gt;"",$H$5,"")</f>
        <v>33254.5945333633</v>
      </c>
      <c r="E274" s="3517">
        <v>0</v>
      </c>
      <c r="F274" s="3516">
        <f t="array" ref="F274">IF(A274&lt;&gt;"",D274+E274,"")</f>
        <v>33254.5945333633</v>
      </c>
      <c r="G274" s="3516">
        <f t="array" ref="G274">IF(A274&lt;&gt;"",F274-H274,0)</f>
        <v>26219.4832602546</v>
      </c>
      <c r="H274" s="3516">
        <f t="array" ref="H274">IF(A274&lt;&gt;"",C274*$D$6/$D$8,0)</f>
        <v>7035.11127310877</v>
      </c>
      <c r="I274" s="3516">
        <f t="array" ref="I274">IF(A274&lt;&gt;"",C274-G274,0)</f>
        <v>1272570.29023675</v>
      </c>
      <c r="J274" s="3516">
        <f t="array" ref="J274">IF(A274&lt;&gt;"",J273+H274,J273)</f>
        <v>4893906.02752312</v>
      </c>
      <c r="K274" s="666"/>
      <c r="L274" s="1167" t="n"/>
      <c r="M274" s="1167" t="n"/>
      <c r="N274" s="1168" t="n"/>
      <c r="O274" s="1168" t="n"/>
      <c r="P274" s="1168" t="n"/>
      <c r="Q274" s="1168" t="n"/>
      <c r="R274" s="1168" t="n"/>
      <c r="S274" s="1168" t="n"/>
      <c r="T274" s="1168" t="n"/>
      <c r="U274" s="1168" t="n"/>
      <c r="V274" s="1168" t="n"/>
      <c r="W274" s="1168" t="n"/>
      <c r="X274" s="1168" t="n"/>
      <c r="Y274" s="1167" t="n"/>
    </row>
    <row r="275" s="3154" customFormat="1" ht="12.75" customHeight="1">
      <c r="A275" s="1117">
        <f t="array" ref="A275">IF(I274&gt;0.5,A274+1,"")</f>
        <v>258</v>
      </c>
      <c r="B275" s="3515">
        <f t="array" ref="B275">IF(A275&lt;&gt;"",DATE(YEAR($D$9),MONTH($D$9)+A275,DAY($D$9)),"")</f>
        <v>54605</v>
      </c>
      <c r="C275" s="3516">
        <f t="array" ref="C275">IF(A275&lt;&gt;"",I274,"")</f>
        <v>1272570.29023675</v>
      </c>
      <c r="D275" s="3516">
        <f t="array" ref="D275">IF(A275&lt;&gt;"",$H$5,"")</f>
        <v>33254.5945333633</v>
      </c>
      <c r="E275" s="3517">
        <v>0</v>
      </c>
      <c r="F275" s="3516">
        <f t="array" ref="F275">IF(A275&lt;&gt;"",D275+E275,"")</f>
        <v>33254.5945333633</v>
      </c>
      <c r="G275" s="3516">
        <f t="array" ref="G275">IF(A275&lt;&gt;"",F275-H275,0)</f>
        <v>26361.5054612476</v>
      </c>
      <c r="H275" s="3516">
        <f t="array" ref="H275">IF(A275&lt;&gt;"",C275*$D$6/$D$8,0)</f>
        <v>6893.08907211572</v>
      </c>
      <c r="I275" s="3516">
        <f t="array" ref="I275">IF(A275&lt;&gt;"",C275-G275,0)</f>
        <v>1246208.7847755</v>
      </c>
      <c r="J275" s="3516">
        <f t="array" ref="J275">IF(A275&lt;&gt;"",J274+H275,J274)</f>
        <v>4900799.11659524</v>
      </c>
      <c r="K275" s="666"/>
      <c r="L275" s="1167" t="n"/>
      <c r="M275" s="1167" t="n"/>
      <c r="N275" s="1168" t="n"/>
      <c r="O275" s="1168" t="n"/>
      <c r="P275" s="1168" t="n"/>
      <c r="Q275" s="1168" t="n"/>
      <c r="R275" s="1168" t="n"/>
      <c r="S275" s="1168" t="n"/>
      <c r="T275" s="1168" t="n"/>
      <c r="U275" s="1168" t="n"/>
      <c r="V275" s="1168" t="n"/>
      <c r="W275" s="1168" t="n"/>
      <c r="X275" s="1168" t="n"/>
      <c r="Y275" s="1167" t="n"/>
    </row>
    <row r="276" s="3154" customFormat="1" ht="12.75" customHeight="1">
      <c r="A276" s="1117">
        <f t="array" ref="A276">IF(I275&gt;0.5,A275+1,"")</f>
        <v>259</v>
      </c>
      <c r="B276" s="3515">
        <f t="array" ref="B276">IF(A276&lt;&gt;"",DATE(YEAR($D$9),MONTH($D$9)+A276,DAY($D$9)),"")</f>
        <v>54636</v>
      </c>
      <c r="C276" s="3516">
        <f t="array" ref="C276">IF(A276&lt;&gt;"",I275,"")</f>
        <v>1246208.7847755</v>
      </c>
      <c r="D276" s="3516">
        <f t="array" ref="D276">IF(A276&lt;&gt;"",$H$5,"")</f>
        <v>33254.5945333633</v>
      </c>
      <c r="E276" s="3517">
        <v>0</v>
      </c>
      <c r="F276" s="3516">
        <f t="array" ref="F276">IF(A276&lt;&gt;"",D276+E276,"")</f>
        <v>33254.5945333633</v>
      </c>
      <c r="G276" s="3516">
        <f t="array" ref="G276">IF(A276&lt;&gt;"",F276-H276,0)</f>
        <v>26504.2969491627</v>
      </c>
      <c r="H276" s="3516">
        <f t="array" ref="H276">IF(A276&lt;&gt;"",C276*$D$6/$D$8,0)</f>
        <v>6750.29758420063</v>
      </c>
      <c r="I276" s="3516">
        <f t="array" ref="I276">IF(A276&lt;&gt;"",C276-G276,0)</f>
        <v>1219704.48782634</v>
      </c>
      <c r="J276" s="3516">
        <f t="array" ref="J276">IF(A276&lt;&gt;"",J275+H276,J275)</f>
        <v>4907549.41417944</v>
      </c>
      <c r="K276" s="666"/>
      <c r="L276" s="1167" t="n"/>
      <c r="M276" s="1167" t="n"/>
      <c r="N276" s="1168" t="n"/>
      <c r="O276" s="1168" t="n"/>
      <c r="P276" s="1168" t="n"/>
      <c r="Q276" s="1168" t="n"/>
      <c r="R276" s="1168" t="n"/>
      <c r="S276" s="1168" t="n"/>
      <c r="T276" s="1168" t="n"/>
      <c r="U276" s="1168" t="n"/>
      <c r="V276" s="1168" t="n"/>
      <c r="W276" s="1168" t="n"/>
      <c r="X276" s="1168" t="n"/>
      <c r="Y276" s="1167" t="n"/>
    </row>
    <row r="277" s="3154" customFormat="1" ht="12.75" customHeight="1">
      <c r="A277" s="1117">
        <f t="array" ref="A277">IF(I276&gt;0.5,A276+1,"")</f>
        <v>260</v>
      </c>
      <c r="B277" s="3515">
        <f t="array" ref="B277">IF(A277&lt;&gt;"",DATE(YEAR($D$9),MONTH($D$9)+A277,DAY($D$9)),"")</f>
        <v>54667</v>
      </c>
      <c r="C277" s="3516">
        <f t="array" ref="C277">IF(A277&lt;&gt;"",I276,"")</f>
        <v>1219704.48782634</v>
      </c>
      <c r="D277" s="3516">
        <f t="array" ref="D277">IF(A277&lt;&gt;"",$H$5,"")</f>
        <v>33254.5945333633</v>
      </c>
      <c r="E277" s="3517">
        <v>0</v>
      </c>
      <c r="F277" s="3516">
        <f t="array" ref="F277">IF(A277&lt;&gt;"",D277+E277,"")</f>
        <v>33254.5945333633</v>
      </c>
      <c r="G277" s="3516">
        <f t="array" ref="G277">IF(A277&lt;&gt;"",F277-H277,0)</f>
        <v>26647.8618909707</v>
      </c>
      <c r="H277" s="3516">
        <f t="array" ref="H277">IF(A277&lt;&gt;"",C277*$D$6/$D$8,0)</f>
        <v>6606.73264239267</v>
      </c>
      <c r="I277" s="3516">
        <f t="array" ref="I277">IF(A277&lt;&gt;"",C277-G277,0)</f>
        <v>1193056.62593537</v>
      </c>
      <c r="J277" s="3516">
        <f t="array" ref="J277">IF(A277&lt;&gt;"",J276+H277,J276)</f>
        <v>4914156.14682183</v>
      </c>
      <c r="K277" s="666"/>
      <c r="L277" s="1167" t="n"/>
      <c r="M277" s="1167" t="n"/>
      <c r="N277" s="1168" t="n"/>
      <c r="O277" s="1168" t="n"/>
      <c r="P277" s="1168" t="n"/>
      <c r="Q277" s="1168" t="n"/>
      <c r="R277" s="1168" t="n"/>
      <c r="S277" s="1168" t="n"/>
      <c r="T277" s="1168" t="n"/>
      <c r="U277" s="1168" t="n"/>
      <c r="V277" s="1168" t="n"/>
      <c r="W277" s="1168" t="n"/>
      <c r="X277" s="1168" t="n"/>
      <c r="Y277" s="1167" t="n"/>
    </row>
    <row r="278" s="3154" customFormat="1" ht="12.75" customHeight="1">
      <c r="A278" s="1117">
        <f t="array" ref="A278">IF(I277&gt;0.5,A277+1,"")</f>
        <v>261</v>
      </c>
      <c r="B278" s="3515">
        <f t="array" ref="B278">IF(A278&lt;&gt;"",DATE(YEAR($D$9),MONTH($D$9)+A278,DAY($D$9)),"")</f>
        <v>54697</v>
      </c>
      <c r="C278" s="3516">
        <f t="array" ref="C278">IF(A278&lt;&gt;"",I277,"")</f>
        <v>1193056.62593537</v>
      </c>
      <c r="D278" s="3516">
        <f t="array" ref="D278">IF(A278&lt;&gt;"",$H$5,"")</f>
        <v>33254.5945333633</v>
      </c>
      <c r="E278" s="3517">
        <v>0</v>
      </c>
      <c r="F278" s="3516">
        <f t="array" ref="F278">IF(A278&lt;&gt;"",D278+E278,"")</f>
        <v>33254.5945333633</v>
      </c>
      <c r="G278" s="3516">
        <f t="array" ref="G278">IF(A278&lt;&gt;"",F278-H278,0)</f>
        <v>26792.2044762134</v>
      </c>
      <c r="H278" s="3516">
        <f t="array" ref="H278">IF(A278&lt;&gt;"",C278*$D$6/$D$8,0)</f>
        <v>6462.39005714991</v>
      </c>
      <c r="I278" s="3516">
        <f t="array" ref="I278">IF(A278&lt;&gt;"",C278-G278,0)</f>
        <v>1166264.42145915</v>
      </c>
      <c r="J278" s="3516">
        <f t="array" ref="J278">IF(A278&lt;&gt;"",J277+H278,J277)</f>
        <v>4920618.53687898</v>
      </c>
      <c r="K278" s="666"/>
      <c r="L278" s="1167" t="n"/>
      <c r="M278" s="1167" t="n"/>
      <c r="N278" s="1168" t="n"/>
      <c r="O278" s="1168" t="n"/>
      <c r="P278" s="1168" t="n"/>
      <c r="Q278" s="1168" t="n"/>
      <c r="R278" s="1168" t="n"/>
      <c r="S278" s="1168" t="n"/>
      <c r="T278" s="1168" t="n"/>
      <c r="U278" s="1168" t="n"/>
      <c r="V278" s="1168" t="n"/>
      <c r="W278" s="1168" t="n"/>
      <c r="X278" s="1168" t="n"/>
      <c r="Y278" s="1167" t="n"/>
    </row>
    <row r="279" s="3154" customFormat="1" ht="12.75" customHeight="1">
      <c r="A279" s="1117">
        <f t="array" ref="A279">IF(I278&gt;0.5,A278+1,"")</f>
        <v>262</v>
      </c>
      <c r="B279" s="3515">
        <f t="array" ref="B279">IF(A279&lt;&gt;"",DATE(YEAR($D$9),MONTH($D$9)+A279,DAY($D$9)),"")</f>
        <v>54728</v>
      </c>
      <c r="C279" s="3516">
        <f t="array" ref="C279">IF(A279&lt;&gt;"",I278,"")</f>
        <v>1166264.42145915</v>
      </c>
      <c r="D279" s="3516">
        <f t="array" ref="D279">IF(A279&lt;&gt;"",$H$5,"")</f>
        <v>33254.5945333633</v>
      </c>
      <c r="E279" s="3517">
        <v>0</v>
      </c>
      <c r="F279" s="3516">
        <f t="array" ref="F279">IF(A279&lt;&gt;"",D279+E279,"")</f>
        <v>33254.5945333633</v>
      </c>
      <c r="G279" s="3516">
        <f t="array" ref="G279">IF(A279&lt;&gt;"",F279-H279,0)</f>
        <v>26937.3289171263</v>
      </c>
      <c r="H279" s="3516">
        <f t="array" ref="H279">IF(A279&lt;&gt;"",C279*$D$6/$D$8,0)</f>
        <v>6317.26561623709</v>
      </c>
      <c r="I279" s="3516">
        <f t="array" ref="I279">IF(A279&lt;&gt;"",C279-G279,0)</f>
        <v>1139327.09254203</v>
      </c>
      <c r="J279" s="3516">
        <f t="array" ref="J279">IF(A279&lt;&gt;"",J278+H279,J278)</f>
        <v>4926935.80249522</v>
      </c>
      <c r="K279" s="666"/>
      <c r="L279" s="1167" t="n"/>
      <c r="M279" s="1167" t="n"/>
      <c r="N279" s="1168" t="n"/>
      <c r="O279" s="1168" t="n"/>
      <c r="P279" s="1168" t="n"/>
      <c r="Q279" s="1168" t="n"/>
      <c r="R279" s="1168" t="n"/>
      <c r="S279" s="1168" t="n"/>
      <c r="T279" s="1168" t="n"/>
      <c r="U279" s="1168" t="n"/>
      <c r="V279" s="1168" t="n"/>
      <c r="W279" s="1168" t="n"/>
      <c r="X279" s="1168" t="n"/>
      <c r="Y279" s="1167" t="n"/>
    </row>
    <row r="280" s="3154" customFormat="1" ht="12.75" customHeight="1">
      <c r="A280" s="1117">
        <f t="array" ref="A280">IF(I279&gt;0.5,A279+1,"")</f>
        <v>263</v>
      </c>
      <c r="B280" s="3515">
        <f t="array" ref="B280">IF(A280&lt;&gt;"",DATE(YEAR($D$9),MONTH($D$9)+A280,DAY($D$9)),"")</f>
        <v>54758</v>
      </c>
      <c r="C280" s="3516">
        <f t="array" ref="C280">IF(A280&lt;&gt;"",I279,"")</f>
        <v>1139327.09254203</v>
      </c>
      <c r="D280" s="3516">
        <f t="array" ref="D280">IF(A280&lt;&gt;"",$H$5,"")</f>
        <v>33254.5945333633</v>
      </c>
      <c r="E280" s="3517">
        <v>0</v>
      </c>
      <c r="F280" s="3516">
        <f t="array" ref="F280">IF(A280&lt;&gt;"",D280+E280,"")</f>
        <v>33254.5945333633</v>
      </c>
      <c r="G280" s="3516">
        <f t="array" ref="G280">IF(A280&lt;&gt;"",F280-H280,0)</f>
        <v>27083.2394487607</v>
      </c>
      <c r="H280" s="3516">
        <f t="array" ref="H280">IF(A280&lt;&gt;"",C280*$D$6/$D$8,0)</f>
        <v>6171.35508460265</v>
      </c>
      <c r="I280" s="3516">
        <f t="array" ref="I280">IF(A280&lt;&gt;"",C280-G280,0)</f>
        <v>1112243.85309327</v>
      </c>
      <c r="J280" s="3516">
        <f t="array" ref="J280">IF(A280&lt;&gt;"",J279+H280,J279)</f>
        <v>4933107.15757982</v>
      </c>
      <c r="K280" s="666"/>
      <c r="L280" s="1167" t="n"/>
      <c r="M280" s="1167" t="n"/>
      <c r="N280" s="1168" t="n"/>
      <c r="O280" s="1168" t="n"/>
      <c r="P280" s="1168" t="n"/>
      <c r="Q280" s="1168" t="n"/>
      <c r="R280" s="1168" t="n"/>
      <c r="S280" s="1168" t="n"/>
      <c r="T280" s="1168" t="n"/>
      <c r="U280" s="1168" t="n"/>
      <c r="V280" s="1168" t="n"/>
      <c r="W280" s="1168" t="n"/>
      <c r="X280" s="1168" t="n"/>
      <c r="Y280" s="1167" t="n"/>
    </row>
    <row r="281" s="3154" customFormat="1" ht="12.75" customHeight="1">
      <c r="A281" s="1117">
        <f t="array" ref="A281">IF(I280&gt;0.5,A280+1,"")</f>
        <v>264</v>
      </c>
      <c r="B281" s="3515">
        <f t="array" ref="B281">IF(A281&lt;&gt;"",DATE(YEAR($D$9),MONTH($D$9)+A281,DAY($D$9)),"")</f>
        <v>54789</v>
      </c>
      <c r="C281" s="3516">
        <f t="array" ref="C281">IF(A281&lt;&gt;"",I280,"")</f>
        <v>1112243.85309327</v>
      </c>
      <c r="D281" s="3516">
        <f t="array" ref="D281">IF(A281&lt;&gt;"",$H$5,"")</f>
        <v>33254.5945333633</v>
      </c>
      <c r="E281" s="3517">
        <v>0</v>
      </c>
      <c r="F281" s="3516">
        <f t="array" ref="F281">IF(A281&lt;&gt;"",D281+E281,"")</f>
        <v>33254.5945333633</v>
      </c>
      <c r="G281" s="3516">
        <f t="array" ref="G281">IF(A281&lt;&gt;"",F281-H281,0)</f>
        <v>27229.9403291081</v>
      </c>
      <c r="H281" s="3516">
        <f t="array" ref="H281">IF(A281&lt;&gt;"",C281*$D$6/$D$8,0)</f>
        <v>6024.6542042552</v>
      </c>
      <c r="I281" s="3516">
        <f t="array" ref="I281">IF(A281&lt;&gt;"",C281-G281,0)</f>
        <v>1085013.91276416</v>
      </c>
      <c r="J281" s="3516">
        <f t="array" ref="J281">IF(A281&lt;&gt;"",J280+H281,J280)</f>
        <v>4939131.81178408</v>
      </c>
      <c r="K281" s="666">
        <v>317248.812912184</v>
      </c>
      <c r="L281" s="1167" t="n"/>
      <c r="M281" s="1167" t="n"/>
      <c r="N281" s="1168" t="n"/>
      <c r="O281" s="1168" t="n"/>
      <c r="P281" s="1168" t="n"/>
      <c r="Q281" s="1168" t="n"/>
      <c r="R281" s="1168" t="n"/>
      <c r="S281" s="1168" t="n"/>
      <c r="T281" s="1168" t="n"/>
      <c r="U281" s="1168" t="n"/>
      <c r="V281" s="1168" t="n"/>
      <c r="W281" s="1168" t="n"/>
      <c r="X281" s="1168" t="n"/>
      <c r="Y281" s="1167" t="n"/>
    </row>
    <row r="282" s="3154" customFormat="1" ht="12.75" customHeight="1">
      <c r="A282" s="1117">
        <f t="array" ref="A282">IF(I281&gt;0.5,A281+1,"")</f>
        <v>265</v>
      </c>
      <c r="B282" s="3515">
        <f t="array" ref="B282">IF(A282&lt;&gt;"",DATE(YEAR($D$9),MONTH($D$9)+A282,DAY($D$9)),"")</f>
        <v>54820</v>
      </c>
      <c r="C282" s="3516">
        <f t="array" ref="C282">IF(A282&lt;&gt;"",I281,"")</f>
        <v>1085013.91276416</v>
      </c>
      <c r="D282" s="3516">
        <f t="array" ref="D282">IF(A282&lt;&gt;"",$H$5,"")</f>
        <v>33254.5945333633</v>
      </c>
      <c r="E282" s="3517">
        <v>0</v>
      </c>
      <c r="F282" s="3516">
        <f t="array" ref="F282">IF(A282&lt;&gt;"",D282+E282,"")</f>
        <v>33254.5945333633</v>
      </c>
      <c r="G282" s="3516">
        <f t="array" ref="G282">IF(A282&lt;&gt;"",F282-H282,0)</f>
        <v>27377.4358392242</v>
      </c>
      <c r="H282" s="3516">
        <f t="array" ref="H282">IF(A282&lt;&gt;"",C282*$D$6/$D$8,0)</f>
        <v>5877.1586941392</v>
      </c>
      <c r="I282" s="3516">
        <f t="array" ref="I282">IF(A282&lt;&gt;"",C282-G282,0)</f>
        <v>1057636.47692494</v>
      </c>
      <c r="J282" s="3516">
        <f t="array" ref="J282">IF(A282&lt;&gt;"",J281+H282,J281)</f>
        <v>4945008.97047822</v>
      </c>
      <c r="K282" s="666"/>
      <c r="L282" s="1167" t="n"/>
      <c r="M282" s="1167" t="n"/>
      <c r="N282" s="1168" t="n"/>
      <c r="O282" s="1168" t="n"/>
      <c r="P282" s="1168" t="n"/>
      <c r="Q282" s="1168" t="n"/>
      <c r="R282" s="1168" t="n"/>
      <c r="S282" s="1168" t="n"/>
      <c r="T282" s="1168" t="n"/>
      <c r="U282" s="1168" t="n"/>
      <c r="V282" s="1168" t="n"/>
      <c r="W282" s="1168" t="n"/>
      <c r="X282" s="1168" t="n"/>
      <c r="Y282" s="1167" t="n"/>
    </row>
    <row r="283" s="3154" customFormat="1" ht="12.75" customHeight="1">
      <c r="A283" s="1117">
        <f t="array" ref="A283">IF(I282&gt;0.5,A282+1,"")</f>
        <v>266</v>
      </c>
      <c r="B283" s="3515">
        <f t="array" ref="B283">IF(A283&lt;&gt;"",DATE(YEAR($D$9),MONTH($D$9)+A283,DAY($D$9)),"")</f>
        <v>54848</v>
      </c>
      <c r="C283" s="3516">
        <f t="array" ref="C283">IF(A283&lt;&gt;"",I282,"")</f>
        <v>1057636.47692494</v>
      </c>
      <c r="D283" s="3516">
        <f t="array" ref="D283">IF(A283&lt;&gt;"",$H$5,"")</f>
        <v>33254.5945333633</v>
      </c>
      <c r="E283" s="3517">
        <v>0</v>
      </c>
      <c r="F283" s="3516">
        <f t="array" ref="F283">IF(A283&lt;&gt;"",D283+E283,"")</f>
        <v>33254.5945333633</v>
      </c>
      <c r="G283" s="3516">
        <f t="array" ref="G283">IF(A283&lt;&gt;"",F283-H283,0)</f>
        <v>27525.7302833533</v>
      </c>
      <c r="H283" s="3516">
        <f t="array" ref="H283">IF(A283&lt;&gt;"",C283*$D$6/$D$8,0)</f>
        <v>5728.86425001007</v>
      </c>
      <c r="I283" s="3516">
        <f t="array" ref="I283">IF(A283&lt;&gt;"",C283-G283,0)</f>
        <v>1030110.74664158</v>
      </c>
      <c r="J283" s="3516">
        <f t="array" ref="J283">IF(A283&lt;&gt;"",J282+H283,J282)</f>
        <v>4950737.83472823</v>
      </c>
      <c r="K283" s="666"/>
      <c r="L283" s="1167" t="n"/>
      <c r="M283" s="1167" t="n"/>
      <c r="N283" s="1168" t="n"/>
      <c r="O283" s="1168" t="n"/>
      <c r="P283" s="1168" t="n"/>
      <c r="Q283" s="1168" t="n"/>
      <c r="R283" s="1168" t="n"/>
      <c r="S283" s="1168" t="n"/>
      <c r="T283" s="1168" t="n"/>
      <c r="U283" s="1168" t="n"/>
      <c r="V283" s="1168" t="n"/>
      <c r="W283" s="1168" t="n"/>
      <c r="X283" s="1168" t="n"/>
      <c r="Y283" s="1167" t="n"/>
    </row>
    <row r="284" s="3154" customFormat="1" ht="12.75" customHeight="1">
      <c r="A284" s="1117">
        <f t="array" ref="A284">IF(I283&gt;0.5,A283+1,"")</f>
        <v>267</v>
      </c>
      <c r="B284" s="3515">
        <f t="array" ref="B284">IF(A284&lt;&gt;"",DATE(YEAR($D$9),MONTH($D$9)+A284,DAY($D$9)),"")</f>
        <v>54879</v>
      </c>
      <c r="C284" s="3516">
        <f t="array" ref="C284">IF(A284&lt;&gt;"",I283,"")</f>
        <v>1030110.74664158</v>
      </c>
      <c r="D284" s="3516">
        <f t="array" ref="D284">IF(A284&lt;&gt;"",$H$5,"")</f>
        <v>33254.5945333633</v>
      </c>
      <c r="E284" s="3517">
        <v>0</v>
      </c>
      <c r="F284" s="3516">
        <f t="array" ref="F284">IF(A284&lt;&gt;"",D284+E284,"")</f>
        <v>33254.5945333633</v>
      </c>
      <c r="G284" s="3516">
        <f t="array" ref="G284">IF(A284&lt;&gt;"",F284-H284,0)</f>
        <v>27674.8279890548</v>
      </c>
      <c r="H284" s="3516">
        <f t="array" ref="H284">IF(A284&lt;&gt;"",C284*$D$6/$D$8,0)</f>
        <v>5579.76654430857</v>
      </c>
      <c r="I284" s="3516">
        <f t="array" ref="I284">IF(A284&lt;&gt;"",C284-G284,0)</f>
        <v>1002435.91865253</v>
      </c>
      <c r="J284" s="3516">
        <f t="array" ref="J284">IF(A284&lt;&gt;"",J283+H284,J283)</f>
        <v>4956317.60127253</v>
      </c>
      <c r="K284" s="666"/>
      <c r="L284" s="1167" t="n"/>
      <c r="M284" s="1167" t="n"/>
      <c r="N284" s="1168" t="n"/>
      <c r="O284" s="1168" t="n"/>
      <c r="P284" s="1168" t="n"/>
      <c r="Q284" s="1168" t="n"/>
      <c r="R284" s="1168" t="n"/>
      <c r="S284" s="1168" t="n"/>
      <c r="T284" s="1168" t="n"/>
      <c r="U284" s="1168" t="n"/>
      <c r="V284" s="1168" t="n"/>
      <c r="W284" s="1168" t="n"/>
      <c r="X284" s="1168" t="n"/>
      <c r="Y284" s="1167" t="n"/>
    </row>
    <row r="285" s="3154" customFormat="1" ht="12.75" customHeight="1">
      <c r="A285" s="1117">
        <f t="array" ref="A285">IF(I284&gt;0.5,A284+1,"")</f>
        <v>268</v>
      </c>
      <c r="B285" s="3515">
        <f t="array" ref="B285">IF(A285&lt;&gt;"",DATE(YEAR($D$9),MONTH($D$9)+A285,DAY($D$9)),"")</f>
        <v>54909</v>
      </c>
      <c r="C285" s="3516">
        <f t="array" ref="C285">IF(A285&lt;&gt;"",I284,"")</f>
        <v>1002435.91865253</v>
      </c>
      <c r="D285" s="3516">
        <f t="array" ref="D285">IF(A285&lt;&gt;"",$H$5,"")</f>
        <v>33254.5945333633</v>
      </c>
      <c r="E285" s="3517">
        <v>0</v>
      </c>
      <c r="F285" s="3516">
        <f t="array" ref="F285">IF(A285&lt;&gt;"",D285+E285,"")</f>
        <v>33254.5945333633</v>
      </c>
      <c r="G285" s="3516">
        <f t="array" ref="G285">IF(A285&lt;&gt;"",F285-H285,0)</f>
        <v>27824.7333073288</v>
      </c>
      <c r="H285" s="3516">
        <f t="array" ref="H285">IF(A285&lt;&gt;"",C285*$D$6/$D$8,0)</f>
        <v>5429.86122603452</v>
      </c>
      <c r="I285" s="3516">
        <f t="array" ref="I285">IF(A285&lt;&gt;"",C285-G285,0)</f>
        <v>974611.185345199</v>
      </c>
      <c r="J285" s="3516">
        <f t="array" ref="J285">IF(A285&lt;&gt;"",J284+H285,J284)</f>
        <v>4961747.46249857</v>
      </c>
      <c r="K285" s="666"/>
      <c r="L285" s="1167" t="n"/>
      <c r="M285" s="1167" t="n"/>
      <c r="N285" s="1168" t="n"/>
      <c r="O285" s="1168" t="n"/>
      <c r="P285" s="1168" t="n"/>
      <c r="Q285" s="1168" t="n"/>
      <c r="R285" s="1168" t="n"/>
      <c r="S285" s="1168" t="n"/>
      <c r="T285" s="1168" t="n"/>
      <c r="U285" s="1168" t="n"/>
      <c r="V285" s="1168" t="n"/>
      <c r="W285" s="1168" t="n"/>
      <c r="X285" s="1168" t="n"/>
      <c r="Y285" s="1167" t="n"/>
    </row>
    <row r="286" s="3154" customFormat="1" ht="12.75" customHeight="1">
      <c r="A286" s="1117">
        <f t="array" ref="A286">IF(I285&gt;0.5,A285+1,"")</f>
        <v>269</v>
      </c>
      <c r="B286" s="3515">
        <f t="array" ref="B286">IF(A286&lt;&gt;"",DATE(YEAR($D$9),MONTH($D$9)+A286,DAY($D$9)),"")</f>
        <v>54940</v>
      </c>
      <c r="C286" s="3516">
        <f t="array" ref="C286">IF(A286&lt;&gt;"",I285,"")</f>
        <v>974611.185345199</v>
      </c>
      <c r="D286" s="3516">
        <f t="array" ref="D286">IF(A286&lt;&gt;"",$H$5,"")</f>
        <v>33254.5945333633</v>
      </c>
      <c r="E286" s="3517">
        <v>0</v>
      </c>
      <c r="F286" s="3516">
        <f t="array" ref="F286">IF(A286&lt;&gt;"",D286+E286,"")</f>
        <v>33254.5945333633</v>
      </c>
      <c r="G286" s="3516">
        <f t="array" ref="G286">IF(A286&lt;&gt;"",F286-H286,0)</f>
        <v>27975.4506127435</v>
      </c>
      <c r="H286" s="3516">
        <f t="array" ref="H286">IF(A286&lt;&gt;"",C286*$D$6/$D$8,0)</f>
        <v>5279.14392061983</v>
      </c>
      <c r="I286" s="3516">
        <f t="array" ref="I286">IF(A286&lt;&gt;"",C286-G286,0)</f>
        <v>946635.734732455</v>
      </c>
      <c r="J286" s="3516">
        <f t="array" ref="J286">IF(A286&lt;&gt;"",J285+H286,J285)</f>
        <v>4967026.60641919</v>
      </c>
      <c r="K286" s="666"/>
      <c r="L286" s="1167" t="n"/>
      <c r="M286" s="1167" t="n"/>
      <c r="N286" s="1168" t="n"/>
      <c r="O286" s="1168" t="n"/>
      <c r="P286" s="1168" t="n"/>
      <c r="Q286" s="1168" t="n"/>
      <c r="R286" s="1168" t="n"/>
      <c r="S286" s="1168" t="n"/>
      <c r="T286" s="1168" t="n"/>
      <c r="U286" s="1168" t="n"/>
      <c r="V286" s="1168" t="n"/>
      <c r="W286" s="1168" t="n"/>
      <c r="X286" s="1168" t="n"/>
      <c r="Y286" s="1167" t="n"/>
    </row>
    <row r="287" s="3154" customFormat="1" ht="12.75" customHeight="1">
      <c r="A287" s="1117">
        <f t="array" ref="A287">IF(I286&gt;0.5,A286+1,"")</f>
        <v>270</v>
      </c>
      <c r="B287" s="3515">
        <f t="array" ref="B287">IF(A287&lt;&gt;"",DATE(YEAR($D$9),MONTH($D$9)+A287,DAY($D$9)),"")</f>
        <v>54970</v>
      </c>
      <c r="C287" s="3516">
        <f t="array" ref="C287">IF(A287&lt;&gt;"",I286,"")</f>
        <v>946635.734732455</v>
      </c>
      <c r="D287" s="3516">
        <f t="array" ref="D287">IF(A287&lt;&gt;"",$H$5,"")</f>
        <v>33254.5945333633</v>
      </c>
      <c r="E287" s="3517">
        <v>0</v>
      </c>
      <c r="F287" s="3516">
        <f t="array" ref="F287">IF(A287&lt;&gt;"",D287+E287,"")</f>
        <v>33254.5945333633</v>
      </c>
      <c r="G287" s="3516">
        <f t="array" ref="G287">IF(A287&lt;&gt;"",F287-H287,0)</f>
        <v>28126.9843035625</v>
      </c>
      <c r="H287" s="3516">
        <f t="array" ref="H287">IF(A287&lt;&gt;"",C287*$D$6/$D$8,0)</f>
        <v>5127.6102298008</v>
      </c>
      <c r="I287" s="3516">
        <f t="array" ref="I287">IF(A287&lt;&gt;"",C287-G287,0)</f>
        <v>918508.750428893</v>
      </c>
      <c r="J287" s="3516">
        <f t="array" ref="J287">IF(A287&lt;&gt;"",J286+H287,J286)</f>
        <v>4972154.21664899</v>
      </c>
      <c r="K287" s="666"/>
      <c r="L287" s="1167" t="n"/>
      <c r="M287" s="1167" t="n"/>
      <c r="N287" s="1168" t="n"/>
      <c r="O287" s="1168" t="n"/>
      <c r="P287" s="1168" t="n"/>
      <c r="Q287" s="1168" t="n"/>
      <c r="R287" s="1168" t="n"/>
      <c r="S287" s="1168" t="n"/>
      <c r="T287" s="1168" t="n"/>
      <c r="U287" s="1168" t="n"/>
      <c r="V287" s="1168" t="n"/>
      <c r="W287" s="1168" t="n"/>
      <c r="X287" s="1168" t="n"/>
      <c r="Y287" s="1167" t="n"/>
    </row>
    <row r="288" s="3154" customFormat="1" ht="12.75" customHeight="1">
      <c r="A288" s="1117">
        <f t="array" ref="A288">IF(I287&gt;0.5,A287+1,"")</f>
        <v>271</v>
      </c>
      <c r="B288" s="3515">
        <f t="array" ref="B288">IF(A288&lt;&gt;"",DATE(YEAR($D$9),MONTH($D$9)+A288,DAY($D$9)),"")</f>
        <v>55001</v>
      </c>
      <c r="C288" s="3516">
        <f t="array" ref="C288">IF(A288&lt;&gt;"",I287,"")</f>
        <v>918508.750428893</v>
      </c>
      <c r="D288" s="3516">
        <f t="array" ref="D288">IF(A288&lt;&gt;"",$H$5,"")</f>
        <v>33254.5945333633</v>
      </c>
      <c r="E288" s="3517">
        <v>0</v>
      </c>
      <c r="F288" s="3516">
        <f t="array" ref="F288">IF(A288&lt;&gt;"",D288+E288,"")</f>
        <v>33254.5945333633</v>
      </c>
      <c r="G288" s="3516">
        <f t="array" ref="G288">IF(A288&lt;&gt;"",F288-H288,0)</f>
        <v>28279.3388018735</v>
      </c>
      <c r="H288" s="3516">
        <f t="array" ref="H288">IF(A288&lt;&gt;"",C288*$D$6/$D$8,0)</f>
        <v>4975.25573148984</v>
      </c>
      <c r="I288" s="3516">
        <f t="array" ref="I288">IF(A288&lt;&gt;"",C288-G288,0)</f>
        <v>890229.411627019</v>
      </c>
      <c r="J288" s="3516">
        <f t="array" ref="J288">IF(A288&lt;&gt;"",J287+H288,J287)</f>
        <v>4977129.47238048</v>
      </c>
      <c r="K288" s="666"/>
      <c r="L288" s="1167" t="n"/>
      <c r="M288" s="1167" t="n"/>
      <c r="N288" s="1168" t="n"/>
      <c r="O288" s="1168" t="n"/>
      <c r="P288" s="1168" t="n"/>
      <c r="Q288" s="1168" t="n"/>
      <c r="R288" s="1168" t="n"/>
      <c r="S288" s="1168" t="n"/>
      <c r="T288" s="1168" t="n"/>
      <c r="U288" s="1168" t="n"/>
      <c r="V288" s="1168" t="n"/>
      <c r="W288" s="1168" t="n"/>
      <c r="X288" s="1168" t="n"/>
      <c r="Y288" s="1167" t="n"/>
    </row>
    <row r="289" s="3154" customFormat="1" ht="12.75" customHeight="1">
      <c r="A289" s="1117">
        <f t="array" ref="A289">IF(I288&gt;0.5,A288+1,"")</f>
        <v>272</v>
      </c>
      <c r="B289" s="3515">
        <f t="array" ref="B289">IF(A289&lt;&gt;"",DATE(YEAR($D$9),MONTH($D$9)+A289,DAY($D$9)),"")</f>
        <v>55032</v>
      </c>
      <c r="C289" s="3516">
        <f t="array" ref="C289">IF(A289&lt;&gt;"",I288,"")</f>
        <v>890229.411627019</v>
      </c>
      <c r="D289" s="3516">
        <f t="array" ref="D289">IF(A289&lt;&gt;"",$H$5,"")</f>
        <v>33254.5945333633</v>
      </c>
      <c r="E289" s="3517">
        <v>0</v>
      </c>
      <c r="F289" s="3516">
        <f t="array" ref="F289">IF(A289&lt;&gt;"",D289+E289,"")</f>
        <v>33254.5945333633</v>
      </c>
      <c r="G289" s="3516">
        <f t="array" ref="G289">IF(A289&lt;&gt;"",F289-H289,0)</f>
        <v>28432.518553717</v>
      </c>
      <c r="H289" s="3516">
        <f t="array" ref="H289">IF(A289&lt;&gt;"",C289*$D$6/$D$8,0)</f>
        <v>4822.07597964635</v>
      </c>
      <c r="I289" s="3516">
        <f t="array" ref="I289">IF(A289&lt;&gt;"",C289-G289,0)</f>
        <v>861796.893073302</v>
      </c>
      <c r="J289" s="3516">
        <f t="array" ref="J289">IF(A289&lt;&gt;"",J288+H289,J288)</f>
        <v>4981951.54836013</v>
      </c>
      <c r="K289" s="666"/>
      <c r="L289" s="1167" t="n"/>
      <c r="M289" s="1167" t="n"/>
      <c r="N289" s="1168" t="n"/>
      <c r="O289" s="1168" t="n"/>
      <c r="P289" s="1168" t="n"/>
      <c r="Q289" s="1168" t="n"/>
      <c r="R289" s="1168" t="n"/>
      <c r="S289" s="1168" t="n"/>
      <c r="T289" s="1168" t="n"/>
      <c r="U289" s="1168" t="n"/>
      <c r="V289" s="1168" t="n"/>
      <c r="W289" s="1168" t="n"/>
      <c r="X289" s="1168" t="n"/>
      <c r="Y289" s="1167" t="n"/>
    </row>
    <row r="290" s="3154" customFormat="1" ht="12.75" customHeight="1">
      <c r="A290" s="1117">
        <f t="array" ref="A290">IF(I289&gt;0.5,A289+1,"")</f>
        <v>273</v>
      </c>
      <c r="B290" s="3515">
        <f t="array" ref="B290">IF(A290&lt;&gt;"",DATE(YEAR($D$9),MONTH($D$9)+A290,DAY($D$9)),"")</f>
        <v>55062</v>
      </c>
      <c r="C290" s="3516">
        <f t="array" ref="C290">IF(A290&lt;&gt;"",I289,"")</f>
        <v>861796.893073302</v>
      </c>
      <c r="D290" s="3516">
        <f t="array" ref="D290">IF(A290&lt;&gt;"",$H$5,"")</f>
        <v>33254.5945333633</v>
      </c>
      <c r="E290" s="3517">
        <v>0</v>
      </c>
      <c r="F290" s="3516">
        <f t="array" ref="F290">IF(A290&lt;&gt;"",D290+E290,"")</f>
        <v>33254.5945333633</v>
      </c>
      <c r="G290" s="3516">
        <f t="array" ref="G290">IF(A290&lt;&gt;"",F290-H290,0)</f>
        <v>28586.5280292163</v>
      </c>
      <c r="H290" s="3516">
        <f t="array" ref="H290">IF(A290&lt;&gt;"",C290*$D$6/$D$8,0)</f>
        <v>4668.06650414705</v>
      </c>
      <c r="I290" s="3516">
        <f t="array" ref="I290">IF(A290&lt;&gt;"",C290-G290,0)</f>
        <v>833210.365044086</v>
      </c>
      <c r="J290" s="3516">
        <f t="array" ref="J290">IF(A290&lt;&gt;"",J289+H290,J289)</f>
        <v>4986619.61486427</v>
      </c>
      <c r="K290" s="666"/>
      <c r="L290" s="1167" t="n"/>
      <c r="M290" s="1167" t="n"/>
      <c r="N290" s="1168" t="n"/>
      <c r="O290" s="1168" t="n"/>
      <c r="P290" s="1168" t="n"/>
      <c r="Q290" s="1168" t="n"/>
      <c r="R290" s="1168" t="n"/>
      <c r="S290" s="1168" t="n"/>
      <c r="T290" s="1168" t="n"/>
      <c r="U290" s="1168" t="n"/>
      <c r="V290" s="1168" t="n"/>
      <c r="W290" s="1168" t="n"/>
      <c r="X290" s="1168" t="n"/>
      <c r="Y290" s="1167" t="n"/>
    </row>
    <row r="291" s="3154" customFormat="1" ht="12.75" customHeight="1">
      <c r="A291" s="1117">
        <f t="array" ref="A291">IF(I290&gt;0.5,A290+1,"")</f>
        <v>274</v>
      </c>
      <c r="B291" s="3515">
        <f t="array" ref="B291">IF(A291&lt;&gt;"",DATE(YEAR($D$9),MONTH($D$9)+A291,DAY($D$9)),"")</f>
        <v>55093</v>
      </c>
      <c r="C291" s="3516">
        <f t="array" ref="C291">IF(A291&lt;&gt;"",I290,"")</f>
        <v>833210.365044086</v>
      </c>
      <c r="D291" s="3516">
        <f t="array" ref="D291">IF(A291&lt;&gt;"",$H$5,"")</f>
        <v>33254.5945333633</v>
      </c>
      <c r="E291" s="3517">
        <v>0</v>
      </c>
      <c r="F291" s="3516">
        <f t="array" ref="F291">IF(A291&lt;&gt;"",D291+E291,"")</f>
        <v>33254.5945333633</v>
      </c>
      <c r="G291" s="3516">
        <f t="array" ref="G291">IF(A291&lt;&gt;"",F291-H291,0)</f>
        <v>28741.3717227079</v>
      </c>
      <c r="H291" s="3516">
        <f t="array" ref="H291">IF(A291&lt;&gt;"",C291*$D$6/$D$8,0)</f>
        <v>4513.22281065547</v>
      </c>
      <c r="I291" s="3516">
        <f t="array" ref="I291">IF(A291&lt;&gt;"",C291-G291,0)</f>
        <v>804468.993321378</v>
      </c>
      <c r="J291" s="3516">
        <f t="array" ref="J291">IF(A291&lt;&gt;"",J290+H291,J290)</f>
        <v>4991132.83767493</v>
      </c>
      <c r="K291" s="666"/>
      <c r="L291" s="1167" t="n"/>
      <c r="M291" s="1167" t="n"/>
      <c r="N291" s="1168" t="n"/>
      <c r="O291" s="1168" t="n"/>
      <c r="P291" s="1168" t="n"/>
      <c r="Q291" s="1168" t="n"/>
      <c r="R291" s="1168" t="n"/>
      <c r="S291" s="1168" t="n"/>
      <c r="T291" s="1168" t="n"/>
      <c r="U291" s="1168" t="n"/>
      <c r="V291" s="1168" t="n"/>
      <c r="W291" s="1168" t="n"/>
      <c r="X291" s="1168" t="n"/>
      <c r="Y291" s="1167" t="n"/>
    </row>
    <row r="292" s="3154" customFormat="1" ht="12.75" customHeight="1">
      <c r="A292" s="1117">
        <f t="array" ref="A292">IF(I291&gt;0.5,A291+1,"")</f>
        <v>275</v>
      </c>
      <c r="B292" s="3515">
        <f t="array" ref="B292">IF(A292&lt;&gt;"",DATE(YEAR($D$9),MONTH($D$9)+A292,DAY($D$9)),"")</f>
        <v>55123</v>
      </c>
      <c r="C292" s="3516">
        <f t="array" ref="C292">IF(A292&lt;&gt;"",I291,"")</f>
        <v>804468.993321378</v>
      </c>
      <c r="D292" s="3516">
        <f t="array" ref="D292">IF(A292&lt;&gt;"",$H$5,"")</f>
        <v>33254.5945333633</v>
      </c>
      <c r="E292" s="3517">
        <v>0</v>
      </c>
      <c r="F292" s="3516">
        <f t="array" ref="F292">IF(A292&lt;&gt;"",D292+E292,"")</f>
        <v>33254.5945333633</v>
      </c>
      <c r="G292" s="3516">
        <f t="array" ref="G292">IF(A292&lt;&gt;"",F292-H292,0)</f>
        <v>28897.0541528726</v>
      </c>
      <c r="H292" s="3516">
        <f t="array" ref="H292">IF(A292&lt;&gt;"",C292*$D$6/$D$8,0)</f>
        <v>4357.5403804908</v>
      </c>
      <c r="I292" s="3516">
        <f t="array" ref="I292">IF(A292&lt;&gt;"",C292-G292,0)</f>
        <v>775571.939168506</v>
      </c>
      <c r="J292" s="3516">
        <f t="array" ref="J292">IF(A292&lt;&gt;"",J291+H292,J291)</f>
        <v>4995490.37805542</v>
      </c>
      <c r="K292" s="666"/>
      <c r="L292" s="1167" t="n"/>
      <c r="M292" s="1167" t="n"/>
      <c r="N292" s="1168" t="n"/>
      <c r="O292" s="1168" t="n"/>
      <c r="P292" s="1168" t="n"/>
      <c r="Q292" s="1168" t="n"/>
      <c r="R292" s="1168" t="n"/>
      <c r="S292" s="1168" t="n"/>
      <c r="T292" s="1168" t="n"/>
      <c r="U292" s="1168" t="n"/>
      <c r="V292" s="1168" t="n"/>
      <c r="W292" s="1168" t="n"/>
      <c r="X292" s="1168" t="n"/>
      <c r="Y292" s="1167" t="n"/>
    </row>
    <row r="293" s="3154" customFormat="1" ht="12.75" customHeight="1">
      <c r="A293" s="1117">
        <f t="array" ref="A293">IF(I292&gt;0.5,A292+1,"")</f>
        <v>276</v>
      </c>
      <c r="B293" s="3515">
        <f t="array" ref="B293">IF(A293&lt;&gt;"",DATE(YEAR($D$9),MONTH($D$9)+A293,DAY($D$9)),"")</f>
        <v>55154</v>
      </c>
      <c r="C293" s="3516">
        <f t="array" ref="C293">IF(A293&lt;&gt;"",I292,"")</f>
        <v>775571.939168506</v>
      </c>
      <c r="D293" s="3516">
        <f t="array" ref="D293">IF(A293&lt;&gt;"",$H$5,"")</f>
        <v>33254.5945333633</v>
      </c>
      <c r="E293" s="3517">
        <v>0</v>
      </c>
      <c r="F293" s="3516">
        <f t="array" ref="F293">IF(A293&lt;&gt;"",D293+E293,"")</f>
        <v>33254.5945333633</v>
      </c>
      <c r="G293" s="3516">
        <f t="array" ref="G293">IF(A293&lt;&gt;"",F293-H293,0)</f>
        <v>29053.5798628673</v>
      </c>
      <c r="H293" s="3516">
        <f t="array" ref="H293">IF(A293&lt;&gt;"",C293*$D$6/$D$8,0)</f>
        <v>4201.01467049607</v>
      </c>
      <c r="I293" s="3516">
        <f t="array" ref="I293">IF(A293&lt;&gt;"",C293-G293,0)</f>
        <v>746518.359305638</v>
      </c>
      <c r="J293" s="3516">
        <f t="array" ref="J293">IF(A293&lt;&gt;"",J292+H293,J292)</f>
        <v>4999691.39272591</v>
      </c>
      <c r="K293" s="666">
        <v>338495.553458522</v>
      </c>
      <c r="L293" s="1167" t="n"/>
      <c r="M293" s="1167" t="n"/>
      <c r="N293" s="1168" t="n"/>
      <c r="O293" s="1168" t="n"/>
      <c r="P293" s="1168" t="n"/>
      <c r="Q293" s="1168" t="n"/>
      <c r="R293" s="1168" t="n"/>
      <c r="S293" s="1168" t="n"/>
      <c r="T293" s="1168" t="n"/>
      <c r="U293" s="1168" t="n"/>
      <c r="V293" s="1168" t="n"/>
      <c r="W293" s="1168" t="n"/>
      <c r="X293" s="1168" t="n"/>
      <c r="Y293" s="1167" t="n"/>
    </row>
    <row r="294" s="3154" customFormat="1" ht="12.75" customHeight="1">
      <c r="A294" s="1117">
        <f t="array" ref="A294">IF(I293&gt;0.5,A293+1,"")</f>
        <v>277</v>
      </c>
      <c r="B294" s="3515">
        <f t="array" ref="B294">IF(A294&lt;&gt;"",DATE(YEAR($D$9),MONTH($D$9)+A294,DAY($D$9)),"")</f>
        <v>55185</v>
      </c>
      <c r="C294" s="3516">
        <f t="array" ref="C294">IF(A294&lt;&gt;"",I293,"")</f>
        <v>746518.359305638</v>
      </c>
      <c r="D294" s="3516">
        <f t="array" ref="D294">IF(A294&lt;&gt;"",$H$5,"")</f>
        <v>33254.5945333633</v>
      </c>
      <c r="E294" s="3517">
        <v>0</v>
      </c>
      <c r="F294" s="3516">
        <f t="array" ref="F294">IF(A294&lt;&gt;"",D294+E294,"")</f>
        <v>33254.5945333633</v>
      </c>
      <c r="G294" s="3516">
        <f t="array" ref="G294">IF(A294&lt;&gt;"",F294-H294,0)</f>
        <v>29210.9534204578</v>
      </c>
      <c r="H294" s="3516">
        <f t="array" ref="H294">IF(A294&lt;&gt;"",C294*$D$6/$D$8,0)</f>
        <v>4043.64111290554</v>
      </c>
      <c r="I294" s="3516">
        <f t="array" ref="I294">IF(A294&lt;&gt;"",C294-G294,0)</f>
        <v>717307.405885181</v>
      </c>
      <c r="J294" s="3516">
        <f t="array" ref="J294">IF(A294&lt;&gt;"",J293+H294,J293)</f>
        <v>5003735.03383882</v>
      </c>
      <c r="K294" s="666"/>
      <c r="L294" s="1167" t="n"/>
      <c r="M294" s="1167" t="n"/>
      <c r="N294" s="1168" t="n"/>
      <c r="O294" s="1168" t="n"/>
      <c r="P294" s="1168" t="n"/>
      <c r="Q294" s="1168" t="n"/>
      <c r="R294" s="1168" t="n"/>
      <c r="S294" s="1168" t="n"/>
      <c r="T294" s="1168" t="n"/>
      <c r="U294" s="1168" t="n"/>
      <c r="V294" s="1168" t="n"/>
      <c r="W294" s="1168" t="n"/>
      <c r="X294" s="1168" t="n"/>
      <c r="Y294" s="1167" t="n"/>
    </row>
    <row r="295" s="3154" customFormat="1" ht="12.75" customHeight="1">
      <c r="A295" s="1117">
        <f t="array" ref="A295">IF(I294&gt;0.5,A294+1,"")</f>
        <v>278</v>
      </c>
      <c r="B295" s="3515">
        <f t="array" ref="B295">IF(A295&lt;&gt;"",DATE(YEAR($D$9),MONTH($D$9)+A295,DAY($D$9)),"")</f>
        <v>55213</v>
      </c>
      <c r="C295" s="3516">
        <f t="array" ref="C295">IF(A295&lt;&gt;"",I294,"")</f>
        <v>717307.405885181</v>
      </c>
      <c r="D295" s="3516">
        <f t="array" ref="D295">IF(A295&lt;&gt;"",$H$5,"")</f>
        <v>33254.5945333633</v>
      </c>
      <c r="E295" s="3517">
        <v>0</v>
      </c>
      <c r="F295" s="3516">
        <f t="array" ref="F295">IF(A295&lt;&gt;"",D295+E295,"")</f>
        <v>33254.5945333633</v>
      </c>
      <c r="G295" s="3516">
        <f t="array" ref="G295">IF(A295&lt;&gt;"",F295-H295,0)</f>
        <v>29369.179418152</v>
      </c>
      <c r="H295" s="3516">
        <f t="array" ref="H295">IF(A295&lt;&gt;"",C295*$D$6/$D$8,0)</f>
        <v>3885.4151152114</v>
      </c>
      <c r="I295" s="3516">
        <f t="array" ref="I295">IF(A295&lt;&gt;"",C295-G295,0)</f>
        <v>687938.226467029</v>
      </c>
      <c r="J295" s="3516">
        <f t="array" ref="J295">IF(A295&lt;&gt;"",J294+H295,J294)</f>
        <v>5007620.44895403</v>
      </c>
      <c r="K295" s="666"/>
      <c r="L295" s="1167" t="n"/>
      <c r="M295" s="1167" t="n"/>
      <c r="N295" s="1168" t="n"/>
      <c r="O295" s="1168" t="n"/>
      <c r="P295" s="1168" t="n"/>
      <c r="Q295" s="1168" t="n"/>
      <c r="R295" s="1168" t="n"/>
      <c r="S295" s="1168" t="n"/>
      <c r="T295" s="1168" t="n"/>
      <c r="U295" s="1168" t="n"/>
      <c r="V295" s="1168" t="n"/>
      <c r="W295" s="1168" t="n"/>
      <c r="X295" s="1168" t="n"/>
      <c r="Y295" s="1167" t="n"/>
    </row>
    <row r="296" s="3154" customFormat="1" ht="12.75" customHeight="1">
      <c r="A296" s="1117">
        <f t="array" ref="A296">IF(I295&gt;0.5,A295+1,"")</f>
        <v>279</v>
      </c>
      <c r="B296" s="3515">
        <f t="array" ref="B296">IF(A296&lt;&gt;"",DATE(YEAR($D$9),MONTH($D$9)+A296,DAY($D$9)),"")</f>
        <v>55244</v>
      </c>
      <c r="C296" s="3516">
        <f t="array" ref="C296">IF(A296&lt;&gt;"",I295,"")</f>
        <v>687938.226467029</v>
      </c>
      <c r="D296" s="3516">
        <f t="array" ref="D296">IF(A296&lt;&gt;"",$H$5,"")</f>
        <v>33254.5945333633</v>
      </c>
      <c r="E296" s="3517">
        <v>0</v>
      </c>
      <c r="F296" s="3516">
        <f t="array" ref="F296">IF(A296&lt;&gt;"",D296+E296,"")</f>
        <v>33254.5945333633</v>
      </c>
      <c r="G296" s="3516">
        <f t="array" ref="G296">IF(A296&lt;&gt;"",F296-H296,0)</f>
        <v>29528.2624733336</v>
      </c>
      <c r="H296" s="3516">
        <f t="array" ref="H296">IF(A296&lt;&gt;"",C296*$D$6/$D$8,0)</f>
        <v>3726.33206002974</v>
      </c>
      <c r="I296" s="3516">
        <f t="array" ref="I296">IF(A296&lt;&gt;"",C296-G296,0)</f>
        <v>658409.963993695</v>
      </c>
      <c r="J296" s="3516">
        <f t="array" ref="J296">IF(A296&lt;&gt;"",J295+H296,J295)</f>
        <v>5011346.78101406</v>
      </c>
      <c r="K296" s="666"/>
      <c r="L296" s="1167" t="n"/>
      <c r="M296" s="1167" t="n"/>
      <c r="N296" s="1168" t="n"/>
      <c r="O296" s="1168" t="n"/>
      <c r="P296" s="1168" t="n"/>
      <c r="Q296" s="1168" t="n"/>
      <c r="R296" s="1168" t="n"/>
      <c r="S296" s="1168" t="n"/>
      <c r="T296" s="1168" t="n"/>
      <c r="U296" s="1168" t="n"/>
      <c r="V296" s="1168" t="n"/>
      <c r="W296" s="1168" t="n"/>
      <c r="X296" s="1168" t="n"/>
      <c r="Y296" s="1167" t="n"/>
    </row>
    <row r="297" s="3154" customFormat="1" ht="12.75" customHeight="1">
      <c r="A297" s="1117">
        <f t="array" ref="A297">IF(I296&gt;0.5,A296+1,"")</f>
        <v>280</v>
      </c>
      <c r="B297" s="3515">
        <f t="array" ref="B297">IF(A297&lt;&gt;"",DATE(YEAR($D$9),MONTH($D$9)+A297,DAY($D$9)),"")</f>
        <v>55274</v>
      </c>
      <c r="C297" s="3516">
        <f t="array" ref="C297">IF(A297&lt;&gt;"",I296,"")</f>
        <v>658409.963993695</v>
      </c>
      <c r="D297" s="3516">
        <f t="array" ref="D297">IF(A297&lt;&gt;"",$H$5,"")</f>
        <v>33254.5945333633</v>
      </c>
      <c r="E297" s="3517">
        <v>0</v>
      </c>
      <c r="F297" s="3516">
        <f t="array" ref="F297">IF(A297&lt;&gt;"",D297+E297,"")</f>
        <v>33254.5945333633</v>
      </c>
      <c r="G297" s="3516">
        <f t="array" ref="G297">IF(A297&lt;&gt;"",F297-H297,0)</f>
        <v>29688.2072283975</v>
      </c>
      <c r="H297" s="3516">
        <f t="array" ref="H297">IF(A297&lt;&gt;"",C297*$D$6/$D$8,0)</f>
        <v>3566.38730496585</v>
      </c>
      <c r="I297" s="3516">
        <f t="array" ref="I297">IF(A297&lt;&gt;"",C297-G297,0)</f>
        <v>628721.756765297</v>
      </c>
      <c r="J297" s="3516">
        <f t="array" ref="J297">IF(A297&lt;&gt;"",J296+H297,J296)</f>
        <v>5014913.16831903</v>
      </c>
      <c r="K297" s="666"/>
      <c r="L297" s="1167" t="n"/>
      <c r="M297" s="1167" t="n"/>
      <c r="N297" s="1168" t="n"/>
      <c r="O297" s="1168" t="n"/>
      <c r="P297" s="1168" t="n"/>
      <c r="Q297" s="1168" t="n"/>
      <c r="R297" s="1168" t="n"/>
      <c r="S297" s="1168" t="n"/>
      <c r="T297" s="1168" t="n"/>
      <c r="U297" s="1168" t="n"/>
      <c r="V297" s="1168" t="n"/>
      <c r="W297" s="1168" t="n"/>
      <c r="X297" s="1168" t="n"/>
      <c r="Y297" s="1167" t="n"/>
    </row>
    <row r="298" s="3154" customFormat="1" ht="12.75" customHeight="1">
      <c r="A298" s="1117">
        <f t="array" ref="A298">IF(I297&gt;0.5,A297+1,"")</f>
        <v>281</v>
      </c>
      <c r="B298" s="3515">
        <f t="array" ref="B298">IF(A298&lt;&gt;"",DATE(YEAR($D$9),MONTH($D$9)+A298,DAY($D$9)),"")</f>
        <v>55305</v>
      </c>
      <c r="C298" s="3516">
        <f t="array" ref="C298">IF(A298&lt;&gt;"",I297,"")</f>
        <v>628721.756765297</v>
      </c>
      <c r="D298" s="3516">
        <f t="array" ref="D298">IF(A298&lt;&gt;"",$H$5,"")</f>
        <v>33254.5945333633</v>
      </c>
      <c r="E298" s="3517">
        <v>0</v>
      </c>
      <c r="F298" s="3516">
        <f t="array" ref="F298">IF(A298&lt;&gt;"",D298+E298,"")</f>
        <v>33254.5945333633</v>
      </c>
      <c r="G298" s="3516">
        <f t="array" ref="G298">IF(A298&lt;&gt;"",F298-H298,0)</f>
        <v>29849.0183508847</v>
      </c>
      <c r="H298" s="3516">
        <f t="array" ref="H298">IF(A298&lt;&gt;"",C298*$D$6/$D$8,0)</f>
        <v>3405.5761824787</v>
      </c>
      <c r="I298" s="3516">
        <f t="array" ref="I298">IF(A298&lt;&gt;"",C298-G298,0)</f>
        <v>598872.738414413</v>
      </c>
      <c r="J298" s="3516">
        <f t="array" ref="J298">IF(A298&lt;&gt;"",J297+H298,J297)</f>
        <v>5018318.74450151</v>
      </c>
      <c r="K298" s="666"/>
      <c r="L298" s="1167" t="n"/>
      <c r="M298" s="1167" t="n"/>
      <c r="N298" s="1168" t="n"/>
      <c r="O298" s="1168" t="n"/>
      <c r="P298" s="1168" t="n"/>
      <c r="Q298" s="1168" t="n"/>
      <c r="R298" s="1168" t="n"/>
      <c r="S298" s="1168" t="n"/>
      <c r="T298" s="1168" t="n"/>
      <c r="U298" s="1168" t="n"/>
      <c r="V298" s="1168" t="n"/>
      <c r="W298" s="1168" t="n"/>
      <c r="X298" s="1168" t="n"/>
      <c r="Y298" s="1167" t="n"/>
    </row>
    <row r="299" s="3154" customFormat="1" ht="12.75" customHeight="1">
      <c r="A299" s="1117">
        <f t="array" ref="A299">IF(I298&gt;0.5,A298+1,"")</f>
        <v>282</v>
      </c>
      <c r="B299" s="3515">
        <f t="array" ref="B299">IF(A299&lt;&gt;"",DATE(YEAR($D$9),MONTH($D$9)+A299,DAY($D$9)),"")</f>
        <v>55335</v>
      </c>
      <c r="C299" s="3516">
        <f t="array" ref="C299">IF(A299&lt;&gt;"",I298,"")</f>
        <v>598872.738414413</v>
      </c>
      <c r="D299" s="3516">
        <f t="array" ref="D299">IF(A299&lt;&gt;"",$H$5,"")</f>
        <v>33254.5945333633</v>
      </c>
      <c r="E299" s="3517">
        <v>0</v>
      </c>
      <c r="F299" s="3516">
        <f t="array" ref="F299">IF(A299&lt;&gt;"",D299+E299,"")</f>
        <v>33254.5945333633</v>
      </c>
      <c r="G299" s="3516">
        <f t="array" ref="G299">IF(A299&lt;&gt;"",F299-H299,0)</f>
        <v>30010.7005336186</v>
      </c>
      <c r="H299" s="3516">
        <f t="array" ref="H299">IF(A299&lt;&gt;"",C299*$D$6/$D$8,0)</f>
        <v>3243.89399974474</v>
      </c>
      <c r="I299" s="3516">
        <f t="array" ref="I299">IF(A299&lt;&gt;"",C299-G299,0)</f>
        <v>568862.037880794</v>
      </c>
      <c r="J299" s="3516">
        <f t="array" ref="J299">IF(A299&lt;&gt;"",J298+H299,J298)</f>
        <v>5021562.63850125</v>
      </c>
      <c r="K299" s="666"/>
      <c r="L299" s="1167" t="n"/>
      <c r="M299" s="1167" t="n"/>
      <c r="N299" s="1168" t="n"/>
      <c r="O299" s="1168" t="n"/>
      <c r="P299" s="1168" t="n"/>
      <c r="Q299" s="1168" t="n"/>
      <c r="R299" s="1168" t="n"/>
      <c r="S299" s="1168" t="n"/>
      <c r="T299" s="1168" t="n"/>
      <c r="U299" s="1168" t="n"/>
      <c r="V299" s="1168" t="n"/>
      <c r="W299" s="1168" t="n"/>
      <c r="X299" s="1168" t="n"/>
      <c r="Y299" s="1167" t="n"/>
    </row>
    <row r="300" s="3154" customFormat="1" ht="12.75" customHeight="1">
      <c r="A300" s="1117">
        <f t="array" ref="A300">IF(I299&gt;0.5,A299+1,"")</f>
        <v>283</v>
      </c>
      <c r="B300" s="3515">
        <f t="array" ref="B300">IF(A300&lt;&gt;"",DATE(YEAR($D$9),MONTH($D$9)+A300,DAY($D$9)),"")</f>
        <v>55366</v>
      </c>
      <c r="C300" s="3516">
        <f t="array" ref="C300">IF(A300&lt;&gt;"",I299,"")</f>
        <v>568862.037880794</v>
      </c>
      <c r="D300" s="3516">
        <f t="array" ref="D300">IF(A300&lt;&gt;"",$H$5,"")</f>
        <v>33254.5945333633</v>
      </c>
      <c r="E300" s="3517">
        <v>0</v>
      </c>
      <c r="F300" s="3516">
        <f t="array" ref="F300">IF(A300&lt;&gt;"",D300+E300,"")</f>
        <v>33254.5945333633</v>
      </c>
      <c r="G300" s="3516">
        <f t="array" ref="G300">IF(A300&lt;&gt;"",F300-H300,0)</f>
        <v>30173.2584948424</v>
      </c>
      <c r="H300" s="3516">
        <f t="array" ref="H300">IF(A300&lt;&gt;"",C300*$D$6/$D$8,0)</f>
        <v>3081.33603852097</v>
      </c>
      <c r="I300" s="3516">
        <f t="array" ref="I300">IF(A300&lt;&gt;"",C300-G300,0)</f>
        <v>538688.779385952</v>
      </c>
      <c r="J300" s="3516">
        <f t="array" ref="J300">IF(A300&lt;&gt;"",J299+H300,J299)</f>
        <v>5024643.97453977</v>
      </c>
      <c r="K300" s="666"/>
      <c r="L300" s="1167" t="n"/>
      <c r="M300" s="1167" t="n"/>
      <c r="N300" s="1168" t="n"/>
      <c r="O300" s="1168" t="n"/>
      <c r="P300" s="1168" t="n"/>
      <c r="Q300" s="1168" t="n"/>
      <c r="R300" s="1168" t="n"/>
      <c r="S300" s="1168" t="n"/>
      <c r="T300" s="1168" t="n"/>
      <c r="U300" s="1168" t="n"/>
      <c r="V300" s="1168" t="n"/>
      <c r="W300" s="1168" t="n"/>
      <c r="X300" s="1168" t="n"/>
      <c r="Y300" s="1167" t="n"/>
    </row>
    <row r="301" s="3154" customFormat="1" ht="12.75" customHeight="1">
      <c r="A301" s="1117">
        <f t="array" ref="A301">IF(I300&gt;0.5,A300+1,"")</f>
        <v>284</v>
      </c>
      <c r="B301" s="3515">
        <f t="array" ref="B301">IF(A301&lt;&gt;"",DATE(YEAR($D$9),MONTH($D$9)+A301,DAY($D$9)),"")</f>
        <v>55397</v>
      </c>
      <c r="C301" s="3516">
        <f t="array" ref="C301">IF(A301&lt;&gt;"",I300,"")</f>
        <v>538688.779385952</v>
      </c>
      <c r="D301" s="3516">
        <f t="array" ref="D301">IF(A301&lt;&gt;"",$H$5,"")</f>
        <v>33254.5945333633</v>
      </c>
      <c r="E301" s="3517">
        <v>0</v>
      </c>
      <c r="F301" s="3516">
        <f t="array" ref="F301">IF(A301&lt;&gt;"",D301+E301,"")</f>
        <v>33254.5945333633</v>
      </c>
      <c r="G301" s="3516">
        <f t="array" ref="G301">IF(A301&lt;&gt;"",F301-H301,0)</f>
        <v>30336.6969783561</v>
      </c>
      <c r="H301" s="3516">
        <f t="array" ref="H301">IF(A301&lt;&gt;"",C301*$D$6/$D$8,0)</f>
        <v>2917.89755500724</v>
      </c>
      <c r="I301" s="3516">
        <f t="array" ref="I301">IF(A301&lt;&gt;"",C301-G301,0)</f>
        <v>508352.082407596</v>
      </c>
      <c r="J301" s="3516">
        <f t="array" ref="J301">IF(A301&lt;&gt;"",J300+H301,J300)</f>
        <v>5027561.87209478</v>
      </c>
      <c r="K301" s="666"/>
      <c r="L301" s="1167" t="n"/>
      <c r="M301" s="1167" t="n"/>
      <c r="N301" s="1168" t="n"/>
      <c r="O301" s="1168" t="n"/>
      <c r="P301" s="1168" t="n"/>
      <c r="Q301" s="1168" t="n"/>
      <c r="R301" s="1168" t="n"/>
      <c r="S301" s="1168" t="n"/>
      <c r="T301" s="1168" t="n"/>
      <c r="U301" s="1168" t="n"/>
      <c r="V301" s="1168" t="n"/>
      <c r="W301" s="1168" t="n"/>
      <c r="X301" s="1168" t="n"/>
      <c r="Y301" s="1167" t="n"/>
    </row>
    <row r="302" s="3154" customFormat="1" ht="12.75" customHeight="1">
      <c r="A302" s="1117">
        <f t="array" ref="A302">IF(I301&gt;0.5,A301+1,"")</f>
        <v>285</v>
      </c>
      <c r="B302" s="3515">
        <f t="array" ref="B302">IF(A302&lt;&gt;"",DATE(YEAR($D$9),MONTH($D$9)+A302,DAY($D$9)),"")</f>
        <v>55427</v>
      </c>
      <c r="C302" s="3516">
        <f t="array" ref="C302">IF(A302&lt;&gt;"",I301,"")</f>
        <v>508352.082407596</v>
      </c>
      <c r="D302" s="3516">
        <f t="array" ref="D302">IF(A302&lt;&gt;"",$H$5,"")</f>
        <v>33254.5945333633</v>
      </c>
      <c r="E302" s="3517">
        <v>0</v>
      </c>
      <c r="F302" s="3516">
        <f t="array" ref="F302">IF(A302&lt;&gt;"",D302+E302,"")</f>
        <v>33254.5945333633</v>
      </c>
      <c r="G302" s="3516">
        <f t="array" ref="G302">IF(A302&lt;&gt;"",F302-H302,0)</f>
        <v>30501.0207536555</v>
      </c>
      <c r="H302" s="3516">
        <f t="array" ref="H302">IF(A302&lt;&gt;"",C302*$D$6/$D$8,0)</f>
        <v>2753.57377970781</v>
      </c>
      <c r="I302" s="3516">
        <f t="array" ref="I302">IF(A302&lt;&gt;"",C302-G302,0)</f>
        <v>477851.06165394</v>
      </c>
      <c r="J302" s="3516">
        <f t="array" ref="J302">IF(A302&lt;&gt;"",J301+H302,J301)</f>
        <v>5030315.44587449</v>
      </c>
      <c r="K302" s="666"/>
      <c r="L302" s="1167" t="n"/>
      <c r="M302" s="1167" t="n"/>
      <c r="N302" s="1168" t="n"/>
      <c r="O302" s="1168" t="n"/>
      <c r="P302" s="1168" t="n"/>
      <c r="Q302" s="1168" t="n"/>
      <c r="R302" s="1168" t="n"/>
      <c r="S302" s="1168" t="n"/>
      <c r="T302" s="1168" t="n"/>
      <c r="U302" s="1168" t="n"/>
      <c r="V302" s="1168" t="n"/>
      <c r="W302" s="1168" t="n"/>
      <c r="X302" s="1168" t="n"/>
      <c r="Y302" s="1167" t="n"/>
    </row>
    <row r="303" s="3154" customFormat="1" ht="12.75" customHeight="1">
      <c r="A303" s="1117">
        <f t="array" ref="A303">IF(I302&gt;0.5,A302+1,"")</f>
        <v>286</v>
      </c>
      <c r="B303" s="3515">
        <f t="array" ref="B303">IF(A303&lt;&gt;"",DATE(YEAR($D$9),MONTH($D$9)+A303,DAY($D$9)),"")</f>
        <v>55458</v>
      </c>
      <c r="C303" s="3516">
        <f t="array" ref="C303">IF(A303&lt;&gt;"",I302,"")</f>
        <v>477851.06165394</v>
      </c>
      <c r="D303" s="3516">
        <f t="array" ref="D303">IF(A303&lt;&gt;"",$H$5,"")</f>
        <v>33254.5945333633</v>
      </c>
      <c r="E303" s="3517">
        <v>0</v>
      </c>
      <c r="F303" s="3516">
        <f t="array" ref="F303">IF(A303&lt;&gt;"",D303+E303,"")</f>
        <v>33254.5945333633</v>
      </c>
      <c r="G303" s="3516">
        <f t="array" ref="G303">IF(A303&lt;&gt;"",F303-H303,0)</f>
        <v>30666.2346160712</v>
      </c>
      <c r="H303" s="3516">
        <f t="array" ref="H303">IF(A303&lt;&gt;"",C303*$D$6/$D$8,0)</f>
        <v>2588.35991729218</v>
      </c>
      <c r="I303" s="3516">
        <f t="array" ref="I303">IF(A303&lt;&gt;"",C303-G303,0)</f>
        <v>447184.827037869</v>
      </c>
      <c r="J303" s="3516">
        <f t="array" ref="J303">IF(A303&lt;&gt;"",J302+H303,J302)</f>
        <v>5032903.80579178</v>
      </c>
      <c r="K303" s="666"/>
      <c r="L303" s="1167" t="n"/>
      <c r="M303" s="1167" t="n"/>
      <c r="N303" s="1168" t="n"/>
      <c r="O303" s="1168" t="n"/>
      <c r="P303" s="1168" t="n"/>
      <c r="Q303" s="1168" t="n"/>
      <c r="R303" s="1168" t="n"/>
      <c r="S303" s="1168" t="n"/>
      <c r="T303" s="1168" t="n"/>
      <c r="U303" s="1168" t="n"/>
      <c r="V303" s="1168" t="n"/>
      <c r="W303" s="1168" t="n"/>
      <c r="X303" s="1168" t="n"/>
      <c r="Y303" s="1167" t="n"/>
    </row>
    <row r="304" s="3154" customFormat="1" ht="12.75" customHeight="1">
      <c r="A304" s="1117">
        <f t="array" ref="A304">IF(I303&gt;0.5,A303+1,"")</f>
        <v>287</v>
      </c>
      <c r="B304" s="3515">
        <f t="array" ref="B304">IF(A304&lt;&gt;"",DATE(YEAR($D$9),MONTH($D$9)+A304,DAY($D$9)),"")</f>
        <v>55488</v>
      </c>
      <c r="C304" s="3516">
        <f t="array" ref="C304">IF(A304&lt;&gt;"",I303,"")</f>
        <v>447184.827037869</v>
      </c>
      <c r="D304" s="3516">
        <f t="array" ref="D304">IF(A304&lt;&gt;"",$H$5,"")</f>
        <v>33254.5945333633</v>
      </c>
      <c r="E304" s="3517">
        <v>0</v>
      </c>
      <c r="F304" s="3516">
        <f t="array" ref="F304">IF(A304&lt;&gt;"",D304+E304,"")</f>
        <v>33254.5945333633</v>
      </c>
      <c r="G304" s="3516">
        <f t="array" ref="G304">IF(A304&lt;&gt;"",F304-H304,0)</f>
        <v>30832.3433869082</v>
      </c>
      <c r="H304" s="3516">
        <f t="array" ref="H304">IF(A304&lt;&gt;"",C304*$D$6/$D$8,0)</f>
        <v>2422.25114645512</v>
      </c>
      <c r="I304" s="3516">
        <f t="array" ref="I304">IF(A304&lt;&gt;"",C304-G304,0)</f>
        <v>416352.483650961</v>
      </c>
      <c r="J304" s="3516">
        <f t="array" ref="J304">IF(A304&lt;&gt;"",J303+H304,J303)</f>
        <v>5035326.05693823</v>
      </c>
      <c r="K304" s="666"/>
      <c r="L304" s="1167" t="n"/>
      <c r="M304" s="1167" t="n"/>
      <c r="N304" s="1168" t="n"/>
      <c r="O304" s="1168" t="n"/>
      <c r="P304" s="1168" t="n"/>
      <c r="Q304" s="1168" t="n"/>
      <c r="R304" s="1168" t="n"/>
      <c r="S304" s="1168" t="n"/>
      <c r="T304" s="1168" t="n"/>
      <c r="U304" s="1168" t="n"/>
      <c r="V304" s="1168" t="n"/>
      <c r="W304" s="1168" t="n"/>
      <c r="X304" s="1168" t="n"/>
      <c r="Y304" s="1167" t="n"/>
    </row>
    <row r="305" s="3154" customFormat="1" ht="12.75" customHeight="1">
      <c r="A305" s="1117">
        <f t="array" ref="A305">IF(I304&gt;0.5,A304+1,"")</f>
        <v>288</v>
      </c>
      <c r="B305" s="3515">
        <f t="array" ref="B305">IF(A305&lt;&gt;"",DATE(YEAR($D$9),MONTH($D$9)+A305,DAY($D$9)),"")</f>
        <v>55519</v>
      </c>
      <c r="C305" s="3516">
        <f t="array" ref="C305">IF(A305&lt;&gt;"",I304,"")</f>
        <v>416352.483650961</v>
      </c>
      <c r="D305" s="3516">
        <f t="array" ref="D305">IF(A305&lt;&gt;"",$H$5,"")</f>
        <v>33254.5945333633</v>
      </c>
      <c r="E305" s="3517">
        <v>0</v>
      </c>
      <c r="F305" s="3516">
        <f t="array" ref="F305">IF(A305&lt;&gt;"",D305+E305,"")</f>
        <v>33254.5945333633</v>
      </c>
      <c r="G305" s="3516">
        <f t="array" ref="G305">IF(A305&lt;&gt;"",F305-H305,0)</f>
        <v>30999.3519135873</v>
      </c>
      <c r="H305" s="3516">
        <f t="array" ref="H305">IF(A305&lt;&gt;"",C305*$D$6/$D$8,0)</f>
        <v>2255.24261977604</v>
      </c>
      <c r="I305" s="3516">
        <f t="array" ref="I305">IF(A305&lt;&gt;"",C305-G305,0)</f>
        <v>385353.131737374</v>
      </c>
      <c r="J305" s="3516">
        <f t="array" ref="J305">IF(A305&lt;&gt;"",J304+H305,J304)</f>
        <v>5037581.29955801</v>
      </c>
      <c r="K305" s="666">
        <v>361165.227568265</v>
      </c>
      <c r="L305" s="1167" t="n"/>
      <c r="M305" s="1167" t="n"/>
      <c r="N305" s="1168" t="n"/>
      <c r="O305" s="1168" t="n"/>
      <c r="P305" s="1168" t="n"/>
      <c r="Q305" s="1168" t="n"/>
      <c r="R305" s="1168" t="n"/>
      <c r="S305" s="1168" t="n"/>
      <c r="T305" s="1168" t="n"/>
      <c r="U305" s="1168" t="n"/>
      <c r="V305" s="1168" t="n"/>
      <c r="W305" s="1168" t="n"/>
      <c r="X305" s="1168" t="n"/>
      <c r="Y305" s="1167" t="n"/>
    </row>
    <row r="306" s="3154" customFormat="1" ht="12.75" customHeight="1">
      <c r="A306" s="1117">
        <f t="array" ref="A306">IF(I305&gt;0.5,A305+1,"")</f>
        <v>289</v>
      </c>
      <c r="B306" s="3515">
        <f t="array" ref="B306">IF(A306&lt;&gt;"",DATE(YEAR($D$9),MONTH($D$9)+A306,DAY($D$9)),"")</f>
        <v>55550</v>
      </c>
      <c r="C306" s="3516">
        <f t="array" ref="C306">IF(A306&lt;&gt;"",I305,"")</f>
        <v>385353.131737374</v>
      </c>
      <c r="D306" s="3516">
        <f t="array" ref="D306">IF(A306&lt;&gt;"",$H$5,"")</f>
        <v>33254.5945333633</v>
      </c>
      <c r="E306" s="3517">
        <v>0</v>
      </c>
      <c r="F306" s="3516">
        <f t="array" ref="F306">IF(A306&lt;&gt;"",D306+E306,"")</f>
        <v>33254.5945333633</v>
      </c>
      <c r="G306" s="3516">
        <f t="array" ref="G306">IF(A306&lt;&gt;"",F306-H306,0)</f>
        <v>31167.2650697859</v>
      </c>
      <c r="H306" s="3516">
        <f t="array" ref="H306">IF(A306&lt;&gt;"",C306*$D$6/$D$8,0)</f>
        <v>2087.32946357744</v>
      </c>
      <c r="I306" s="3516">
        <f t="array" ref="I306">IF(A306&lt;&gt;"",C306-G306,0)</f>
        <v>354185.866667588</v>
      </c>
      <c r="J306" s="3516">
        <f t="array" ref="J306">IF(A306&lt;&gt;"",J305+H306,J305)</f>
        <v>5039668.62902159</v>
      </c>
      <c r="K306" s="666"/>
      <c r="L306" s="1167" t="n"/>
      <c r="M306" s="1167" t="n"/>
      <c r="N306" s="1168" t="n"/>
      <c r="O306" s="1168" t="n"/>
      <c r="P306" s="1168" t="n"/>
      <c r="Q306" s="1168" t="n"/>
      <c r="R306" s="1168" t="n"/>
      <c r="S306" s="1168" t="n"/>
      <c r="T306" s="1168" t="n"/>
      <c r="U306" s="1168" t="n"/>
      <c r="V306" s="1168" t="n"/>
      <c r="W306" s="1168" t="n"/>
      <c r="X306" s="1168" t="n"/>
      <c r="Y306" s="1167" t="n"/>
    </row>
    <row r="307" s="3154" customFormat="1" ht="12.75" customHeight="1">
      <c r="A307" s="1117">
        <f t="array" ref="A307">IF(I306&gt;0.5,A306+1,"")</f>
        <v>290</v>
      </c>
      <c r="B307" s="3515">
        <f t="array" ref="B307">IF(A307&lt;&gt;"",DATE(YEAR($D$9),MONTH($D$9)+A307,DAY($D$9)),"")</f>
        <v>55579</v>
      </c>
      <c r="C307" s="3516">
        <f t="array" ref="C307">IF(A307&lt;&gt;"",I306,"")</f>
        <v>354185.866667588</v>
      </c>
      <c r="D307" s="3516">
        <f t="array" ref="D307">IF(A307&lt;&gt;"",$H$5,"")</f>
        <v>33254.5945333633</v>
      </c>
      <c r="E307" s="3517">
        <v>0</v>
      </c>
      <c r="F307" s="3516">
        <f t="array" ref="F307">IF(A307&lt;&gt;"",D307+E307,"")</f>
        <v>33254.5945333633</v>
      </c>
      <c r="G307" s="3516">
        <f t="array" ref="G307">IF(A307&lt;&gt;"",F307-H307,0)</f>
        <v>31336.0877555806</v>
      </c>
      <c r="H307" s="3516">
        <f t="array" ref="H307">IF(A307&lt;&gt;"",C307*$D$6/$D$8,0)</f>
        <v>1918.50677778277</v>
      </c>
      <c r="I307" s="3516">
        <f t="array" ref="I307">IF(A307&lt;&gt;"",C307-G307,0)</f>
        <v>322849.778912007</v>
      </c>
      <c r="J307" s="3516">
        <f t="array" ref="J307">IF(A307&lt;&gt;"",J306+H307,J306)</f>
        <v>5041587.13579937</v>
      </c>
      <c r="K307" s="666"/>
      <c r="L307" s="1167" t="n"/>
      <c r="M307" s="1167" t="n"/>
      <c r="N307" s="1168" t="n"/>
      <c r="O307" s="1168" t="n"/>
      <c r="P307" s="1168" t="n"/>
      <c r="Q307" s="1168" t="n"/>
      <c r="R307" s="1168" t="n"/>
      <c r="S307" s="1168" t="n"/>
      <c r="T307" s="1168" t="n"/>
      <c r="U307" s="1168" t="n"/>
      <c r="V307" s="1168" t="n"/>
      <c r="W307" s="1168" t="n"/>
      <c r="X307" s="1168" t="n"/>
      <c r="Y307" s="1167" t="n"/>
    </row>
    <row r="308" s="3154" customFormat="1" ht="12.75" customHeight="1">
      <c r="A308" s="1117">
        <f t="array" ref="A308">IF(I307&gt;0.5,A307+1,"")</f>
        <v>291</v>
      </c>
      <c r="B308" s="3515">
        <f t="array" ref="B308">IF(A308&lt;&gt;"",DATE(YEAR($D$9),MONTH($D$9)+A308,DAY($D$9)),"")</f>
        <v>55610</v>
      </c>
      <c r="C308" s="3516">
        <f t="array" ref="C308">IF(A308&lt;&gt;"",I307,"")</f>
        <v>322849.778912007</v>
      </c>
      <c r="D308" s="3516">
        <f t="array" ref="D308">IF(A308&lt;&gt;"",$H$5,"")</f>
        <v>33254.5945333633</v>
      </c>
      <c r="E308" s="3517">
        <v>0</v>
      </c>
      <c r="F308" s="3516">
        <f t="array" ref="F308">IF(A308&lt;&gt;"",D308+E308,"")</f>
        <v>33254.5945333633</v>
      </c>
      <c r="G308" s="3516">
        <f t="array" ref="G308">IF(A308&lt;&gt;"",F308-H308,0)</f>
        <v>31505.82489759</v>
      </c>
      <c r="H308" s="3516">
        <f t="array" ref="H308">IF(A308&lt;&gt;"",C308*$D$6/$D$8,0)</f>
        <v>1748.76963577337</v>
      </c>
      <c r="I308" s="3516">
        <f t="array" ref="I308">IF(A308&lt;&gt;"",C308-G308,0)</f>
        <v>291343.954014417</v>
      </c>
      <c r="J308" s="3516">
        <f t="array" ref="J308">IF(A308&lt;&gt;"",J307+H308,J307)</f>
        <v>5043335.90543514</v>
      </c>
      <c r="K308" s="666"/>
      <c r="L308" s="1167" t="n"/>
      <c r="M308" s="1167" t="n"/>
      <c r="N308" s="1168" t="n"/>
      <c r="O308" s="1168" t="n"/>
      <c r="P308" s="1168" t="n"/>
      <c r="Q308" s="1168" t="n"/>
      <c r="R308" s="1168" t="n"/>
      <c r="S308" s="1168" t="n"/>
      <c r="T308" s="1168" t="n"/>
      <c r="U308" s="1168" t="n"/>
      <c r="V308" s="1168" t="n"/>
      <c r="W308" s="1168" t="n"/>
      <c r="X308" s="1168" t="n"/>
      <c r="Y308" s="1167" t="n"/>
    </row>
    <row r="309" s="3154" customFormat="1" ht="12.75" customHeight="1">
      <c r="A309" s="1117">
        <f t="array" ref="A309">IF(I308&gt;0.5,A308+1,"")</f>
        <v>292</v>
      </c>
      <c r="B309" s="3515">
        <f t="array" ref="B309">IF(A309&lt;&gt;"",DATE(YEAR($D$9),MONTH($D$9)+A309,DAY($D$9)),"")</f>
        <v>55640</v>
      </c>
      <c r="C309" s="3516">
        <f t="array" ref="C309">IF(A309&lt;&gt;"",I308,"")</f>
        <v>291343.954014417</v>
      </c>
      <c r="D309" s="3516">
        <f t="array" ref="D309">IF(A309&lt;&gt;"",$H$5,"")</f>
        <v>33254.5945333633</v>
      </c>
      <c r="E309" s="3517">
        <v>0</v>
      </c>
      <c r="F309" s="3516">
        <f t="array" ref="F309">IF(A309&lt;&gt;"",D309+E309,"")</f>
        <v>33254.5945333633</v>
      </c>
      <c r="G309" s="3516">
        <f t="array" ref="G309">IF(A309&lt;&gt;"",F309-H309,0)</f>
        <v>31676.4814491186</v>
      </c>
      <c r="H309" s="3516">
        <f t="array" ref="H309">IF(A309&lt;&gt;"",C309*$D$6/$D$8,0)</f>
        <v>1578.11308424476</v>
      </c>
      <c r="I309" s="3516">
        <f t="array" ref="I309">IF(A309&lt;&gt;"",C309-G309,0)</f>
        <v>259667.472565298</v>
      </c>
      <c r="J309" s="3516">
        <f t="array" ref="J309">IF(A309&lt;&gt;"",J308+H309,J308)</f>
        <v>5044914.01851939</v>
      </c>
      <c r="K309" s="666"/>
      <c r="L309" s="1167" t="n"/>
      <c r="M309" s="1167" t="n"/>
      <c r="N309" s="1168" t="n"/>
      <c r="O309" s="1168" t="n"/>
      <c r="P309" s="1168" t="n"/>
      <c r="Q309" s="1168" t="n"/>
      <c r="R309" s="1168" t="n"/>
      <c r="S309" s="1168" t="n"/>
      <c r="T309" s="1168" t="n"/>
      <c r="U309" s="1168" t="n"/>
      <c r="V309" s="1168" t="n"/>
      <c r="W309" s="1168" t="n"/>
      <c r="X309" s="1168" t="n"/>
      <c r="Y309" s="1167" t="n"/>
    </row>
    <row r="310" s="3154" customFormat="1" ht="12.75" customHeight="1">
      <c r="A310" s="1117">
        <f t="array" ref="A310">IF(I309&gt;0.5,A309+1,"")</f>
        <v>293</v>
      </c>
      <c r="B310" s="3515">
        <f t="array" ref="B310">IF(A310&lt;&gt;"",DATE(YEAR($D$9),MONTH($D$9)+A310,DAY($D$9)),"")</f>
        <v>55671</v>
      </c>
      <c r="C310" s="3516">
        <f t="array" ref="C310">IF(A310&lt;&gt;"",I309,"")</f>
        <v>259667.472565298</v>
      </c>
      <c r="D310" s="3516">
        <f t="array" ref="D310">IF(A310&lt;&gt;"",$H$5,"")</f>
        <v>33254.5945333633</v>
      </c>
      <c r="E310" s="3517">
        <v>0</v>
      </c>
      <c r="F310" s="3516">
        <f t="array" ref="F310">IF(A310&lt;&gt;"",D310+E310,"")</f>
        <v>33254.5945333633</v>
      </c>
      <c r="G310" s="3516">
        <f t="array" ref="G310">IF(A310&lt;&gt;"",F310-H310,0)</f>
        <v>31848.0623903013</v>
      </c>
      <c r="H310" s="3516">
        <f t="array" ref="H310">IF(A310&lt;&gt;"",C310*$D$6/$D$8,0)</f>
        <v>1406.53214306203</v>
      </c>
      <c r="I310" s="3516">
        <f t="array" ref="I310">IF(A310&lt;&gt;"",C310-G310,0)</f>
        <v>227819.410174997</v>
      </c>
      <c r="J310" s="3516">
        <f t="array" ref="J310">IF(A310&lt;&gt;"",J309+H310,J309)</f>
        <v>5046320.55066245</v>
      </c>
      <c r="K310" s="666"/>
      <c r="L310" s="1167" t="n"/>
      <c r="M310" s="1167" t="n"/>
      <c r="N310" s="1168" t="n"/>
      <c r="O310" s="1168" t="n"/>
      <c r="P310" s="1168" t="n"/>
      <c r="Q310" s="1168" t="n"/>
      <c r="R310" s="1168" t="n"/>
      <c r="S310" s="1168" t="n"/>
      <c r="T310" s="1168" t="n"/>
      <c r="U310" s="1168" t="n"/>
      <c r="V310" s="1168" t="n"/>
      <c r="W310" s="1168" t="n"/>
      <c r="X310" s="1168" t="n"/>
      <c r="Y310" s="1167" t="n"/>
    </row>
    <row r="311" s="3154" customFormat="1" ht="12.75" customHeight="1">
      <c r="A311" s="1117">
        <f t="array" ref="A311">IF(I310&gt;0.5,A310+1,"")</f>
        <v>294</v>
      </c>
      <c r="B311" s="3515">
        <f t="array" ref="B311">IF(A311&lt;&gt;"",DATE(YEAR($D$9),MONTH($D$9)+A311,DAY($D$9)),"")</f>
        <v>55701</v>
      </c>
      <c r="C311" s="3516">
        <f t="array" ref="C311">IF(A311&lt;&gt;"",I310,"")</f>
        <v>227819.410174997</v>
      </c>
      <c r="D311" s="3516">
        <f t="array" ref="D311">IF(A311&lt;&gt;"",$H$5,"")</f>
        <v>33254.5945333633</v>
      </c>
      <c r="E311" s="3517">
        <v>0</v>
      </c>
      <c r="F311" s="3516">
        <f t="array" ref="F311">IF(A311&lt;&gt;"",D311+E311,"")</f>
        <v>33254.5945333633</v>
      </c>
      <c r="G311" s="3516">
        <f t="array" ref="G311">IF(A311&lt;&gt;"",F311-H311,0)</f>
        <v>32020.5727282488</v>
      </c>
      <c r="H311" s="3516">
        <f t="array" ref="H311">IF(A311&lt;&gt;"",C311*$D$6/$D$8,0)</f>
        <v>1234.02180511457</v>
      </c>
      <c r="I311" s="3516">
        <f t="array" ref="I311">IF(A311&lt;&gt;"",C311-G311,0)</f>
        <v>195798.837446748</v>
      </c>
      <c r="J311" s="3516">
        <f t="array" ref="J311">IF(A311&lt;&gt;"",J310+H311,J310)</f>
        <v>5047554.57246757</v>
      </c>
      <c r="K311" s="666"/>
      <c r="L311" s="1167" t="n"/>
      <c r="M311" s="1167" t="n"/>
      <c r="N311" s="1168" t="n"/>
      <c r="O311" s="1168" t="n"/>
      <c r="P311" s="1168" t="n"/>
      <c r="Q311" s="1168" t="n"/>
      <c r="R311" s="1168" t="n"/>
      <c r="S311" s="1168" t="n"/>
      <c r="T311" s="1168" t="n"/>
      <c r="U311" s="1168" t="n"/>
      <c r="V311" s="1168" t="n"/>
      <c r="W311" s="1168" t="n"/>
      <c r="X311" s="1168" t="n"/>
      <c r="Y311" s="1167" t="n"/>
    </row>
    <row r="312" s="3154" customFormat="1" ht="12.75" customHeight="1">
      <c r="A312" s="1117">
        <f t="array" ref="A312">IF(I311&gt;0.5,A311+1,"")</f>
        <v>295</v>
      </c>
      <c r="B312" s="3515">
        <f t="array" ref="B312">IF(A312&lt;&gt;"",DATE(YEAR($D$9),MONTH($D$9)+A312,DAY($D$9)),"")</f>
        <v>55732</v>
      </c>
      <c r="C312" s="3516">
        <f t="array" ref="C312">IF(A312&lt;&gt;"",I311,"")</f>
        <v>195798.837446748</v>
      </c>
      <c r="D312" s="3516">
        <f t="array" ref="D312">IF(A312&lt;&gt;"",$H$5,"")</f>
        <v>33254.5945333633</v>
      </c>
      <c r="E312" s="3517">
        <v>0</v>
      </c>
      <c r="F312" s="3516">
        <f t="array" ref="F312">IF(A312&lt;&gt;"",D312+E312,"")</f>
        <v>33254.5945333633</v>
      </c>
      <c r="G312" s="3516">
        <f t="array" ref="G312">IF(A312&lt;&gt;"",F312-H312,0)</f>
        <v>32194.0174971935</v>
      </c>
      <c r="H312" s="3516">
        <f t="array" ref="H312">IF(A312&lt;&gt;"",C312*$D$6/$D$8,0)</f>
        <v>1060.57703616989</v>
      </c>
      <c r="I312" s="3516">
        <f t="array" ref="I312">IF(A312&lt;&gt;"",C312-G312,0)</f>
        <v>163604.819949555</v>
      </c>
      <c r="J312" s="3516">
        <f t="array" ref="J312">IF(A312&lt;&gt;"",J311+H312,J311)</f>
        <v>5048615.14950374</v>
      </c>
      <c r="K312" s="666"/>
      <c r="L312" s="1167" t="n"/>
      <c r="M312" s="1167" t="n"/>
      <c r="N312" s="1168" t="n"/>
      <c r="O312" s="1168" t="n"/>
      <c r="P312" s="1168" t="n"/>
      <c r="Q312" s="1168" t="n"/>
      <c r="R312" s="1168" t="n"/>
      <c r="S312" s="1168" t="n"/>
      <c r="T312" s="1168" t="n"/>
      <c r="U312" s="1168" t="n"/>
      <c r="V312" s="1168" t="n"/>
      <c r="W312" s="1168" t="n"/>
      <c r="X312" s="1168" t="n"/>
      <c r="Y312" s="1167" t="n"/>
    </row>
    <row r="313" s="3154" customFormat="1" ht="12.75" customHeight="1">
      <c r="A313" s="1117">
        <f t="array" ref="A313">IF(I312&gt;0.5,A312+1,"")</f>
        <v>296</v>
      </c>
      <c r="B313" s="3515">
        <f t="array" ref="B313">IF(A313&lt;&gt;"",DATE(YEAR($D$9),MONTH($D$9)+A313,DAY($D$9)),"")</f>
        <v>55763</v>
      </c>
      <c r="C313" s="3516">
        <f t="array" ref="C313">IF(A313&lt;&gt;"",I312,"")</f>
        <v>163604.819949555</v>
      </c>
      <c r="D313" s="3516">
        <f t="array" ref="D313">IF(A313&lt;&gt;"",$H$5,"")</f>
        <v>33254.5945333633</v>
      </c>
      <c r="E313" s="3517">
        <v>0</v>
      </c>
      <c r="F313" s="3516">
        <f t="array" ref="F313">IF(A313&lt;&gt;"",D313+E313,"")</f>
        <v>33254.5945333633</v>
      </c>
      <c r="G313" s="3516">
        <f t="array" ref="G313">IF(A313&lt;&gt;"",F313-H313,0)</f>
        <v>32368.4017586366</v>
      </c>
      <c r="H313" s="3516">
        <f t="array" ref="H313">IF(A313&lt;&gt;"",C313*$D$6/$D$8,0)</f>
        <v>886.192774726756</v>
      </c>
      <c r="I313" s="3516">
        <f t="array" ref="I313">IF(A313&lt;&gt;"",C313-G313,0)</f>
        <v>131236.418190918</v>
      </c>
      <c r="J313" s="3516">
        <f t="array" ref="J313">IF(A313&lt;&gt;"",J312+H313,J312)</f>
        <v>5049501.34227846</v>
      </c>
      <c r="K313" s="666"/>
      <c r="L313" s="1167" t="n"/>
      <c r="M313" s="1167" t="n"/>
      <c r="N313" s="1168" t="n"/>
      <c r="O313" s="1168" t="n"/>
      <c r="P313" s="1168" t="n"/>
      <c r="Q313" s="1168" t="n"/>
      <c r="R313" s="1168" t="n"/>
      <c r="S313" s="1168" t="n"/>
      <c r="T313" s="1168" t="n"/>
      <c r="U313" s="1168" t="n"/>
      <c r="V313" s="1168" t="n"/>
      <c r="W313" s="1168" t="n"/>
      <c r="X313" s="1168" t="n"/>
      <c r="Y313" s="1167" t="n"/>
    </row>
    <row r="314" s="3154" customFormat="1" ht="12.75" customHeight="1">
      <c r="A314" s="1117">
        <f t="array" ref="A314">IF(I313&gt;0.5,A313+1,"")</f>
        <v>297</v>
      </c>
      <c r="B314" s="3515">
        <f t="array" ref="B314">IF(A314&lt;&gt;"",DATE(YEAR($D$9),MONTH($D$9)+A314,DAY($D$9)),"")</f>
        <v>55793</v>
      </c>
      <c r="C314" s="3516">
        <f t="array" ref="C314">IF(A314&lt;&gt;"",I313,"")</f>
        <v>131236.418190918</v>
      </c>
      <c r="D314" s="3516">
        <f t="array" ref="D314">IF(A314&lt;&gt;"",$H$5,"")</f>
        <v>33254.5945333633</v>
      </c>
      <c r="E314" s="3517">
        <v>0</v>
      </c>
      <c r="F314" s="3516">
        <f t="array" ref="F314">IF(A314&lt;&gt;"",D314+E314,"")</f>
        <v>33254.5945333633</v>
      </c>
      <c r="G314" s="3516">
        <f t="array" ref="G314">IF(A314&lt;&gt;"",F314-H314,0)</f>
        <v>32543.7306014959</v>
      </c>
      <c r="H314" s="3516">
        <f t="array" ref="H314">IF(A314&lt;&gt;"",C314*$D$6/$D$8,0)</f>
        <v>710.863931867474</v>
      </c>
      <c r="I314" s="3516">
        <f t="array" ref="I314">IF(A314&lt;&gt;"",C314-G314,0)</f>
        <v>98692.6875894225</v>
      </c>
      <c r="J314" s="3516">
        <f t="array" ref="J314">IF(A314&lt;&gt;"",J313+H314,J313)</f>
        <v>5050212.20621033</v>
      </c>
      <c r="K314" s="666"/>
      <c r="L314" s="1167" t="n"/>
      <c r="M314" s="1167" t="n"/>
      <c r="N314" s="1168" t="n"/>
      <c r="O314" s="1168" t="n"/>
      <c r="P314" s="1168" t="n"/>
      <c r="Q314" s="1168" t="n"/>
      <c r="R314" s="1168" t="n"/>
      <c r="S314" s="1168" t="n"/>
      <c r="T314" s="1168" t="n"/>
      <c r="U314" s="1168" t="n"/>
      <c r="V314" s="1168" t="n"/>
      <c r="W314" s="1168" t="n"/>
      <c r="X314" s="1168" t="n"/>
      <c r="Y314" s="1167" t="n"/>
    </row>
    <row r="315" s="3154" customFormat="1" ht="12.75" customHeight="1">
      <c r="A315" s="1117">
        <f t="array" ref="A315">IF(I314&gt;0.5,A314+1,"")</f>
        <v>298</v>
      </c>
      <c r="B315" s="3515">
        <f t="array" ref="B315">IF(A315&lt;&gt;"",DATE(YEAR($D$9),MONTH($D$9)+A315,DAY($D$9)),"")</f>
        <v>55824</v>
      </c>
      <c r="C315" s="3516">
        <f t="array" ref="C315">IF(A315&lt;&gt;"",I314,"")</f>
        <v>98692.6875894225</v>
      </c>
      <c r="D315" s="3516">
        <f t="array" ref="D315">IF(A315&lt;&gt;"",$H$5,"")</f>
        <v>33254.5945333633</v>
      </c>
      <c r="E315" s="3517">
        <v>0</v>
      </c>
      <c r="F315" s="3516">
        <f t="array" ref="F315">IF(A315&lt;&gt;"",D315+E315,"")</f>
        <v>33254.5945333633</v>
      </c>
      <c r="G315" s="3516">
        <f t="array" ref="G315">IF(A315&lt;&gt;"",F315-H315,0)</f>
        <v>32720.009142254</v>
      </c>
      <c r="H315" s="3516">
        <f t="array" ref="H315">IF(A315&lt;&gt;"",C315*$D$6/$D$8,0)</f>
        <v>534.585391109372</v>
      </c>
      <c r="I315" s="3516">
        <f t="array" ref="I315">IF(A315&lt;&gt;"",C315-G315,0)</f>
        <v>65972.6784471685</v>
      </c>
      <c r="J315" s="3516">
        <f t="array" ref="J315">IF(A315&lt;&gt;"",J314+H315,J314)</f>
        <v>5050746.79160144</v>
      </c>
      <c r="K315" s="666"/>
      <c r="L315" s="1167" t="n"/>
      <c r="M315" s="1167" t="n"/>
      <c r="N315" s="1168" t="n"/>
      <c r="O315" s="1168" t="n"/>
      <c r="P315" s="1168" t="n"/>
      <c r="Q315" s="1168" t="n"/>
      <c r="R315" s="1168" t="n"/>
      <c r="S315" s="1168" t="n"/>
      <c r="T315" s="1168" t="n"/>
      <c r="U315" s="1168" t="n"/>
      <c r="V315" s="1168" t="n"/>
      <c r="W315" s="1168" t="n"/>
      <c r="X315" s="1168" t="n"/>
      <c r="Y315" s="1167" t="n"/>
    </row>
    <row r="316" s="3154" customFormat="1" ht="12.75" customHeight="1">
      <c r="A316" s="1117">
        <f t="array" ref="A316">IF(I315&gt;0.5,A315+1,"")</f>
        <v>299</v>
      </c>
      <c r="B316" s="3515">
        <f t="array" ref="B316">IF(A316&lt;&gt;"",DATE(YEAR($D$9),MONTH($D$9)+A316,DAY($D$9)),"")</f>
        <v>55854</v>
      </c>
      <c r="C316" s="3516">
        <f t="array" ref="C316">IF(A316&lt;&gt;"",I315,"")</f>
        <v>65972.6784471685</v>
      </c>
      <c r="D316" s="3516">
        <f t="array" ref="D316">IF(A316&lt;&gt;"",$H$5,"")</f>
        <v>33254.5945333633</v>
      </c>
      <c r="E316" s="3517">
        <v>0</v>
      </c>
      <c r="F316" s="3516">
        <f t="array" ref="F316">IF(A316&lt;&gt;"",D316+E316,"")</f>
        <v>33254.5945333633</v>
      </c>
      <c r="G316" s="3516">
        <f t="array" ref="G316">IF(A316&lt;&gt;"",F316-H316,0)</f>
        <v>32897.2425251079</v>
      </c>
      <c r="H316" s="3516">
        <f t="array" ref="H316">IF(A316&lt;&gt;"",C316*$D$6/$D$8,0)</f>
        <v>357.352008255496</v>
      </c>
      <c r="I316" s="3516">
        <f t="array" ref="I316">IF(A316&lt;&gt;"",C316-G316,0)</f>
        <v>33075.4359220606</v>
      </c>
      <c r="J316" s="3516">
        <f t="array" ref="J316">IF(A316&lt;&gt;"",J315+H316,J315)</f>
        <v>5051104.1436097</v>
      </c>
      <c r="K316" s="666"/>
      <c r="L316" s="1167" t="n"/>
      <c r="M316" s="1167" t="n"/>
      <c r="N316" s="1168" t="n"/>
      <c r="O316" s="1168" t="n"/>
      <c r="P316" s="1168" t="n"/>
      <c r="Q316" s="1168" t="n"/>
      <c r="R316" s="1168" t="n"/>
      <c r="S316" s="1168" t="n"/>
      <c r="T316" s="1168" t="n"/>
      <c r="U316" s="1168" t="n"/>
      <c r="V316" s="1168" t="n"/>
      <c r="W316" s="1168" t="n"/>
      <c r="X316" s="1168" t="n"/>
      <c r="Y316" s="1167" t="n"/>
    </row>
    <row r="317" s="3154" customFormat="1" ht="12.75" customHeight="1">
      <c r="A317" s="1117">
        <f t="array" ref="A317">IF(I316&gt;0.5,A316+1,"")</f>
        <v>300</v>
      </c>
      <c r="B317" s="3515">
        <f t="array" ref="B317">IF(A317&lt;&gt;"",DATE(YEAR($D$9),MONTH($D$9)+A317,DAY($D$9)),"")</f>
        <v>55885</v>
      </c>
      <c r="C317" s="3516">
        <f t="array" ref="C317">IF(A317&lt;&gt;"",I316,"")</f>
        <v>33075.4359220606</v>
      </c>
      <c r="D317" s="3516">
        <f t="array" ref="D317">IF(A317&lt;&gt;"",$H$5,"")</f>
        <v>33254.5945333633</v>
      </c>
      <c r="E317" s="3517">
        <v>0</v>
      </c>
      <c r="F317" s="3516">
        <f t="array" ref="F317">IF(A317&lt;&gt;"",D317+E317,"")</f>
        <v>33254.5945333633</v>
      </c>
      <c r="G317" s="3516">
        <f t="array" ref="G317">IF(A317&lt;&gt;"",F317-H317,0)</f>
        <v>33075.4359221189</v>
      </c>
      <c r="H317" s="3516">
        <f t="array" ref="H317">IF(A317&lt;&gt;"",C317*$D$6/$D$8,0)</f>
        <v>179.158611244495</v>
      </c>
      <c r="I317" s="3516">
        <f t="array" ref="I317">IF(A317&lt;&gt;"",C317-G317,0)</f>
        <v>-5.82149368710816e-08</v>
      </c>
      <c r="J317" s="3516">
        <f t="array" ref="J317">IF(A317&lt;&gt;"",J316+H317,J316)</f>
        <v>5051283.30222094</v>
      </c>
      <c r="K317" s="666">
        <v>385353.131737432</v>
      </c>
      <c r="L317" s="1167" t="n"/>
      <c r="M317" s="1167" t="n"/>
      <c r="N317" s="1168" t="n"/>
      <c r="O317" s="1168" t="n"/>
      <c r="P317" s="1168" t="n"/>
      <c r="Q317" s="1168" t="n"/>
      <c r="R317" s="1168" t="n"/>
      <c r="S317" s="1168" t="n"/>
      <c r="T317" s="1168" t="n"/>
      <c r="U317" s="1168" t="n"/>
      <c r="V317" s="1168" t="n"/>
      <c r="W317" s="1168" t="n"/>
      <c r="X317" s="1168" t="n"/>
      <c r="Y317" s="1167" t="n"/>
    </row>
    <row r="318" s="3154" customFormat="1" ht="12.75" customHeight="1">
      <c r="A318" s="1163">
        <f t="array" ref="A318">IF(I317&gt;0.5,A317+1,"")</f>
      </c>
      <c r="B318" s="1164">
        <f t="array" ref="B318">IF(A318&lt;&gt;"",DATE(YEAR($D$9),MONTH($D$9)+A318,DAY($D$9)),"")</f>
      </c>
      <c r="C318" s="1164">
        <f t="array" ref="C318">IF(A318&lt;&gt;"",I317,"")</f>
      </c>
      <c r="D318" s="1164">
        <f t="array" ref="D318">IF(A318&lt;&gt;"",$H$5,"")</f>
      </c>
      <c r="E318" s="3517">
        <v>0</v>
      </c>
      <c r="F318" s="1164">
        <f t="array" ref="F318">IF(A318&lt;&gt;"",D318+E318,"")</f>
      </c>
      <c r="G318" s="3516">
        <f t="array" ref="G318">IF(A318&lt;&gt;"",F318-H318,0)</f>
        <v>0</v>
      </c>
      <c r="H318" s="3516">
        <f t="array" ref="H318">IF(A318&lt;&gt;"",C318*$D$6/$D$8,0)</f>
        <v>0</v>
      </c>
      <c r="I318" s="3516">
        <f t="array" ref="I318">IF(A318&lt;&gt;"",C318-G318,0)</f>
        <v>0</v>
      </c>
      <c r="J318" s="3516">
        <f t="array" ref="J318">IF(A318&lt;&gt;"",J317+H318,J317)</f>
        <v>5051283.30222094</v>
      </c>
      <c r="K318" s="666"/>
      <c r="L318" s="1167" t="n"/>
      <c r="M318" s="1167" t="n"/>
      <c r="N318" s="1168" t="n"/>
      <c r="O318" s="1168" t="n"/>
      <c r="P318" s="1168" t="n"/>
      <c r="Q318" s="1168" t="n"/>
      <c r="R318" s="1168" t="n"/>
      <c r="S318" s="1168" t="n"/>
      <c r="T318" s="1168" t="n"/>
      <c r="U318" s="1168" t="n"/>
      <c r="V318" s="1168" t="n"/>
      <c r="W318" s="1168" t="n"/>
      <c r="X318" s="1168" t="n"/>
      <c r="Y318" s="1167" t="n"/>
    </row>
    <row r="319" s="3154" customFormat="1" ht="12.75" customHeight="1">
      <c r="A319" s="1163">
        <f t="array" ref="A319">IF(I318&gt;0.5,A318+1,"")</f>
      </c>
      <c r="B319" s="1164">
        <f t="array" ref="B319">IF(A319&lt;&gt;"",DATE(YEAR($D$9),MONTH($D$9)+A319,DAY($D$9)),"")</f>
      </c>
      <c r="C319" s="1164">
        <f t="array" ref="C319">IF(A319&lt;&gt;"",I318,"")</f>
      </c>
      <c r="D319" s="1164">
        <f t="array" ref="D319">IF(A319&lt;&gt;"",$H$5,"")</f>
      </c>
      <c r="E319" s="3517">
        <v>0</v>
      </c>
      <c r="F319" s="1164">
        <f t="array" ref="F319">IF(A319&lt;&gt;"",D319+E319,"")</f>
      </c>
      <c r="G319" s="3516">
        <f t="array" ref="G319">IF(A319&lt;&gt;"",F319-H319,0)</f>
        <v>0</v>
      </c>
      <c r="H319" s="3516">
        <f t="array" ref="H319">IF(A319&lt;&gt;"",C319*$D$6/$D$8,0)</f>
        <v>0</v>
      </c>
      <c r="I319" s="3516">
        <f t="array" ref="I319">IF(A319&lt;&gt;"",C319-G319,0)</f>
        <v>0</v>
      </c>
      <c r="J319" s="3516">
        <f t="array" ref="J319">IF(A319&lt;&gt;"",J318+H319,J318)</f>
        <v>5051283.30222094</v>
      </c>
      <c r="K319" s="666"/>
      <c r="L319" s="1167" t="n"/>
      <c r="M319" s="1167" t="n"/>
      <c r="N319" s="1168" t="n"/>
      <c r="O319" s="1168" t="n"/>
      <c r="P319" s="1168" t="n"/>
      <c r="Q319" s="1168" t="n"/>
      <c r="R319" s="1168" t="n"/>
      <c r="S319" s="1168" t="n"/>
      <c r="T319" s="1168" t="n"/>
      <c r="U319" s="1168" t="n"/>
      <c r="V319" s="1168" t="n"/>
      <c r="W319" s="1168" t="n"/>
      <c r="X319" s="1168" t="n"/>
      <c r="Y319" s="1167" t="n"/>
    </row>
    <row r="320" s="3154" customFormat="1" ht="12.75" customHeight="1">
      <c r="A320" s="1163">
        <f t="array" ref="A320">IF(I319&gt;0.5,A319+1,"")</f>
      </c>
      <c r="B320" s="1164">
        <f t="array" ref="B320">IF(A320&lt;&gt;"",DATE(YEAR($D$9),MONTH($D$9)+A320,DAY($D$9)),"")</f>
      </c>
      <c r="C320" s="1164">
        <f t="array" ref="C320">IF(A320&lt;&gt;"",I319,"")</f>
      </c>
      <c r="D320" s="1164">
        <f t="array" ref="D320">IF(A320&lt;&gt;"",$H$5,"")</f>
      </c>
      <c r="E320" s="3517">
        <v>0</v>
      </c>
      <c r="F320" s="1164">
        <f t="array" ref="F320">IF(A320&lt;&gt;"",D320+E320,"")</f>
      </c>
      <c r="G320" s="3516">
        <f t="array" ref="G320">IF(A320&lt;&gt;"",F320-H320,0)</f>
        <v>0</v>
      </c>
      <c r="H320" s="3516">
        <f t="array" ref="H320">IF(A320&lt;&gt;"",C320*$D$6/$D$8,0)</f>
        <v>0</v>
      </c>
      <c r="I320" s="3516">
        <f t="array" ref="I320">IF(A320&lt;&gt;"",C320-G320,0)</f>
        <v>0</v>
      </c>
      <c r="J320" s="3516">
        <f t="array" ref="J320">IF(A320&lt;&gt;"",J319+H320,J319)</f>
        <v>5051283.30222094</v>
      </c>
      <c r="K320" s="666"/>
      <c r="L320" s="1167" t="n"/>
      <c r="M320" s="1167" t="n"/>
      <c r="N320" s="1168" t="n"/>
      <c r="O320" s="1168" t="n"/>
      <c r="P320" s="1168" t="n"/>
      <c r="Q320" s="1168" t="n"/>
      <c r="R320" s="1168" t="n"/>
      <c r="S320" s="1168" t="n"/>
      <c r="T320" s="1168" t="n"/>
      <c r="U320" s="1168" t="n"/>
      <c r="V320" s="1168" t="n"/>
      <c r="W320" s="1168" t="n"/>
      <c r="X320" s="1168" t="n"/>
      <c r="Y320" s="1167" t="n"/>
    </row>
    <row r="321" s="3154" customFormat="1" ht="12.75" customHeight="1">
      <c r="A321" s="1163">
        <f t="array" ref="A321">IF(I320&gt;0.5,A320+1,"")</f>
      </c>
      <c r="B321" s="1164">
        <f t="array" ref="B321">IF(A321&lt;&gt;"",DATE(YEAR($D$9),MONTH($D$9)+A321,DAY($D$9)),"")</f>
      </c>
      <c r="C321" s="1164">
        <f t="array" ref="C321">IF(A321&lt;&gt;"",I320,"")</f>
      </c>
      <c r="D321" s="1164">
        <f t="array" ref="D321">IF(A321&lt;&gt;"",$H$5,"")</f>
      </c>
      <c r="E321" s="3517">
        <v>0</v>
      </c>
      <c r="F321" s="1164">
        <f t="array" ref="F321">IF(A321&lt;&gt;"",D321+E321,"")</f>
      </c>
      <c r="G321" s="3516">
        <f t="array" ref="G321">IF(A321&lt;&gt;"",F321-H321,0)</f>
        <v>0</v>
      </c>
      <c r="H321" s="3516">
        <f t="array" ref="H321">IF(A321&lt;&gt;"",C321*$D$6/$D$8,0)</f>
        <v>0</v>
      </c>
      <c r="I321" s="3516">
        <f t="array" ref="I321">IF(A321&lt;&gt;"",C321-G321,0)</f>
        <v>0</v>
      </c>
      <c r="J321" s="3516">
        <f t="array" ref="J321">IF(A321&lt;&gt;"",J320+H321,J320)</f>
        <v>5051283.30222094</v>
      </c>
      <c r="K321" s="666"/>
      <c r="L321" s="1167" t="n"/>
      <c r="M321" s="1167" t="n"/>
      <c r="N321" s="1168" t="n"/>
      <c r="O321" s="1168" t="n"/>
      <c r="P321" s="1168" t="n"/>
      <c r="Q321" s="1168" t="n"/>
      <c r="R321" s="1168" t="n"/>
      <c r="S321" s="1168" t="n"/>
      <c r="T321" s="1168" t="n"/>
      <c r="U321" s="1168" t="n"/>
      <c r="V321" s="1168" t="n"/>
      <c r="W321" s="1168" t="n"/>
      <c r="X321" s="1168" t="n"/>
      <c r="Y321" s="1167" t="n"/>
    </row>
    <row r="322" s="3154" customFormat="1" ht="12.75" customHeight="1">
      <c r="A322" s="1163">
        <f t="array" ref="A322">IF(I321&gt;0.5,A321+1,"")</f>
      </c>
      <c r="B322" s="1164">
        <f t="array" ref="B322">IF(A322&lt;&gt;"",DATE(YEAR($D$9),MONTH($D$9)+A322,DAY($D$9)),"")</f>
      </c>
      <c r="C322" s="1164">
        <f t="array" ref="C322">IF(A322&lt;&gt;"",I321,"")</f>
      </c>
      <c r="D322" s="1164">
        <f t="array" ref="D322">IF(A322&lt;&gt;"",$H$5,"")</f>
      </c>
      <c r="E322" s="3517">
        <v>0</v>
      </c>
      <c r="F322" s="1164">
        <f t="array" ref="F322">IF(A322&lt;&gt;"",D322+E322,"")</f>
      </c>
      <c r="G322" s="3516">
        <f t="array" ref="G322">IF(A322&lt;&gt;"",F322-H322,0)</f>
        <v>0</v>
      </c>
      <c r="H322" s="3516">
        <f t="array" ref="H322">IF(A322&lt;&gt;"",C322*$D$6/$D$8,0)</f>
        <v>0</v>
      </c>
      <c r="I322" s="3516">
        <f t="array" ref="I322">IF(A322&lt;&gt;"",C322-G322,0)</f>
        <v>0</v>
      </c>
      <c r="J322" s="3516">
        <f t="array" ref="J322">IF(A322&lt;&gt;"",J321+H322,J321)</f>
        <v>5051283.30222094</v>
      </c>
      <c r="K322" s="666"/>
      <c r="L322" s="1167" t="n"/>
      <c r="M322" s="1167" t="n"/>
      <c r="N322" s="1168" t="n"/>
      <c r="O322" s="1168" t="n"/>
      <c r="P322" s="1168" t="n"/>
      <c r="Q322" s="1168" t="n"/>
      <c r="R322" s="1168" t="n"/>
      <c r="S322" s="1168" t="n"/>
      <c r="T322" s="1168" t="n"/>
      <c r="U322" s="1168" t="n"/>
      <c r="V322" s="1168" t="n"/>
      <c r="W322" s="1168" t="n"/>
      <c r="X322" s="1168" t="n"/>
      <c r="Y322" s="1167" t="n"/>
    </row>
    <row r="323" s="3154" customFormat="1" ht="12.75" customHeight="1">
      <c r="A323" s="1163">
        <f t="array" ref="A323">IF(I322&gt;0.5,A322+1,"")</f>
      </c>
      <c r="B323" s="1164">
        <f t="array" ref="B323">IF(A323&lt;&gt;"",DATE(YEAR($D$9),MONTH($D$9)+A323,DAY($D$9)),"")</f>
      </c>
      <c r="C323" s="1164">
        <f t="array" ref="C323">IF(A323&lt;&gt;"",I322,"")</f>
      </c>
      <c r="D323" s="1164">
        <f t="array" ref="D323">IF(A323&lt;&gt;"",$H$5,"")</f>
      </c>
      <c r="E323" s="3517">
        <v>0</v>
      </c>
      <c r="F323" s="1164">
        <f t="array" ref="F323">IF(A323&lt;&gt;"",D323+E323,"")</f>
      </c>
      <c r="G323" s="3516">
        <f t="array" ref="G323">IF(A323&lt;&gt;"",F323-H323,0)</f>
        <v>0</v>
      </c>
      <c r="H323" s="3516">
        <f t="array" ref="H323">IF(A323&lt;&gt;"",C323*$D$6/$D$8,0)</f>
        <v>0</v>
      </c>
      <c r="I323" s="3516">
        <f t="array" ref="I323">IF(A323&lt;&gt;"",C323-G323,0)</f>
        <v>0</v>
      </c>
      <c r="J323" s="3516">
        <f t="array" ref="J323">IF(A323&lt;&gt;"",J322+H323,J322)</f>
        <v>5051283.30222094</v>
      </c>
      <c r="K323" s="666"/>
      <c r="L323" s="1167" t="n"/>
      <c r="M323" s="1167" t="n"/>
      <c r="N323" s="1168" t="n"/>
      <c r="O323" s="1168" t="n"/>
      <c r="P323" s="1168" t="n"/>
      <c r="Q323" s="1168" t="n"/>
      <c r="R323" s="1168" t="n"/>
      <c r="S323" s="1168" t="n"/>
      <c r="T323" s="1168" t="n"/>
      <c r="U323" s="1168" t="n"/>
      <c r="V323" s="1168" t="n"/>
      <c r="W323" s="1168" t="n"/>
      <c r="X323" s="1168" t="n"/>
      <c r="Y323" s="1167" t="n"/>
    </row>
    <row r="324" s="3154" customFormat="1" ht="12.75" customHeight="1">
      <c r="A324" s="1163">
        <f t="array" ref="A324">IF(I323&gt;0.5,A323+1,"")</f>
      </c>
      <c r="B324" s="1164">
        <f t="array" ref="B324">IF(A324&lt;&gt;"",DATE(YEAR($D$9),MONTH($D$9)+A324,DAY($D$9)),"")</f>
      </c>
      <c r="C324" s="1164">
        <f t="array" ref="C324">IF(A324&lt;&gt;"",I323,"")</f>
      </c>
      <c r="D324" s="1164">
        <f t="array" ref="D324">IF(A324&lt;&gt;"",$H$5,"")</f>
      </c>
      <c r="E324" s="3517">
        <v>0</v>
      </c>
      <c r="F324" s="1164">
        <f t="array" ref="F324">IF(A324&lt;&gt;"",D324+E324,"")</f>
      </c>
      <c r="G324" s="3516">
        <f t="array" ref="G324">IF(A324&lt;&gt;"",F324-H324,0)</f>
        <v>0</v>
      </c>
      <c r="H324" s="3516">
        <f t="array" ref="H324">IF(A324&lt;&gt;"",C324*$D$6/$D$8,0)</f>
        <v>0</v>
      </c>
      <c r="I324" s="3516">
        <f t="array" ref="I324">IF(A324&lt;&gt;"",C324-G324,0)</f>
        <v>0</v>
      </c>
      <c r="J324" s="3516">
        <f t="array" ref="J324">IF(A324&lt;&gt;"",J323+H324,J323)</f>
        <v>5051283.30222094</v>
      </c>
      <c r="K324" s="666"/>
      <c r="L324" s="1167" t="n"/>
      <c r="M324" s="1167" t="n"/>
      <c r="N324" s="1168" t="n"/>
      <c r="O324" s="1168" t="n"/>
      <c r="P324" s="1168" t="n"/>
      <c r="Q324" s="1168" t="n"/>
      <c r="R324" s="1168" t="n"/>
      <c r="S324" s="1168" t="n"/>
      <c r="T324" s="1168" t="n"/>
      <c r="U324" s="1168" t="n"/>
      <c r="V324" s="1168" t="n"/>
      <c r="W324" s="1168" t="n"/>
      <c r="X324" s="1168" t="n"/>
      <c r="Y324" s="1167" t="n"/>
    </row>
    <row r="325" s="3154" customFormat="1" ht="12.75" customHeight="1">
      <c r="A325" s="1163">
        <f t="array" ref="A325">IF(I324&gt;0.5,A324+1,"")</f>
      </c>
      <c r="B325" s="1164">
        <f t="array" ref="B325">IF(A325&lt;&gt;"",DATE(YEAR($D$9),MONTH($D$9)+A325,DAY($D$9)),"")</f>
      </c>
      <c r="C325" s="1164">
        <f t="array" ref="C325">IF(A325&lt;&gt;"",I324,"")</f>
      </c>
      <c r="D325" s="1164">
        <f t="array" ref="D325">IF(A325&lt;&gt;"",$H$5,"")</f>
      </c>
      <c r="E325" s="3517">
        <v>0</v>
      </c>
      <c r="F325" s="1164">
        <f t="array" ref="F325">IF(A325&lt;&gt;"",D325+E325,"")</f>
      </c>
      <c r="G325" s="3516">
        <f t="array" ref="G325">IF(A325&lt;&gt;"",F325-H325,0)</f>
        <v>0</v>
      </c>
      <c r="H325" s="3516">
        <f t="array" ref="H325">IF(A325&lt;&gt;"",C325*$D$6/$D$8,0)</f>
        <v>0</v>
      </c>
      <c r="I325" s="3516">
        <f t="array" ref="I325">IF(A325&lt;&gt;"",C325-G325,0)</f>
        <v>0</v>
      </c>
      <c r="J325" s="3516">
        <f t="array" ref="J325">IF(A325&lt;&gt;"",J324+H325,J324)</f>
        <v>5051283.30222094</v>
      </c>
      <c r="K325" s="666"/>
      <c r="L325" s="1167" t="n"/>
      <c r="M325" s="1167" t="n"/>
      <c r="N325" s="1168" t="n"/>
      <c r="O325" s="1168" t="n"/>
      <c r="P325" s="1168" t="n"/>
      <c r="Q325" s="1168" t="n"/>
      <c r="R325" s="1168" t="n"/>
      <c r="S325" s="1168" t="n"/>
      <c r="T325" s="1168" t="n"/>
      <c r="U325" s="1168" t="n"/>
      <c r="V325" s="1168" t="n"/>
      <c r="W325" s="1168" t="n"/>
      <c r="X325" s="1168" t="n"/>
      <c r="Y325" s="1167" t="n"/>
    </row>
    <row r="326" s="3154" customFormat="1" ht="12.75" customHeight="1">
      <c r="A326" s="1163">
        <f t="array" ref="A326">IF(I325&gt;0.5,A325+1,"")</f>
      </c>
      <c r="B326" s="1164">
        <f t="array" ref="B326">IF(A326&lt;&gt;"",DATE(YEAR($D$9),MONTH($D$9)+A326,DAY($D$9)),"")</f>
      </c>
      <c r="C326" s="1164">
        <f t="array" ref="C326">IF(A326&lt;&gt;"",I325,"")</f>
      </c>
      <c r="D326" s="1164">
        <f t="array" ref="D326">IF(A326&lt;&gt;"",$H$5,"")</f>
      </c>
      <c r="E326" s="3517">
        <v>0</v>
      </c>
      <c r="F326" s="1164">
        <f t="array" ref="F326">IF(A326&lt;&gt;"",D326+E326,"")</f>
      </c>
      <c r="G326" s="3516">
        <f t="array" ref="G326">IF(A326&lt;&gt;"",F326-H326,0)</f>
        <v>0</v>
      </c>
      <c r="H326" s="3516">
        <f t="array" ref="H326">IF(A326&lt;&gt;"",C326*$D$6/$D$8,0)</f>
        <v>0</v>
      </c>
      <c r="I326" s="3516">
        <f t="array" ref="I326">IF(A326&lt;&gt;"",C326-G326,0)</f>
        <v>0</v>
      </c>
      <c r="J326" s="3516">
        <f t="array" ref="J326">IF(A326&lt;&gt;"",J325+H326,J325)</f>
        <v>5051283.30222094</v>
      </c>
      <c r="K326" s="666"/>
      <c r="L326" s="1167" t="n"/>
      <c r="M326" s="1167" t="n"/>
      <c r="N326" s="1168" t="n"/>
      <c r="O326" s="1168" t="n"/>
      <c r="P326" s="1168" t="n"/>
      <c r="Q326" s="1168" t="n"/>
      <c r="R326" s="1168" t="n"/>
      <c r="S326" s="1168" t="n"/>
      <c r="T326" s="1168" t="n"/>
      <c r="U326" s="1168" t="n"/>
      <c r="V326" s="1168" t="n"/>
      <c r="W326" s="1168" t="n"/>
      <c r="X326" s="1168" t="n"/>
      <c r="Y326" s="1167" t="n"/>
    </row>
    <row r="327" s="3154" customFormat="1" ht="12.75" customHeight="1">
      <c r="A327" s="1163">
        <f t="array" ref="A327">IF(I326&gt;0.5,A326+1,"")</f>
      </c>
      <c r="B327" s="1164">
        <f t="array" ref="B327">IF(A327&lt;&gt;"",DATE(YEAR($D$9),MONTH($D$9)+A327,DAY($D$9)),"")</f>
      </c>
      <c r="C327" s="1164">
        <f t="array" ref="C327">IF(A327&lt;&gt;"",I326,"")</f>
      </c>
      <c r="D327" s="1164">
        <f t="array" ref="D327">IF(A327&lt;&gt;"",$H$5,"")</f>
      </c>
      <c r="E327" s="3517">
        <v>0</v>
      </c>
      <c r="F327" s="1164">
        <f t="array" ref="F327">IF(A327&lt;&gt;"",D327+E327,"")</f>
      </c>
      <c r="G327" s="3516">
        <f t="array" ref="G327">IF(A327&lt;&gt;"",F327-H327,0)</f>
        <v>0</v>
      </c>
      <c r="H327" s="3516">
        <f t="array" ref="H327">IF(A327&lt;&gt;"",C327*$D$6/$D$8,0)</f>
        <v>0</v>
      </c>
      <c r="I327" s="3516">
        <f t="array" ref="I327">IF(A327&lt;&gt;"",C327-G327,0)</f>
        <v>0</v>
      </c>
      <c r="J327" s="3516">
        <f t="array" ref="J327">IF(A327&lt;&gt;"",J326+H327,J326)</f>
        <v>5051283.30222094</v>
      </c>
      <c r="K327" s="666"/>
      <c r="L327" s="1167" t="n"/>
      <c r="M327" s="1167" t="n"/>
      <c r="N327" s="1168" t="n"/>
      <c r="O327" s="1168" t="n"/>
      <c r="P327" s="1168" t="n"/>
      <c r="Q327" s="1168" t="n"/>
      <c r="R327" s="1168" t="n"/>
      <c r="S327" s="1168" t="n"/>
      <c r="T327" s="1168" t="n"/>
      <c r="U327" s="1168" t="n"/>
      <c r="V327" s="1168" t="n"/>
      <c r="W327" s="1168" t="n"/>
      <c r="X327" s="1168" t="n"/>
      <c r="Y327" s="1167" t="n"/>
    </row>
    <row r="328" s="3154" customFormat="1" ht="12.75" customHeight="1">
      <c r="A328" s="1163">
        <f t="array" ref="A328">IF(I327&gt;0.5,A327+1,"")</f>
      </c>
      <c r="B328" s="1164">
        <f t="array" ref="B328">IF(A328&lt;&gt;"",DATE(YEAR($D$9),MONTH($D$9)+A328,DAY($D$9)),"")</f>
      </c>
      <c r="C328" s="1164">
        <f t="array" ref="C328">IF(A328&lt;&gt;"",I327,"")</f>
      </c>
      <c r="D328" s="1164">
        <f t="array" ref="D328">IF(A328&lt;&gt;"",$H$5,"")</f>
      </c>
      <c r="E328" s="3517">
        <v>0</v>
      </c>
      <c r="F328" s="1164">
        <f t="array" ref="F328">IF(A328&lt;&gt;"",D328+E328,"")</f>
      </c>
      <c r="G328" s="3516">
        <f t="array" ref="G328">IF(A328&lt;&gt;"",F328-H328,0)</f>
        <v>0</v>
      </c>
      <c r="H328" s="3516">
        <f t="array" ref="H328">IF(A328&lt;&gt;"",C328*$D$6/$D$8,0)</f>
        <v>0</v>
      </c>
      <c r="I328" s="3516">
        <f t="array" ref="I328">IF(A328&lt;&gt;"",C328-G328,0)</f>
        <v>0</v>
      </c>
      <c r="J328" s="3516">
        <f t="array" ref="J328">IF(A328&lt;&gt;"",J327+H328,J327)</f>
        <v>5051283.30222094</v>
      </c>
      <c r="K328" s="666"/>
      <c r="L328" s="1167" t="n"/>
      <c r="M328" s="1167" t="n"/>
      <c r="N328" s="1168" t="n"/>
      <c r="O328" s="1168" t="n"/>
      <c r="P328" s="1168" t="n"/>
      <c r="Q328" s="1168" t="n"/>
      <c r="R328" s="1168" t="n"/>
      <c r="S328" s="1168" t="n"/>
      <c r="T328" s="1168" t="n"/>
      <c r="U328" s="1168" t="n"/>
      <c r="V328" s="1168" t="n"/>
      <c r="W328" s="1168" t="n"/>
      <c r="X328" s="1168" t="n"/>
      <c r="Y328" s="1167" t="n"/>
    </row>
    <row r="329" s="3154" customFormat="1" ht="12.75" customHeight="1">
      <c r="A329" s="1163">
        <f t="array" ref="A329">IF(I328&gt;0.5,A328+1,"")</f>
      </c>
      <c r="B329" s="1164">
        <f t="array" ref="B329">IF(A329&lt;&gt;"",DATE(YEAR($D$9),MONTH($D$9)+A329,DAY($D$9)),"")</f>
      </c>
      <c r="C329" s="1164">
        <f t="array" ref="C329">IF(A329&lt;&gt;"",I328,"")</f>
      </c>
      <c r="D329" s="1164">
        <f t="array" ref="D329">IF(A329&lt;&gt;"",$H$5,"")</f>
      </c>
      <c r="E329" s="3517">
        <v>0</v>
      </c>
      <c r="F329" s="1164">
        <f t="array" ref="F329">IF(A329&lt;&gt;"",D329+E329,"")</f>
      </c>
      <c r="G329" s="3516">
        <f t="array" ref="G329">IF(A329&lt;&gt;"",F329-H329,0)</f>
        <v>0</v>
      </c>
      <c r="H329" s="3516">
        <f t="array" ref="H329">IF(A329&lt;&gt;"",C329*$D$6/$D$8,0)</f>
        <v>0</v>
      </c>
      <c r="I329" s="3516">
        <f t="array" ref="I329">IF(A329&lt;&gt;"",C329-G329,0)</f>
        <v>0</v>
      </c>
      <c r="J329" s="3516">
        <f t="array" ref="J329">IF(A329&lt;&gt;"",J328+H329,J328)</f>
        <v>5051283.30222094</v>
      </c>
      <c r="K329" s="666"/>
      <c r="L329" s="1167" t="n"/>
      <c r="M329" s="1167" t="n"/>
      <c r="N329" s="1168" t="n"/>
      <c r="O329" s="1168" t="n"/>
      <c r="P329" s="1168" t="n"/>
      <c r="Q329" s="1168" t="n"/>
      <c r="R329" s="1168" t="n"/>
      <c r="S329" s="1168" t="n"/>
      <c r="T329" s="1168" t="n"/>
      <c r="U329" s="1168" t="n"/>
      <c r="V329" s="1168" t="n"/>
      <c r="W329" s="1168" t="n"/>
      <c r="X329" s="1168" t="n"/>
      <c r="Y329" s="1167" t="n"/>
    </row>
    <row r="330" s="3154" customFormat="1" ht="12.75" customHeight="1">
      <c r="A330" s="1163">
        <f t="array" ref="A330">IF(I329&gt;0.5,A329+1,"")</f>
      </c>
      <c r="B330" s="1164">
        <f t="array" ref="B330">IF(A330&lt;&gt;"",DATE(YEAR($D$9),MONTH($D$9)+A330,DAY($D$9)),"")</f>
      </c>
      <c r="C330" s="1164">
        <f t="array" ref="C330">IF(A330&lt;&gt;"",I329,"")</f>
      </c>
      <c r="D330" s="1164">
        <f t="array" ref="D330">IF(A330&lt;&gt;"",$H$5,"")</f>
      </c>
      <c r="E330" s="3517">
        <v>0</v>
      </c>
      <c r="F330" s="1164">
        <f t="array" ref="F330">IF(A330&lt;&gt;"",D330+E330,"")</f>
      </c>
      <c r="G330" s="3516">
        <f t="array" ref="G330">IF(A330&lt;&gt;"",F330-H330,0)</f>
        <v>0</v>
      </c>
      <c r="H330" s="3516">
        <f t="array" ref="H330">IF(A330&lt;&gt;"",C330*$D$6/$D$8,0)</f>
        <v>0</v>
      </c>
      <c r="I330" s="3516">
        <f t="array" ref="I330">IF(A330&lt;&gt;"",C330-G330,0)</f>
        <v>0</v>
      </c>
      <c r="J330" s="3516">
        <f t="array" ref="J330">IF(A330&lt;&gt;"",J329+H330,J329)</f>
        <v>5051283.30222094</v>
      </c>
      <c r="K330" s="666"/>
      <c r="L330" s="1167" t="n"/>
      <c r="M330" s="1167" t="n"/>
      <c r="N330" s="1168" t="n"/>
      <c r="O330" s="1168" t="n"/>
      <c r="P330" s="1168" t="n"/>
      <c r="Q330" s="1168" t="n"/>
      <c r="R330" s="1168" t="n"/>
      <c r="S330" s="1168" t="n"/>
      <c r="T330" s="1168" t="n"/>
      <c r="U330" s="1168" t="n"/>
      <c r="V330" s="1168" t="n"/>
      <c r="W330" s="1168" t="n"/>
      <c r="X330" s="1168" t="n"/>
      <c r="Y330" s="1167" t="n"/>
    </row>
    <row r="331" s="3154" customFormat="1" ht="12.75" customHeight="1">
      <c r="A331" s="1163">
        <f t="array" ref="A331">IF(I330&gt;0.5,A330+1,"")</f>
      </c>
      <c r="B331" s="1164">
        <f t="array" ref="B331">IF(A331&lt;&gt;"",DATE(YEAR($D$9),MONTH($D$9)+A331,DAY($D$9)),"")</f>
      </c>
      <c r="C331" s="1164">
        <f t="array" ref="C331">IF(A331&lt;&gt;"",I330,"")</f>
      </c>
      <c r="D331" s="1164">
        <f t="array" ref="D331">IF(A331&lt;&gt;"",$H$5,"")</f>
      </c>
      <c r="E331" s="3517">
        <v>0</v>
      </c>
      <c r="F331" s="1164">
        <f t="array" ref="F331">IF(A331&lt;&gt;"",D331+E331,"")</f>
      </c>
      <c r="G331" s="3516">
        <f t="array" ref="G331">IF(A331&lt;&gt;"",F331-H331,0)</f>
        <v>0</v>
      </c>
      <c r="H331" s="3516">
        <f t="array" ref="H331">IF(A331&lt;&gt;"",C331*$D$6/$D$8,0)</f>
        <v>0</v>
      </c>
      <c r="I331" s="3516">
        <f t="array" ref="I331">IF(A331&lt;&gt;"",C331-G331,0)</f>
        <v>0</v>
      </c>
      <c r="J331" s="3516">
        <f t="array" ref="J331">IF(A331&lt;&gt;"",J330+H331,J330)</f>
        <v>5051283.30222094</v>
      </c>
      <c r="K331" s="666"/>
      <c r="L331" s="1167" t="n"/>
      <c r="M331" s="1167" t="n"/>
      <c r="N331" s="1168" t="n"/>
      <c r="O331" s="1168" t="n"/>
      <c r="P331" s="1168" t="n"/>
      <c r="Q331" s="1168" t="n"/>
      <c r="R331" s="1168" t="n"/>
      <c r="S331" s="1168" t="n"/>
      <c r="T331" s="1168" t="n"/>
      <c r="U331" s="1168" t="n"/>
      <c r="V331" s="1168" t="n"/>
      <c r="W331" s="1168" t="n"/>
      <c r="X331" s="1168" t="n"/>
      <c r="Y331" s="1167" t="n"/>
    </row>
    <row r="332" s="3154" customFormat="1" ht="12.75" customHeight="1">
      <c r="A332" s="1163">
        <f t="array" ref="A332">IF(I331&gt;0.5,A331+1,"")</f>
      </c>
      <c r="B332" s="1164">
        <f t="array" ref="B332">IF(A332&lt;&gt;"",DATE(YEAR($D$9),MONTH($D$9)+A332,DAY($D$9)),"")</f>
      </c>
      <c r="C332" s="1164">
        <f t="array" ref="C332">IF(A332&lt;&gt;"",I331,"")</f>
      </c>
      <c r="D332" s="1164">
        <f t="array" ref="D332">IF(A332&lt;&gt;"",$H$5,"")</f>
      </c>
      <c r="E332" s="3517">
        <v>0</v>
      </c>
      <c r="F332" s="1164">
        <f t="array" ref="F332">IF(A332&lt;&gt;"",D332+E332,"")</f>
      </c>
      <c r="G332" s="3516">
        <f t="array" ref="G332">IF(A332&lt;&gt;"",F332-H332,0)</f>
        <v>0</v>
      </c>
      <c r="H332" s="3516">
        <f t="array" ref="H332">IF(A332&lt;&gt;"",C332*$D$6/$D$8,0)</f>
        <v>0</v>
      </c>
      <c r="I332" s="3516">
        <f t="array" ref="I332">IF(A332&lt;&gt;"",C332-G332,0)</f>
        <v>0</v>
      </c>
      <c r="J332" s="3516">
        <f t="array" ref="J332">IF(A332&lt;&gt;"",J331+H332,J331)</f>
        <v>5051283.30222094</v>
      </c>
      <c r="K332" s="666"/>
      <c r="L332" s="1167" t="n"/>
      <c r="M332" s="1167" t="n"/>
      <c r="N332" s="1168" t="n"/>
      <c r="O332" s="1168" t="n"/>
      <c r="P332" s="1168" t="n"/>
      <c r="Q332" s="1168" t="n"/>
      <c r="R332" s="1168" t="n"/>
      <c r="S332" s="1168" t="n"/>
      <c r="T332" s="1168" t="n"/>
      <c r="U332" s="1168" t="n"/>
      <c r="V332" s="1168" t="n"/>
      <c r="W332" s="1168" t="n"/>
      <c r="X332" s="1168" t="n"/>
      <c r="Y332" s="1167" t="n"/>
    </row>
    <row r="333" s="3154" customFormat="1" ht="12.75" customHeight="1">
      <c r="A333" s="1163">
        <f t="array" ref="A333">IF(I332&gt;0.5,A332+1,"")</f>
      </c>
      <c r="B333" s="1164">
        <f t="array" ref="B333">IF(A333&lt;&gt;"",DATE(YEAR($D$9),MONTH($D$9)+A333,DAY($D$9)),"")</f>
      </c>
      <c r="C333" s="1164">
        <f t="array" ref="C333">IF(A333&lt;&gt;"",I332,"")</f>
      </c>
      <c r="D333" s="1164">
        <f t="array" ref="D333">IF(A333&lt;&gt;"",$H$5,"")</f>
      </c>
      <c r="E333" s="3517">
        <v>0</v>
      </c>
      <c r="F333" s="1164">
        <f t="array" ref="F333">IF(A333&lt;&gt;"",D333+E333,"")</f>
      </c>
      <c r="G333" s="3516">
        <f t="array" ref="G333">IF(A333&lt;&gt;"",F333-H333,0)</f>
        <v>0</v>
      </c>
      <c r="H333" s="3516">
        <f t="array" ref="H333">IF(A333&lt;&gt;"",C333*$D$6/$D$8,0)</f>
        <v>0</v>
      </c>
      <c r="I333" s="3516">
        <f t="array" ref="I333">IF(A333&lt;&gt;"",C333-G333,0)</f>
        <v>0</v>
      </c>
      <c r="J333" s="3516">
        <f t="array" ref="J333">IF(A333&lt;&gt;"",J332+H333,J332)</f>
        <v>5051283.30222094</v>
      </c>
      <c r="K333" s="666"/>
      <c r="L333" s="1167" t="n"/>
      <c r="M333" s="1167" t="n"/>
      <c r="N333" s="1168" t="n"/>
      <c r="O333" s="1168" t="n"/>
      <c r="P333" s="1168" t="n"/>
      <c r="Q333" s="1168" t="n"/>
      <c r="R333" s="1168" t="n"/>
      <c r="S333" s="1168" t="n"/>
      <c r="T333" s="1168" t="n"/>
      <c r="U333" s="1168" t="n"/>
      <c r="V333" s="1168" t="n"/>
      <c r="W333" s="1168" t="n"/>
      <c r="X333" s="1168" t="n"/>
      <c r="Y333" s="1167" t="n"/>
    </row>
    <row r="334" s="3154" customFormat="1" ht="12.75" customHeight="1">
      <c r="A334" s="1163">
        <f t="array" ref="A334">IF(I333&gt;0.5,A333+1,"")</f>
      </c>
      <c r="B334" s="1164">
        <f t="array" ref="B334">IF(A334&lt;&gt;"",DATE(YEAR($D$9),MONTH($D$9)+A334,DAY($D$9)),"")</f>
      </c>
      <c r="C334" s="1164">
        <f t="array" ref="C334">IF(A334&lt;&gt;"",I333,"")</f>
      </c>
      <c r="D334" s="1164">
        <f t="array" ref="D334">IF(A334&lt;&gt;"",$H$5,"")</f>
      </c>
      <c r="E334" s="3517">
        <v>0</v>
      </c>
      <c r="F334" s="1164">
        <f t="array" ref="F334">IF(A334&lt;&gt;"",D334+E334,"")</f>
      </c>
      <c r="G334" s="3516">
        <f t="array" ref="G334">IF(A334&lt;&gt;"",F334-H334,0)</f>
        <v>0</v>
      </c>
      <c r="H334" s="3516">
        <f t="array" ref="H334">IF(A334&lt;&gt;"",C334*$D$6/$D$8,0)</f>
        <v>0</v>
      </c>
      <c r="I334" s="3516">
        <f t="array" ref="I334">IF(A334&lt;&gt;"",C334-G334,0)</f>
        <v>0</v>
      </c>
      <c r="J334" s="3516">
        <f t="array" ref="J334">IF(A334&lt;&gt;"",J333+H334,J333)</f>
        <v>5051283.30222094</v>
      </c>
      <c r="K334" s="666"/>
      <c r="L334" s="1167" t="n"/>
      <c r="M334" s="1167" t="n"/>
      <c r="N334" s="1168" t="n"/>
      <c r="O334" s="1168" t="n"/>
      <c r="P334" s="1168" t="n"/>
      <c r="Q334" s="1168" t="n"/>
      <c r="R334" s="1168" t="n"/>
      <c r="S334" s="1168" t="n"/>
      <c r="T334" s="1168" t="n"/>
      <c r="U334" s="1168" t="n"/>
      <c r="V334" s="1168" t="n"/>
      <c r="W334" s="1168" t="n"/>
      <c r="X334" s="1168" t="n"/>
      <c r="Y334" s="1167" t="n"/>
    </row>
    <row r="335" s="3154" customFormat="1" ht="12.75" customHeight="1">
      <c r="A335" s="1163">
        <f t="array" ref="A335">IF(I334&gt;0.5,A334+1,"")</f>
      </c>
      <c r="B335" s="1164">
        <f t="array" ref="B335">IF(A335&lt;&gt;"",DATE(YEAR($D$9),MONTH($D$9)+A335,DAY($D$9)),"")</f>
      </c>
      <c r="C335" s="1164">
        <f t="array" ref="C335">IF(A335&lt;&gt;"",I334,"")</f>
      </c>
      <c r="D335" s="1164">
        <f t="array" ref="D335">IF(A335&lt;&gt;"",$H$5,"")</f>
      </c>
      <c r="E335" s="3517">
        <v>0</v>
      </c>
      <c r="F335" s="1164">
        <f t="array" ref="F335">IF(A335&lt;&gt;"",D335+E335,"")</f>
      </c>
      <c r="G335" s="3516">
        <f t="array" ref="G335">IF(A335&lt;&gt;"",F335-H335,0)</f>
        <v>0</v>
      </c>
      <c r="H335" s="3516">
        <f t="array" ref="H335">IF(A335&lt;&gt;"",C335*$D$6/$D$8,0)</f>
        <v>0</v>
      </c>
      <c r="I335" s="3516">
        <f t="array" ref="I335">IF(A335&lt;&gt;"",C335-G335,0)</f>
        <v>0</v>
      </c>
      <c r="J335" s="3516">
        <f t="array" ref="J335">IF(A335&lt;&gt;"",J334+H335,J334)</f>
        <v>5051283.30222094</v>
      </c>
      <c r="K335" s="666"/>
      <c r="L335" s="1167" t="n"/>
      <c r="M335" s="1167" t="n"/>
      <c r="N335" s="1168" t="n"/>
      <c r="O335" s="1168" t="n"/>
      <c r="P335" s="1168" t="n"/>
      <c r="Q335" s="1168" t="n"/>
      <c r="R335" s="1168" t="n"/>
      <c r="S335" s="1168" t="n"/>
      <c r="T335" s="1168" t="n"/>
      <c r="U335" s="1168" t="n"/>
      <c r="V335" s="1168" t="n"/>
      <c r="W335" s="1168" t="n"/>
      <c r="X335" s="1168" t="n"/>
      <c r="Y335" s="1167" t="n"/>
    </row>
    <row r="336" s="3154" customFormat="1" ht="12.75" customHeight="1">
      <c r="A336" s="1163">
        <f t="array" ref="A336">IF(I335&gt;0.5,A335+1,"")</f>
      </c>
      <c r="B336" s="1164">
        <f t="array" ref="B336">IF(A336&lt;&gt;"",DATE(YEAR($D$9),MONTH($D$9)+A336,DAY($D$9)),"")</f>
      </c>
      <c r="C336" s="1164">
        <f t="array" ref="C336">IF(A336&lt;&gt;"",I335,"")</f>
      </c>
      <c r="D336" s="1164">
        <f t="array" ref="D336">IF(A336&lt;&gt;"",$H$5,"")</f>
      </c>
      <c r="E336" s="3517">
        <v>0</v>
      </c>
      <c r="F336" s="1164">
        <f t="array" ref="F336">IF(A336&lt;&gt;"",D336+E336,"")</f>
      </c>
      <c r="G336" s="3516">
        <f t="array" ref="G336">IF(A336&lt;&gt;"",F336-H336,0)</f>
        <v>0</v>
      </c>
      <c r="H336" s="3516">
        <f t="array" ref="H336">IF(A336&lt;&gt;"",C336*$D$6/$D$8,0)</f>
        <v>0</v>
      </c>
      <c r="I336" s="3516">
        <f t="array" ref="I336">IF(A336&lt;&gt;"",C336-G336,0)</f>
        <v>0</v>
      </c>
      <c r="J336" s="3516">
        <f t="array" ref="J336">IF(A336&lt;&gt;"",J335+H336,J335)</f>
        <v>5051283.30222094</v>
      </c>
      <c r="K336" s="666"/>
      <c r="L336" s="1167" t="n"/>
      <c r="M336" s="1167" t="n"/>
      <c r="N336" s="1168" t="n"/>
      <c r="O336" s="1168" t="n"/>
      <c r="P336" s="1168" t="n"/>
      <c r="Q336" s="1168" t="n"/>
      <c r="R336" s="1168" t="n"/>
      <c r="S336" s="1168" t="n"/>
      <c r="T336" s="1168" t="n"/>
      <c r="U336" s="1168" t="n"/>
      <c r="V336" s="1168" t="n"/>
      <c r="W336" s="1168" t="n"/>
      <c r="X336" s="1168" t="n"/>
      <c r="Y336" s="1167" t="n"/>
    </row>
    <row r="337" s="3154" customFormat="1" ht="12.75" customHeight="1">
      <c r="A337" s="1163">
        <f t="array" ref="A337">IF(I336&gt;0.5,A336+1,"")</f>
      </c>
      <c r="B337" s="1164">
        <f t="array" ref="B337">IF(A337&lt;&gt;"",DATE(YEAR($D$9),MONTH($D$9)+A337,DAY($D$9)),"")</f>
      </c>
      <c r="C337" s="1164">
        <f t="array" ref="C337">IF(A337&lt;&gt;"",I336,"")</f>
      </c>
      <c r="D337" s="1164">
        <f t="array" ref="D337">IF(A337&lt;&gt;"",$H$5,"")</f>
      </c>
      <c r="E337" s="3517">
        <v>0</v>
      </c>
      <c r="F337" s="1164">
        <f t="array" ref="F337">IF(A337&lt;&gt;"",D337+E337,"")</f>
      </c>
      <c r="G337" s="3516">
        <f t="array" ref="G337">IF(A337&lt;&gt;"",F337-H337,0)</f>
        <v>0</v>
      </c>
      <c r="H337" s="3516">
        <f t="array" ref="H337">IF(A337&lt;&gt;"",C337*$D$6/$D$8,0)</f>
        <v>0</v>
      </c>
      <c r="I337" s="3516">
        <f t="array" ref="I337">IF(A337&lt;&gt;"",C337-G337,0)</f>
        <v>0</v>
      </c>
      <c r="J337" s="3516">
        <f t="array" ref="J337">IF(A337&lt;&gt;"",J336+H337,J336)</f>
        <v>5051283.30222094</v>
      </c>
      <c r="K337" s="666"/>
      <c r="L337" s="1167" t="n"/>
      <c r="M337" s="1167" t="n"/>
      <c r="N337" s="1168" t="n"/>
      <c r="O337" s="1168" t="n"/>
      <c r="P337" s="1168" t="n"/>
      <c r="Q337" s="1168" t="n"/>
      <c r="R337" s="1168" t="n"/>
      <c r="S337" s="1168" t="n"/>
      <c r="T337" s="1168" t="n"/>
      <c r="U337" s="1168" t="n"/>
      <c r="V337" s="1168" t="n"/>
      <c r="W337" s="1168" t="n"/>
      <c r="X337" s="1168" t="n"/>
      <c r="Y337" s="1167" t="n"/>
    </row>
    <row r="338" s="3154" customFormat="1" ht="12.75" customHeight="1">
      <c r="A338" s="1163">
        <f t="array" ref="A338">IF(I337&gt;0.5,A337+1,"")</f>
      </c>
      <c r="B338" s="1164">
        <f t="array" ref="B338">IF(A338&lt;&gt;"",DATE(YEAR($D$9),MONTH($D$9)+A338,DAY($D$9)),"")</f>
      </c>
      <c r="C338" s="1164">
        <f t="array" ref="C338">IF(A338&lt;&gt;"",I337,"")</f>
      </c>
      <c r="D338" s="1164">
        <f t="array" ref="D338">IF(A338&lt;&gt;"",$H$5,"")</f>
      </c>
      <c r="E338" s="3517">
        <v>0</v>
      </c>
      <c r="F338" s="1164">
        <f t="array" ref="F338">IF(A338&lt;&gt;"",D338+E338,"")</f>
      </c>
      <c r="G338" s="3516">
        <f t="array" ref="G338">IF(A338&lt;&gt;"",F338-H338,0)</f>
        <v>0</v>
      </c>
      <c r="H338" s="3516">
        <f t="array" ref="H338">IF(A338&lt;&gt;"",C338*$D$6/$D$8,0)</f>
        <v>0</v>
      </c>
      <c r="I338" s="3516">
        <f t="array" ref="I338">IF(A338&lt;&gt;"",C338-G338,0)</f>
        <v>0</v>
      </c>
      <c r="J338" s="3516">
        <f t="array" ref="J338">IF(A338&lt;&gt;"",J337+H338,J337)</f>
        <v>5051283.30222094</v>
      </c>
      <c r="K338" s="666"/>
      <c r="L338" s="1167" t="n"/>
      <c r="M338" s="1167" t="n"/>
      <c r="N338" s="1168" t="n"/>
      <c r="O338" s="1168" t="n"/>
      <c r="P338" s="1168" t="n"/>
      <c r="Q338" s="1168" t="n"/>
      <c r="R338" s="1168" t="n"/>
      <c r="S338" s="1168" t="n"/>
      <c r="T338" s="1168" t="n"/>
      <c r="U338" s="1168" t="n"/>
      <c r="V338" s="1168" t="n"/>
      <c r="W338" s="1168" t="n"/>
      <c r="X338" s="1168" t="n"/>
      <c r="Y338" s="1167" t="n"/>
    </row>
    <row r="339" s="3154" customFormat="1" ht="12.75" customHeight="1">
      <c r="A339" s="1163">
        <f t="array" ref="A339">IF(I338&gt;0.5,A338+1,"")</f>
      </c>
      <c r="B339" s="1164">
        <f t="array" ref="B339">IF(A339&lt;&gt;"",DATE(YEAR($D$9),MONTH($D$9)+A339,DAY($D$9)),"")</f>
      </c>
      <c r="C339" s="1164">
        <f t="array" ref="C339">IF(A339&lt;&gt;"",I338,"")</f>
      </c>
      <c r="D339" s="1164">
        <f t="array" ref="D339">IF(A339&lt;&gt;"",$H$5,"")</f>
      </c>
      <c r="E339" s="3517">
        <v>0</v>
      </c>
      <c r="F339" s="1164">
        <f t="array" ref="F339">IF(A339&lt;&gt;"",D339+E339,"")</f>
      </c>
      <c r="G339" s="3516">
        <f t="array" ref="G339">IF(A339&lt;&gt;"",F339-H339,0)</f>
        <v>0</v>
      </c>
      <c r="H339" s="3516">
        <f t="array" ref="H339">IF(A339&lt;&gt;"",C339*$D$6/$D$8,0)</f>
        <v>0</v>
      </c>
      <c r="I339" s="3516">
        <f t="array" ref="I339">IF(A339&lt;&gt;"",C339-G339,0)</f>
        <v>0</v>
      </c>
      <c r="J339" s="3516">
        <f t="array" ref="J339">IF(A339&lt;&gt;"",J338+H339,J338)</f>
        <v>5051283.30222094</v>
      </c>
      <c r="K339" s="666"/>
      <c r="L339" s="1167" t="n"/>
      <c r="M339" s="1167" t="n"/>
      <c r="N339" s="1168" t="n"/>
      <c r="O339" s="1168" t="n"/>
      <c r="P339" s="1168" t="n"/>
      <c r="Q339" s="1168" t="n"/>
      <c r="R339" s="1168" t="n"/>
      <c r="S339" s="1168" t="n"/>
      <c r="T339" s="1168" t="n"/>
      <c r="U339" s="1168" t="n"/>
      <c r="V339" s="1168" t="n"/>
      <c r="W339" s="1168" t="n"/>
      <c r="X339" s="1168" t="n"/>
      <c r="Y339" s="1167" t="n"/>
    </row>
    <row r="340" s="3154" customFormat="1" ht="12.75" customHeight="1">
      <c r="A340" s="1163">
        <f t="array" ref="A340">IF(I339&gt;0.5,A339+1,"")</f>
      </c>
      <c r="B340" s="1164">
        <f t="array" ref="B340">IF(A340&lt;&gt;"",DATE(YEAR($D$9),MONTH($D$9)+A340,DAY($D$9)),"")</f>
      </c>
      <c r="C340" s="1164">
        <f t="array" ref="C340">IF(A340&lt;&gt;"",I339,"")</f>
      </c>
      <c r="D340" s="1164">
        <f t="array" ref="D340">IF(A340&lt;&gt;"",$H$5,"")</f>
      </c>
      <c r="E340" s="3517">
        <v>0</v>
      </c>
      <c r="F340" s="1164">
        <f t="array" ref="F340">IF(A340&lt;&gt;"",D340+E340,"")</f>
      </c>
      <c r="G340" s="3516">
        <f t="array" ref="G340">IF(A340&lt;&gt;"",F340-H340,0)</f>
        <v>0</v>
      </c>
      <c r="H340" s="3516">
        <f t="array" ref="H340">IF(A340&lt;&gt;"",C340*$D$6/$D$8,0)</f>
        <v>0</v>
      </c>
      <c r="I340" s="3516">
        <f t="array" ref="I340">IF(A340&lt;&gt;"",C340-G340,0)</f>
        <v>0</v>
      </c>
      <c r="J340" s="3516">
        <f t="array" ref="J340">IF(A340&lt;&gt;"",J339+H340,J339)</f>
        <v>5051283.30222094</v>
      </c>
      <c r="K340" s="666"/>
      <c r="L340" s="1167" t="n"/>
      <c r="M340" s="1167" t="n"/>
      <c r="N340" s="1168" t="n"/>
      <c r="O340" s="1168" t="n"/>
      <c r="P340" s="1168" t="n"/>
      <c r="Q340" s="1168" t="n"/>
      <c r="R340" s="1168" t="n"/>
      <c r="S340" s="1168" t="n"/>
      <c r="T340" s="1168" t="n"/>
      <c r="U340" s="1168" t="n"/>
      <c r="V340" s="1168" t="n"/>
      <c r="W340" s="1168" t="n"/>
      <c r="X340" s="1168" t="n"/>
      <c r="Y340" s="1167" t="n"/>
    </row>
    <row r="341" s="3154" customFormat="1" ht="12.75" customHeight="1">
      <c r="A341" s="1163">
        <f t="array" ref="A341">IF(I340&gt;0.5,A340+1,"")</f>
      </c>
      <c r="B341" s="1164">
        <f t="array" ref="B341">IF(A341&lt;&gt;"",DATE(YEAR($D$9),MONTH($D$9)+A341,DAY($D$9)),"")</f>
      </c>
      <c r="C341" s="1164">
        <f t="array" ref="C341">IF(A341&lt;&gt;"",I340,"")</f>
      </c>
      <c r="D341" s="1164">
        <f t="array" ref="D341">IF(A341&lt;&gt;"",$H$5,"")</f>
      </c>
      <c r="E341" s="3517">
        <v>0</v>
      </c>
      <c r="F341" s="1164">
        <f t="array" ref="F341">IF(A341&lt;&gt;"",D341+E341,"")</f>
      </c>
      <c r="G341" s="3516">
        <f t="array" ref="G341">IF(A341&lt;&gt;"",F341-H341,0)</f>
        <v>0</v>
      </c>
      <c r="H341" s="3516">
        <f t="array" ref="H341">IF(A341&lt;&gt;"",C341*$D$6/$D$8,0)</f>
        <v>0</v>
      </c>
      <c r="I341" s="3516">
        <f t="array" ref="I341">IF(A341&lt;&gt;"",C341-G341,0)</f>
        <v>0</v>
      </c>
      <c r="J341" s="3516">
        <f t="array" ref="J341">IF(A341&lt;&gt;"",J340+H341,J340)</f>
        <v>5051283.30222094</v>
      </c>
      <c r="K341" s="666"/>
      <c r="L341" s="1167" t="n"/>
      <c r="M341" s="1167" t="n"/>
      <c r="N341" s="1168" t="n"/>
      <c r="O341" s="1168" t="n"/>
      <c r="P341" s="1168" t="n"/>
      <c r="Q341" s="1168" t="n"/>
      <c r="R341" s="1168" t="n"/>
      <c r="S341" s="1168" t="n"/>
      <c r="T341" s="1168" t="n"/>
      <c r="U341" s="1168" t="n"/>
      <c r="V341" s="1168" t="n"/>
      <c r="W341" s="1168" t="n"/>
      <c r="X341" s="1168" t="n"/>
      <c r="Y341" s="1167" t="n"/>
    </row>
    <row r="342" s="3154" customFormat="1" ht="12.75" customHeight="1">
      <c r="A342" s="1163">
        <f t="array" ref="A342">IF(I341&gt;0.5,A341+1,"")</f>
      </c>
      <c r="B342" s="1164">
        <f t="array" ref="B342">IF(A342&lt;&gt;"",DATE(YEAR($D$9),MONTH($D$9)+A342,DAY($D$9)),"")</f>
      </c>
      <c r="C342" s="1164">
        <f t="array" ref="C342">IF(A342&lt;&gt;"",I341,"")</f>
      </c>
      <c r="D342" s="1164">
        <f t="array" ref="D342">IF(A342&lt;&gt;"",$H$5,"")</f>
      </c>
      <c r="E342" s="3517">
        <v>0</v>
      </c>
      <c r="F342" s="1164">
        <f t="array" ref="F342">IF(A342&lt;&gt;"",D342+E342,"")</f>
      </c>
      <c r="G342" s="3516">
        <f t="array" ref="G342">IF(A342&lt;&gt;"",F342-H342,0)</f>
        <v>0</v>
      </c>
      <c r="H342" s="3516">
        <f t="array" ref="H342">IF(A342&lt;&gt;"",C342*$D$6/$D$8,0)</f>
        <v>0</v>
      </c>
      <c r="I342" s="3516">
        <f t="array" ref="I342">IF(A342&lt;&gt;"",C342-G342,0)</f>
        <v>0</v>
      </c>
      <c r="J342" s="3516">
        <f t="array" ref="J342">IF(A342&lt;&gt;"",J341+H342,J341)</f>
        <v>5051283.30222094</v>
      </c>
      <c r="K342" s="666"/>
      <c r="L342" s="1167" t="n"/>
      <c r="M342" s="1167" t="n"/>
      <c r="N342" s="1168" t="n"/>
      <c r="O342" s="1168" t="n"/>
      <c r="P342" s="1168" t="n"/>
      <c r="Q342" s="1168" t="n"/>
      <c r="R342" s="1168" t="n"/>
      <c r="S342" s="1168" t="n"/>
      <c r="T342" s="1168" t="n"/>
      <c r="U342" s="1168" t="n"/>
      <c r="V342" s="1168" t="n"/>
      <c r="W342" s="1168" t="n"/>
      <c r="X342" s="1168" t="n"/>
      <c r="Y342" s="1167" t="n"/>
    </row>
    <row r="343" s="3154" customFormat="1" ht="12.75" customHeight="1">
      <c r="A343" s="1163">
        <f t="array" ref="A343">IF(I342&gt;0.5,A342+1,"")</f>
      </c>
      <c r="B343" s="1164">
        <f t="array" ref="B343">IF(A343&lt;&gt;"",DATE(YEAR($D$9),MONTH($D$9)+A343,DAY($D$9)),"")</f>
      </c>
      <c r="C343" s="1164">
        <f t="array" ref="C343">IF(A343&lt;&gt;"",I342,"")</f>
      </c>
      <c r="D343" s="1164">
        <f t="array" ref="D343">IF(A343&lt;&gt;"",$H$5,"")</f>
      </c>
      <c r="E343" s="3517">
        <v>0</v>
      </c>
      <c r="F343" s="1164">
        <f t="array" ref="F343">IF(A343&lt;&gt;"",D343+E343,"")</f>
      </c>
      <c r="G343" s="3516">
        <f t="array" ref="G343">IF(A343&lt;&gt;"",F343-H343,0)</f>
        <v>0</v>
      </c>
      <c r="H343" s="3516">
        <f t="array" ref="H343">IF(A343&lt;&gt;"",C343*$D$6/$D$8,0)</f>
        <v>0</v>
      </c>
      <c r="I343" s="3516">
        <f t="array" ref="I343">IF(A343&lt;&gt;"",C343-G343,0)</f>
        <v>0</v>
      </c>
      <c r="J343" s="3516">
        <f t="array" ref="J343">IF(A343&lt;&gt;"",J342+H343,J342)</f>
        <v>5051283.30222094</v>
      </c>
      <c r="K343" s="666"/>
      <c r="L343" s="1167" t="n"/>
      <c r="M343" s="1167" t="n"/>
      <c r="N343" s="1168" t="n"/>
      <c r="O343" s="1168" t="n"/>
      <c r="P343" s="1168" t="n"/>
      <c r="Q343" s="1168" t="n"/>
      <c r="R343" s="1168" t="n"/>
      <c r="S343" s="1168" t="n"/>
      <c r="T343" s="1168" t="n"/>
      <c r="U343" s="1168" t="n"/>
      <c r="V343" s="1168" t="n"/>
      <c r="W343" s="1168" t="n"/>
      <c r="X343" s="1168" t="n"/>
      <c r="Y343" s="1167" t="n"/>
    </row>
    <row r="344" s="3154" customFormat="1" ht="12.75" customHeight="1">
      <c r="A344" s="1163">
        <f t="array" ref="A344">IF(I343&gt;0.5,A343+1,"")</f>
      </c>
      <c r="B344" s="1164">
        <f t="array" ref="B344">IF(A344&lt;&gt;"",DATE(YEAR($D$9),MONTH($D$9)+A344,DAY($D$9)),"")</f>
      </c>
      <c r="C344" s="1164">
        <f t="array" ref="C344">IF(A344&lt;&gt;"",I343,"")</f>
      </c>
      <c r="D344" s="1164">
        <f t="array" ref="D344">IF(A344&lt;&gt;"",$H$5,"")</f>
      </c>
      <c r="E344" s="3517">
        <v>0</v>
      </c>
      <c r="F344" s="1164">
        <f t="array" ref="F344">IF(A344&lt;&gt;"",D344+E344,"")</f>
      </c>
      <c r="G344" s="3516">
        <f t="array" ref="G344">IF(A344&lt;&gt;"",F344-H344,0)</f>
        <v>0</v>
      </c>
      <c r="H344" s="3516">
        <f t="array" ref="H344">IF(A344&lt;&gt;"",C344*$D$6/$D$8,0)</f>
        <v>0</v>
      </c>
      <c r="I344" s="3516">
        <f t="array" ref="I344">IF(A344&lt;&gt;"",C344-G344,0)</f>
        <v>0</v>
      </c>
      <c r="J344" s="3516">
        <f t="array" ref="J344">IF(A344&lt;&gt;"",J343+H344,J343)</f>
        <v>5051283.30222094</v>
      </c>
      <c r="K344" s="666"/>
      <c r="L344" s="1167" t="n"/>
      <c r="M344" s="1167" t="n"/>
      <c r="N344" s="1168" t="n"/>
      <c r="O344" s="1168" t="n"/>
      <c r="P344" s="1168" t="n"/>
      <c r="Q344" s="1168" t="n"/>
      <c r="R344" s="1168" t="n"/>
      <c r="S344" s="1168" t="n"/>
      <c r="T344" s="1168" t="n"/>
      <c r="U344" s="1168" t="n"/>
      <c r="V344" s="1168" t="n"/>
      <c r="W344" s="1168" t="n"/>
      <c r="X344" s="1168" t="n"/>
      <c r="Y344" s="1167" t="n"/>
    </row>
    <row r="345" s="3154" customFormat="1" ht="12.75" customHeight="1">
      <c r="A345" s="1163">
        <f t="array" ref="A345">IF(I344&gt;0.5,A344+1,"")</f>
      </c>
      <c r="B345" s="1164">
        <f t="array" ref="B345">IF(A345&lt;&gt;"",DATE(YEAR($D$9),MONTH($D$9)+A345,DAY($D$9)),"")</f>
      </c>
      <c r="C345" s="1164">
        <f t="array" ref="C345">IF(A345&lt;&gt;"",I344,"")</f>
      </c>
      <c r="D345" s="1164">
        <f t="array" ref="D345">IF(A345&lt;&gt;"",$H$5,"")</f>
      </c>
      <c r="E345" s="3517">
        <v>0</v>
      </c>
      <c r="F345" s="1164">
        <f t="array" ref="F345">IF(A345&lt;&gt;"",D345+E345,"")</f>
      </c>
      <c r="G345" s="3516">
        <f t="array" ref="G345">IF(A345&lt;&gt;"",F345-H345,0)</f>
        <v>0</v>
      </c>
      <c r="H345" s="3516">
        <f t="array" ref="H345">IF(A345&lt;&gt;"",C345*$D$6/$D$8,0)</f>
        <v>0</v>
      </c>
      <c r="I345" s="3516">
        <f t="array" ref="I345">IF(A345&lt;&gt;"",C345-G345,0)</f>
        <v>0</v>
      </c>
      <c r="J345" s="3516">
        <f t="array" ref="J345">IF(A345&lt;&gt;"",J344+H345,J344)</f>
        <v>5051283.30222094</v>
      </c>
      <c r="K345" s="666"/>
      <c r="L345" s="1167" t="n"/>
      <c r="M345" s="1167" t="n"/>
      <c r="N345" s="1168" t="n"/>
      <c r="O345" s="1168" t="n"/>
      <c r="P345" s="1168" t="n"/>
      <c r="Q345" s="1168" t="n"/>
      <c r="R345" s="1168" t="n"/>
      <c r="S345" s="1168" t="n"/>
      <c r="T345" s="1168" t="n"/>
      <c r="U345" s="1168" t="n"/>
      <c r="V345" s="1168" t="n"/>
      <c r="W345" s="1168" t="n"/>
      <c r="X345" s="1168" t="n"/>
      <c r="Y345" s="1167" t="n"/>
    </row>
    <row r="346" s="3154" customFormat="1" ht="12.75" customHeight="1">
      <c r="A346" s="1163">
        <f t="array" ref="A346">IF(I345&gt;0.5,A345+1,"")</f>
      </c>
      <c r="B346" s="1164">
        <f t="array" ref="B346">IF(A346&lt;&gt;"",DATE(YEAR($D$9),MONTH($D$9)+A346,DAY($D$9)),"")</f>
      </c>
      <c r="C346" s="1164">
        <f t="array" ref="C346">IF(A346&lt;&gt;"",I345,"")</f>
      </c>
      <c r="D346" s="1164">
        <f t="array" ref="D346">IF(A346&lt;&gt;"",$H$5,"")</f>
      </c>
      <c r="E346" s="3517">
        <v>0</v>
      </c>
      <c r="F346" s="1164">
        <f t="array" ref="F346">IF(A346&lt;&gt;"",D346+E346,"")</f>
      </c>
      <c r="G346" s="3516">
        <f t="array" ref="G346">IF(A346&lt;&gt;"",F346-H346,0)</f>
        <v>0</v>
      </c>
      <c r="H346" s="3516">
        <f t="array" ref="H346">IF(A346&lt;&gt;"",C346*$D$6/$D$8,0)</f>
        <v>0</v>
      </c>
      <c r="I346" s="3516">
        <f t="array" ref="I346">IF(A346&lt;&gt;"",C346-G346,0)</f>
        <v>0</v>
      </c>
      <c r="J346" s="3516">
        <f t="array" ref="J346">IF(A346&lt;&gt;"",J345+H346,J345)</f>
        <v>5051283.30222094</v>
      </c>
      <c r="K346" s="666"/>
      <c r="L346" s="1167" t="n"/>
      <c r="M346" s="1167" t="n"/>
      <c r="N346" s="1168" t="n"/>
      <c r="O346" s="1168" t="n"/>
      <c r="P346" s="1168" t="n"/>
      <c r="Q346" s="1168" t="n"/>
      <c r="R346" s="1168" t="n"/>
      <c r="S346" s="1168" t="n"/>
      <c r="T346" s="1168" t="n"/>
      <c r="U346" s="1168" t="n"/>
      <c r="V346" s="1168" t="n"/>
      <c r="W346" s="1168" t="n"/>
      <c r="X346" s="1168" t="n"/>
      <c r="Y346" s="1167" t="n"/>
    </row>
    <row r="347" s="3154" customFormat="1" ht="12.75" customHeight="1">
      <c r="A347" s="1163">
        <f t="array" ref="A347">IF(I346&gt;0.5,A346+1,"")</f>
      </c>
      <c r="B347" s="1164">
        <f t="array" ref="B347">IF(A347&lt;&gt;"",DATE(YEAR($D$9),MONTH($D$9)+A347,DAY($D$9)),"")</f>
      </c>
      <c r="C347" s="1164">
        <f t="array" ref="C347">IF(A347&lt;&gt;"",I346,"")</f>
      </c>
      <c r="D347" s="1164">
        <f t="array" ref="D347">IF(A347&lt;&gt;"",$H$5,"")</f>
      </c>
      <c r="E347" s="3517">
        <v>0</v>
      </c>
      <c r="F347" s="1164">
        <f t="array" ref="F347">IF(A347&lt;&gt;"",D347+E347,"")</f>
      </c>
      <c r="G347" s="3516">
        <f t="array" ref="G347">IF(A347&lt;&gt;"",F347-H347,0)</f>
        <v>0</v>
      </c>
      <c r="H347" s="3516">
        <f t="array" ref="H347">IF(A347&lt;&gt;"",C347*$D$6/$D$8,0)</f>
        <v>0</v>
      </c>
      <c r="I347" s="3516">
        <f t="array" ref="I347">IF(A347&lt;&gt;"",C347-G347,0)</f>
        <v>0</v>
      </c>
      <c r="J347" s="3516">
        <f t="array" ref="J347">IF(A347&lt;&gt;"",J346+H347,J346)</f>
        <v>5051283.30222094</v>
      </c>
      <c r="K347" s="666"/>
      <c r="L347" s="1167" t="n"/>
      <c r="M347" s="1167" t="n"/>
      <c r="N347" s="1168" t="n"/>
      <c r="O347" s="1168" t="n"/>
      <c r="P347" s="1168" t="n"/>
      <c r="Q347" s="1168" t="n"/>
      <c r="R347" s="1168" t="n"/>
      <c r="S347" s="1168" t="n"/>
      <c r="T347" s="1168" t="n"/>
      <c r="U347" s="1168" t="n"/>
      <c r="V347" s="1168" t="n"/>
      <c r="W347" s="1168" t="n"/>
      <c r="X347" s="1168" t="n"/>
      <c r="Y347" s="1167" t="n"/>
    </row>
    <row r="348" s="3154" customFormat="1" ht="12.75" customHeight="1">
      <c r="A348" s="1163">
        <f t="array" ref="A348">IF(I347&gt;0.5,A347+1,"")</f>
      </c>
      <c r="B348" s="1164">
        <f t="array" ref="B348">IF(A348&lt;&gt;"",DATE(YEAR($D$9),MONTH($D$9)+A348,DAY($D$9)),"")</f>
      </c>
      <c r="C348" s="1164">
        <f t="array" ref="C348">IF(A348&lt;&gt;"",I347,"")</f>
      </c>
      <c r="D348" s="1164">
        <f t="array" ref="D348">IF(A348&lt;&gt;"",$H$5,"")</f>
      </c>
      <c r="E348" s="3517">
        <v>0</v>
      </c>
      <c r="F348" s="1164">
        <f t="array" ref="F348">IF(A348&lt;&gt;"",D348+E348,"")</f>
      </c>
      <c r="G348" s="3516">
        <f t="array" ref="G348">IF(A348&lt;&gt;"",F348-H348,0)</f>
        <v>0</v>
      </c>
      <c r="H348" s="3516">
        <f t="array" ref="H348">IF(A348&lt;&gt;"",C348*$D$6/$D$8,0)</f>
        <v>0</v>
      </c>
      <c r="I348" s="3516">
        <f t="array" ref="I348">IF(A348&lt;&gt;"",C348-G348,0)</f>
        <v>0</v>
      </c>
      <c r="J348" s="3516">
        <f t="array" ref="J348">IF(A348&lt;&gt;"",J347+H348,J347)</f>
        <v>5051283.30222094</v>
      </c>
      <c r="K348" s="666"/>
      <c r="L348" s="1167" t="n"/>
      <c r="M348" s="1167" t="n"/>
      <c r="N348" s="1168" t="n"/>
      <c r="O348" s="1168" t="n"/>
      <c r="P348" s="1168" t="n"/>
      <c r="Q348" s="1168" t="n"/>
      <c r="R348" s="1168" t="n"/>
      <c r="S348" s="1168" t="n"/>
      <c r="T348" s="1168" t="n"/>
      <c r="U348" s="1168" t="n"/>
      <c r="V348" s="1168" t="n"/>
      <c r="W348" s="1168" t="n"/>
      <c r="X348" s="1168" t="n"/>
      <c r="Y348" s="1167" t="n"/>
    </row>
    <row r="349" s="3154" customFormat="1" ht="12.75" customHeight="1">
      <c r="A349" s="1163">
        <f t="array" ref="A349">IF(I348&gt;0.5,A348+1,"")</f>
      </c>
      <c r="B349" s="1164">
        <f t="array" ref="B349">IF(A349&lt;&gt;"",DATE(YEAR($D$9),MONTH($D$9)+A349,DAY($D$9)),"")</f>
      </c>
      <c r="C349" s="1164">
        <f t="array" ref="C349">IF(A349&lt;&gt;"",I348,"")</f>
      </c>
      <c r="D349" s="1164">
        <f t="array" ref="D349">IF(A349&lt;&gt;"",$H$5,"")</f>
      </c>
      <c r="E349" s="3517">
        <v>0</v>
      </c>
      <c r="F349" s="1164">
        <f t="array" ref="F349">IF(A349&lt;&gt;"",D349+E349,"")</f>
      </c>
      <c r="G349" s="3516">
        <f t="array" ref="G349">IF(A349&lt;&gt;"",F349-H349,0)</f>
        <v>0</v>
      </c>
      <c r="H349" s="3516">
        <f t="array" ref="H349">IF(A349&lt;&gt;"",C349*$D$6/$D$8,0)</f>
        <v>0</v>
      </c>
      <c r="I349" s="3516">
        <f t="array" ref="I349">IF(A349&lt;&gt;"",C349-G349,0)</f>
        <v>0</v>
      </c>
      <c r="J349" s="3516">
        <f t="array" ref="J349">IF(A349&lt;&gt;"",J348+H349,J348)</f>
        <v>5051283.30222094</v>
      </c>
      <c r="K349" s="666"/>
      <c r="L349" s="1167" t="n"/>
      <c r="M349" s="1167" t="n"/>
      <c r="N349" s="1168" t="n"/>
      <c r="O349" s="1168" t="n"/>
      <c r="P349" s="1168" t="n"/>
      <c r="Q349" s="1168" t="n"/>
      <c r="R349" s="1168" t="n"/>
      <c r="S349" s="1168" t="n"/>
      <c r="T349" s="1168" t="n"/>
      <c r="U349" s="1168" t="n"/>
      <c r="V349" s="1168" t="n"/>
      <c r="W349" s="1168" t="n"/>
      <c r="X349" s="1168" t="n"/>
      <c r="Y349" s="1167" t="n"/>
    </row>
    <row r="350" s="3154" customFormat="1" ht="12.75" customHeight="1">
      <c r="A350" s="1163">
        <f t="array" ref="A350">IF(I349&gt;0.5,A349+1,"")</f>
      </c>
      <c r="B350" s="1164">
        <f t="array" ref="B350">IF(A350&lt;&gt;"",DATE(YEAR($D$9),MONTH($D$9)+A350,DAY($D$9)),"")</f>
      </c>
      <c r="C350" s="1164">
        <f t="array" ref="C350">IF(A350&lt;&gt;"",I349,"")</f>
      </c>
      <c r="D350" s="1164">
        <f t="array" ref="D350">IF(A350&lt;&gt;"",$H$5,"")</f>
      </c>
      <c r="E350" s="3517">
        <v>0</v>
      </c>
      <c r="F350" s="1164">
        <f t="array" ref="F350">IF(A350&lt;&gt;"",D350+E350,"")</f>
      </c>
      <c r="G350" s="3516">
        <f t="array" ref="G350">IF(A350&lt;&gt;"",F350-H350,0)</f>
        <v>0</v>
      </c>
      <c r="H350" s="3516">
        <f t="array" ref="H350">IF(A350&lt;&gt;"",C350*$D$6/$D$8,0)</f>
        <v>0</v>
      </c>
      <c r="I350" s="3516">
        <f t="array" ref="I350">IF(A350&lt;&gt;"",C350-G350,0)</f>
        <v>0</v>
      </c>
      <c r="J350" s="3516">
        <f t="array" ref="J350">IF(A350&lt;&gt;"",J349+H350,J349)</f>
        <v>5051283.30222094</v>
      </c>
      <c r="K350" s="666"/>
      <c r="L350" s="1167" t="n"/>
      <c r="M350" s="1167" t="n"/>
      <c r="N350" s="1168" t="n"/>
      <c r="O350" s="1168" t="n"/>
      <c r="P350" s="1168" t="n"/>
      <c r="Q350" s="1168" t="n"/>
      <c r="R350" s="1168" t="n"/>
      <c r="S350" s="1168" t="n"/>
      <c r="T350" s="1168" t="n"/>
      <c r="U350" s="1168" t="n"/>
      <c r="V350" s="1168" t="n"/>
      <c r="W350" s="1168" t="n"/>
      <c r="X350" s="1168" t="n"/>
      <c r="Y350" s="1167" t="n"/>
    </row>
    <row r="351" s="3154" customFormat="1" ht="12.75" customHeight="1">
      <c r="A351" s="1163">
        <f t="array" ref="A351">IF(I350&gt;0.5,A350+1,"")</f>
      </c>
      <c r="B351" s="1164">
        <f t="array" ref="B351">IF(A351&lt;&gt;"",DATE(YEAR($D$9),MONTH($D$9)+A351,DAY($D$9)),"")</f>
      </c>
      <c r="C351" s="1164">
        <f t="array" ref="C351">IF(A351&lt;&gt;"",I350,"")</f>
      </c>
      <c r="D351" s="1164">
        <f t="array" ref="D351">IF(A351&lt;&gt;"",$H$5,"")</f>
      </c>
      <c r="E351" s="3517">
        <v>0</v>
      </c>
      <c r="F351" s="1164">
        <f t="array" ref="F351">IF(A351&lt;&gt;"",D351+E351,"")</f>
      </c>
      <c r="G351" s="3516">
        <f t="array" ref="G351">IF(A351&lt;&gt;"",F351-H351,0)</f>
        <v>0</v>
      </c>
      <c r="H351" s="3516">
        <f t="array" ref="H351">IF(A351&lt;&gt;"",C351*$D$6/$D$8,0)</f>
        <v>0</v>
      </c>
      <c r="I351" s="3516">
        <f t="array" ref="I351">IF(A351&lt;&gt;"",C351-G351,0)</f>
        <v>0</v>
      </c>
      <c r="J351" s="3516">
        <f t="array" ref="J351">IF(A351&lt;&gt;"",J350+H351,J350)</f>
        <v>5051283.30222094</v>
      </c>
      <c r="K351" s="666"/>
      <c r="L351" s="1167" t="n"/>
      <c r="M351" s="1167" t="n"/>
      <c r="N351" s="1168" t="n"/>
      <c r="O351" s="1168" t="n"/>
      <c r="P351" s="1168" t="n"/>
      <c r="Q351" s="1168" t="n"/>
      <c r="R351" s="1168" t="n"/>
      <c r="S351" s="1168" t="n"/>
      <c r="T351" s="1168" t="n"/>
      <c r="U351" s="1168" t="n"/>
      <c r="V351" s="1168" t="n"/>
      <c r="W351" s="1168" t="n"/>
      <c r="X351" s="1168" t="n"/>
      <c r="Y351" s="1167" t="n"/>
    </row>
    <row r="352" s="3154" customFormat="1" ht="12.75" customHeight="1">
      <c r="A352" s="1163">
        <f t="array" ref="A352">IF(I351&gt;0.5,A351+1,"")</f>
      </c>
      <c r="B352" s="1164">
        <f t="array" ref="B352">IF(A352&lt;&gt;"",DATE(YEAR($D$9),MONTH($D$9)+A352,DAY($D$9)),"")</f>
      </c>
      <c r="C352" s="1164">
        <f t="array" ref="C352">IF(A352&lt;&gt;"",I351,"")</f>
      </c>
      <c r="D352" s="1164">
        <f t="array" ref="D352">IF(A352&lt;&gt;"",$H$5,"")</f>
      </c>
      <c r="E352" s="3517">
        <v>0</v>
      </c>
      <c r="F352" s="1164">
        <f t="array" ref="F352">IF(A352&lt;&gt;"",D352+E352,"")</f>
      </c>
      <c r="G352" s="3516">
        <f t="array" ref="G352">IF(A352&lt;&gt;"",F352-H352,0)</f>
        <v>0</v>
      </c>
      <c r="H352" s="3516">
        <f t="array" ref="H352">IF(A352&lt;&gt;"",C352*$D$6/$D$8,0)</f>
        <v>0</v>
      </c>
      <c r="I352" s="3516">
        <f t="array" ref="I352">IF(A352&lt;&gt;"",C352-G352,0)</f>
        <v>0</v>
      </c>
      <c r="J352" s="3516">
        <f t="array" ref="J352">IF(A352&lt;&gt;"",J351+H352,J351)</f>
        <v>5051283.30222094</v>
      </c>
      <c r="K352" s="666"/>
      <c r="L352" s="1167" t="n"/>
      <c r="M352" s="1167" t="n"/>
      <c r="N352" s="1168" t="n"/>
      <c r="O352" s="1168" t="n"/>
      <c r="P352" s="1168" t="n"/>
      <c r="Q352" s="1168" t="n"/>
      <c r="R352" s="1168" t="n"/>
      <c r="S352" s="1168" t="n"/>
      <c r="T352" s="1168" t="n"/>
      <c r="U352" s="1168" t="n"/>
      <c r="V352" s="1168" t="n"/>
      <c r="W352" s="1168" t="n"/>
      <c r="X352" s="1168" t="n"/>
      <c r="Y352" s="1167" t="n"/>
    </row>
    <row r="353" s="3154" customFormat="1" ht="12.75" customHeight="1">
      <c r="A353" s="1163">
        <f t="array" ref="A353">IF(I352&gt;0.5,A352+1,"")</f>
      </c>
      <c r="B353" s="1164">
        <f t="array" ref="B353">IF(A353&lt;&gt;"",DATE(YEAR($D$9),MONTH($D$9)+A353,DAY($D$9)),"")</f>
      </c>
      <c r="C353" s="1164">
        <f t="array" ref="C353">IF(A353&lt;&gt;"",I352,"")</f>
      </c>
      <c r="D353" s="1164">
        <f t="array" ref="D353">IF(A353&lt;&gt;"",$H$5,"")</f>
      </c>
      <c r="E353" s="3517">
        <v>0</v>
      </c>
      <c r="F353" s="1164">
        <f t="array" ref="F353">IF(A353&lt;&gt;"",D353+E353,"")</f>
      </c>
      <c r="G353" s="3516">
        <f t="array" ref="G353">IF(A353&lt;&gt;"",F353-H353,0)</f>
        <v>0</v>
      </c>
      <c r="H353" s="3516">
        <f t="array" ref="H353">IF(A353&lt;&gt;"",C353*$D$6/$D$8,0)</f>
        <v>0</v>
      </c>
      <c r="I353" s="3516">
        <f t="array" ref="I353">IF(A353&lt;&gt;"",C353-G353,0)</f>
        <v>0</v>
      </c>
      <c r="J353" s="3516">
        <f t="array" ref="J353">IF(A353&lt;&gt;"",J352+H353,J352)</f>
        <v>5051283.30222094</v>
      </c>
      <c r="K353" s="666"/>
      <c r="L353" s="1167" t="n"/>
      <c r="M353" s="1167" t="n"/>
      <c r="N353" s="1168" t="n"/>
      <c r="O353" s="1168" t="n"/>
      <c r="P353" s="1168" t="n"/>
      <c r="Q353" s="1168" t="n"/>
      <c r="R353" s="1168" t="n"/>
      <c r="S353" s="1168" t="n"/>
      <c r="T353" s="1168" t="n"/>
      <c r="U353" s="1168" t="n"/>
      <c r="V353" s="1168" t="n"/>
      <c r="W353" s="1168" t="n"/>
      <c r="X353" s="1168" t="n"/>
      <c r="Y353" s="1167" t="n"/>
    </row>
    <row r="354" s="3154" customFormat="1" ht="12.75" customHeight="1">
      <c r="A354" s="1163">
        <f t="array" ref="A354">IF(I353&gt;0.5,A353+1,"")</f>
      </c>
      <c r="B354" s="1164">
        <f t="array" ref="B354">IF(A354&lt;&gt;"",DATE(YEAR($D$9),MONTH($D$9)+A354,DAY($D$9)),"")</f>
      </c>
      <c r="C354" s="1164">
        <f t="array" ref="C354">IF(A354&lt;&gt;"",I353,"")</f>
      </c>
      <c r="D354" s="1164">
        <f t="array" ref="D354">IF(A354&lt;&gt;"",$H$5,"")</f>
      </c>
      <c r="E354" s="3517">
        <v>0</v>
      </c>
      <c r="F354" s="1164">
        <f t="array" ref="F354">IF(A354&lt;&gt;"",D354+E354,"")</f>
      </c>
      <c r="G354" s="3516">
        <f t="array" ref="G354">IF(A354&lt;&gt;"",F354-H354,0)</f>
        <v>0</v>
      </c>
      <c r="H354" s="3516">
        <f t="array" ref="H354">IF(A354&lt;&gt;"",C354*$D$6/$D$8,0)</f>
        <v>0</v>
      </c>
      <c r="I354" s="3516">
        <f t="array" ref="I354">IF(A354&lt;&gt;"",C354-G354,0)</f>
        <v>0</v>
      </c>
      <c r="J354" s="3516">
        <f t="array" ref="J354">IF(A354&lt;&gt;"",J353+H354,J353)</f>
        <v>5051283.30222094</v>
      </c>
      <c r="K354" s="666"/>
      <c r="L354" s="1167" t="n"/>
      <c r="M354" s="1167" t="n"/>
      <c r="N354" s="1168" t="n"/>
      <c r="O354" s="1168" t="n"/>
      <c r="P354" s="1168" t="n"/>
      <c r="Q354" s="1168" t="n"/>
      <c r="R354" s="1168" t="n"/>
      <c r="S354" s="1168" t="n"/>
      <c r="T354" s="1168" t="n"/>
      <c r="U354" s="1168" t="n"/>
      <c r="V354" s="1168" t="n"/>
      <c r="W354" s="1168" t="n"/>
      <c r="X354" s="1168" t="n"/>
      <c r="Y354" s="1167" t="n"/>
    </row>
    <row r="355" s="3154" customFormat="1" ht="12.75" customHeight="1">
      <c r="A355" s="1163">
        <f t="array" ref="A355">IF(I354&gt;0.5,A354+1,"")</f>
      </c>
      <c r="B355" s="1164">
        <f t="array" ref="B355">IF(A355&lt;&gt;"",DATE(YEAR($D$9),MONTH($D$9)+A355,DAY($D$9)),"")</f>
      </c>
      <c r="C355" s="1164">
        <f t="array" ref="C355">IF(A355&lt;&gt;"",I354,"")</f>
      </c>
      <c r="D355" s="1164">
        <f t="array" ref="D355">IF(A355&lt;&gt;"",$H$5,"")</f>
      </c>
      <c r="E355" s="3517">
        <v>0</v>
      </c>
      <c r="F355" s="1164">
        <f t="array" ref="F355">IF(A355&lt;&gt;"",D355+E355,"")</f>
      </c>
      <c r="G355" s="3516">
        <f t="array" ref="G355">IF(A355&lt;&gt;"",F355-H355,0)</f>
        <v>0</v>
      </c>
      <c r="H355" s="3516">
        <f t="array" ref="H355">IF(A355&lt;&gt;"",C355*$D$6/$D$8,0)</f>
        <v>0</v>
      </c>
      <c r="I355" s="3516">
        <f t="array" ref="I355">IF(A355&lt;&gt;"",C355-G355,0)</f>
        <v>0</v>
      </c>
      <c r="J355" s="3516">
        <f t="array" ref="J355">IF(A355&lt;&gt;"",J354+H355,J354)</f>
        <v>5051283.30222094</v>
      </c>
      <c r="K355" s="666"/>
      <c r="L355" s="1167" t="n"/>
      <c r="M355" s="1167" t="n"/>
      <c r="N355" s="1168" t="n"/>
      <c r="O355" s="1168" t="n"/>
      <c r="P355" s="1168" t="n"/>
      <c r="Q355" s="1168" t="n"/>
      <c r="R355" s="1168" t="n"/>
      <c r="S355" s="1168" t="n"/>
      <c r="T355" s="1168" t="n"/>
      <c r="U355" s="1168" t="n"/>
      <c r="V355" s="1168" t="n"/>
      <c r="W355" s="1168" t="n"/>
      <c r="X355" s="1168" t="n"/>
      <c r="Y355" s="1167" t="n"/>
    </row>
    <row r="356" s="3154" customFormat="1" ht="12.75" customHeight="1">
      <c r="A356" s="1163">
        <f t="array" ref="A356">IF(I355&gt;0.5,A355+1,"")</f>
      </c>
      <c r="B356" s="1164">
        <f t="array" ref="B356">IF(A356&lt;&gt;"",DATE(YEAR($D$9),MONTH($D$9)+A356,DAY($D$9)),"")</f>
      </c>
      <c r="C356" s="1164">
        <f t="array" ref="C356">IF(A356&lt;&gt;"",I355,"")</f>
      </c>
      <c r="D356" s="1164">
        <f t="array" ref="D356">IF(A356&lt;&gt;"",$H$5,"")</f>
      </c>
      <c r="E356" s="3517">
        <v>0</v>
      </c>
      <c r="F356" s="1164">
        <f t="array" ref="F356">IF(A356&lt;&gt;"",D356+E356,"")</f>
      </c>
      <c r="G356" s="3516">
        <f t="array" ref="G356">IF(A356&lt;&gt;"",F356-H356,0)</f>
        <v>0</v>
      </c>
      <c r="H356" s="3516">
        <f t="array" ref="H356">IF(A356&lt;&gt;"",C356*$D$6/$D$8,0)</f>
        <v>0</v>
      </c>
      <c r="I356" s="3516">
        <f t="array" ref="I356">IF(A356&lt;&gt;"",C356-G356,0)</f>
        <v>0</v>
      </c>
      <c r="J356" s="3516">
        <f t="array" ref="J356">IF(A356&lt;&gt;"",J355+H356,J355)</f>
        <v>5051283.30222094</v>
      </c>
      <c r="K356" s="666"/>
      <c r="L356" s="1167" t="n"/>
      <c r="M356" s="1167" t="n"/>
      <c r="N356" s="1168" t="n"/>
      <c r="O356" s="1168" t="n"/>
      <c r="P356" s="1168" t="n"/>
      <c r="Q356" s="1168" t="n"/>
      <c r="R356" s="1168" t="n"/>
      <c r="S356" s="1168" t="n"/>
      <c r="T356" s="1168" t="n"/>
      <c r="U356" s="1168" t="n"/>
      <c r="V356" s="1168" t="n"/>
      <c r="W356" s="1168" t="n"/>
      <c r="X356" s="1168" t="n"/>
      <c r="Y356" s="1167" t="n"/>
    </row>
    <row r="357" s="3154" customFormat="1" ht="12.75" customHeight="1">
      <c r="A357" s="1163">
        <f t="array" ref="A357">IF(I356&gt;0.5,A356+1,"")</f>
      </c>
      <c r="B357" s="1164">
        <f t="array" ref="B357">IF(A357&lt;&gt;"",DATE(YEAR($D$9),MONTH($D$9)+A357,DAY($D$9)),"")</f>
      </c>
      <c r="C357" s="1164">
        <f t="array" ref="C357">IF(A357&lt;&gt;"",I356,"")</f>
      </c>
      <c r="D357" s="1164">
        <f t="array" ref="D357">IF(A357&lt;&gt;"",$H$5,"")</f>
      </c>
      <c r="E357" s="3517">
        <v>0</v>
      </c>
      <c r="F357" s="1164">
        <f t="array" ref="F357">IF(A357&lt;&gt;"",D357+E357,"")</f>
      </c>
      <c r="G357" s="3516">
        <f t="array" ref="G357">IF(A357&lt;&gt;"",F357-H357,0)</f>
        <v>0</v>
      </c>
      <c r="H357" s="3516">
        <f t="array" ref="H357">IF(A357&lt;&gt;"",C357*$D$6/$D$8,0)</f>
        <v>0</v>
      </c>
      <c r="I357" s="3516">
        <f t="array" ref="I357">IF(A357&lt;&gt;"",C357-G357,0)</f>
        <v>0</v>
      </c>
      <c r="J357" s="3516">
        <f t="array" ref="J357">IF(A357&lt;&gt;"",J356+H357,J356)</f>
        <v>5051283.30222094</v>
      </c>
      <c r="K357" s="666"/>
      <c r="L357" s="1167" t="n"/>
      <c r="M357" s="1167" t="n"/>
      <c r="N357" s="1168" t="n"/>
      <c r="O357" s="1168" t="n"/>
      <c r="P357" s="1168" t="n"/>
      <c r="Q357" s="1168" t="n"/>
      <c r="R357" s="1168" t="n"/>
      <c r="S357" s="1168" t="n"/>
      <c r="T357" s="1168" t="n"/>
      <c r="U357" s="1168" t="n"/>
      <c r="V357" s="1168" t="n"/>
      <c r="W357" s="1168" t="n"/>
      <c r="X357" s="1168" t="n"/>
      <c r="Y357" s="1167" t="n"/>
    </row>
    <row r="358" s="3154" customFormat="1" ht="12.75" customHeight="1">
      <c r="A358" s="1163">
        <f t="array" ref="A358">IF(I357&gt;0.5,A357+1,"")</f>
      </c>
      <c r="B358" s="1164">
        <f t="array" ref="B358">IF(A358&lt;&gt;"",DATE(YEAR($D$9),MONTH($D$9)+A358,DAY($D$9)),"")</f>
      </c>
      <c r="C358" s="1164">
        <f t="array" ref="C358">IF(A358&lt;&gt;"",I357,"")</f>
      </c>
      <c r="D358" s="1164">
        <f t="array" ref="D358">IF(A358&lt;&gt;"",$H$5,"")</f>
      </c>
      <c r="E358" s="3517">
        <v>0</v>
      </c>
      <c r="F358" s="1164">
        <f t="array" ref="F358">IF(A358&lt;&gt;"",D358+E358,"")</f>
      </c>
      <c r="G358" s="3516">
        <f t="array" ref="G358">IF(A358&lt;&gt;"",F358-H358,0)</f>
        <v>0</v>
      </c>
      <c r="H358" s="3516">
        <f t="array" ref="H358">IF(A358&lt;&gt;"",C358*$D$6/$D$8,0)</f>
        <v>0</v>
      </c>
      <c r="I358" s="3516">
        <f t="array" ref="I358">IF(A358&lt;&gt;"",C358-G358,0)</f>
        <v>0</v>
      </c>
      <c r="J358" s="3516">
        <f t="array" ref="J358">IF(A358&lt;&gt;"",J357+H358,J357)</f>
        <v>5051283.30222094</v>
      </c>
      <c r="K358" s="666"/>
      <c r="L358" s="1167" t="n"/>
      <c r="M358" s="1167" t="n"/>
      <c r="N358" s="1168" t="n"/>
      <c r="O358" s="1168" t="n"/>
      <c r="P358" s="1168" t="n"/>
      <c r="Q358" s="1168" t="n"/>
      <c r="R358" s="1168" t="n"/>
      <c r="S358" s="1168" t="n"/>
      <c r="T358" s="1168" t="n"/>
      <c r="U358" s="1168" t="n"/>
      <c r="V358" s="1168" t="n"/>
      <c r="W358" s="1168" t="n"/>
      <c r="X358" s="1168" t="n"/>
      <c r="Y358" s="1167" t="n"/>
    </row>
    <row r="359" s="3154" customFormat="1" ht="12.75" customHeight="1">
      <c r="A359" s="1163">
        <f t="array" ref="A359">IF(I358&gt;0.5,A358+1,"")</f>
      </c>
      <c r="B359" s="1164">
        <f t="array" ref="B359">IF(A359&lt;&gt;"",DATE(YEAR($D$9),MONTH($D$9)+A359,DAY($D$9)),"")</f>
      </c>
      <c r="C359" s="1164">
        <f t="array" ref="C359">IF(A359&lt;&gt;"",I358,"")</f>
      </c>
      <c r="D359" s="1164">
        <f t="array" ref="D359">IF(A359&lt;&gt;"",$H$5,"")</f>
      </c>
      <c r="E359" s="3517">
        <v>0</v>
      </c>
      <c r="F359" s="1164">
        <f t="array" ref="F359">IF(A359&lt;&gt;"",D359+E359,"")</f>
      </c>
      <c r="G359" s="3516">
        <f t="array" ref="G359">IF(A359&lt;&gt;"",F359-H359,0)</f>
        <v>0</v>
      </c>
      <c r="H359" s="3516">
        <f t="array" ref="H359">IF(A359&lt;&gt;"",C359*$D$6/$D$8,0)</f>
        <v>0</v>
      </c>
      <c r="I359" s="3516">
        <f t="array" ref="I359">IF(A359&lt;&gt;"",C359-G359,0)</f>
        <v>0</v>
      </c>
      <c r="J359" s="3516">
        <f t="array" ref="J359">IF(A359&lt;&gt;"",J358+H359,J358)</f>
        <v>5051283.30222094</v>
      </c>
      <c r="K359" s="666"/>
      <c r="L359" s="1167" t="n"/>
      <c r="M359" s="1167" t="n"/>
      <c r="N359" s="1168" t="n"/>
      <c r="O359" s="1168" t="n"/>
      <c r="P359" s="1168" t="n"/>
      <c r="Q359" s="1168" t="n"/>
      <c r="R359" s="1168" t="n"/>
      <c r="S359" s="1168" t="n"/>
      <c r="T359" s="1168" t="n"/>
      <c r="U359" s="1168" t="n"/>
      <c r="V359" s="1168" t="n"/>
      <c r="W359" s="1168" t="n"/>
      <c r="X359" s="1168" t="n"/>
      <c r="Y359" s="1167" t="n"/>
    </row>
    <row r="360" s="3154" customFormat="1" ht="12.75" customHeight="1">
      <c r="A360" s="1163">
        <f t="array" ref="A360">IF(I359&gt;0.5,A359+1,"")</f>
      </c>
      <c r="B360" s="1164">
        <f t="array" ref="B360">IF(A360&lt;&gt;"",DATE(YEAR($D$9),MONTH($D$9)+A360,DAY($D$9)),"")</f>
      </c>
      <c r="C360" s="1164">
        <f t="array" ref="C360">IF(A360&lt;&gt;"",I359,"")</f>
      </c>
      <c r="D360" s="1164">
        <f t="array" ref="D360">IF(A360&lt;&gt;"",$H$5,"")</f>
      </c>
      <c r="E360" s="3517">
        <v>0</v>
      </c>
      <c r="F360" s="1164">
        <f t="array" ref="F360">IF(A360&lt;&gt;"",D360+E360,"")</f>
      </c>
      <c r="G360" s="3516">
        <f t="array" ref="G360">IF(A360&lt;&gt;"",F360-H360,0)</f>
        <v>0</v>
      </c>
      <c r="H360" s="3516">
        <f t="array" ref="H360">IF(A360&lt;&gt;"",C360*$D$6/$D$8,0)</f>
        <v>0</v>
      </c>
      <c r="I360" s="3516">
        <f t="array" ref="I360">IF(A360&lt;&gt;"",C360-G360,0)</f>
        <v>0</v>
      </c>
      <c r="J360" s="3516">
        <f t="array" ref="J360">IF(A360&lt;&gt;"",J359+H360,J359)</f>
        <v>5051283.30222094</v>
      </c>
      <c r="K360" s="666"/>
      <c r="L360" s="1167" t="n"/>
      <c r="M360" s="1167" t="n"/>
      <c r="N360" s="1168" t="n"/>
      <c r="O360" s="1168" t="n"/>
      <c r="P360" s="1168" t="n"/>
      <c r="Q360" s="1168" t="n"/>
      <c r="R360" s="1168" t="n"/>
      <c r="S360" s="1168" t="n"/>
      <c r="T360" s="1168" t="n"/>
      <c r="U360" s="1168" t="n"/>
      <c r="V360" s="1168" t="n"/>
      <c r="W360" s="1168" t="n"/>
      <c r="X360" s="1168" t="n"/>
      <c r="Y360" s="1167" t="n"/>
    </row>
    <row r="361" s="3154" customFormat="1" ht="12.75" customHeight="1">
      <c r="A361" s="1163">
        <f t="array" ref="A361">IF(I360&gt;0.5,A360+1,"")</f>
      </c>
      <c r="B361" s="1164">
        <f t="array" ref="B361">IF(A361&lt;&gt;"",DATE(YEAR($D$9),MONTH($D$9)+A361,DAY($D$9)),"")</f>
      </c>
      <c r="C361" s="1164">
        <f t="array" ref="C361">IF(A361&lt;&gt;"",I360,"")</f>
      </c>
      <c r="D361" s="1164">
        <f t="array" ref="D361">IF(A361&lt;&gt;"",$H$5,"")</f>
      </c>
      <c r="E361" s="3517">
        <v>0</v>
      </c>
      <c r="F361" s="1164">
        <f t="array" ref="F361">IF(A361&lt;&gt;"",D361+E361,"")</f>
      </c>
      <c r="G361" s="3516">
        <f t="array" ref="G361">IF(A361&lt;&gt;"",F361-H361,0)</f>
        <v>0</v>
      </c>
      <c r="H361" s="3516">
        <f t="array" ref="H361">IF(A361&lt;&gt;"",C361*$D$6/$D$8,0)</f>
        <v>0</v>
      </c>
      <c r="I361" s="3516">
        <f t="array" ref="I361">IF(A361&lt;&gt;"",C361-G361,0)</f>
        <v>0</v>
      </c>
      <c r="J361" s="3516">
        <f t="array" ref="J361">IF(A361&lt;&gt;"",J360+H361,J360)</f>
        <v>5051283.30222094</v>
      </c>
      <c r="K361" s="666"/>
      <c r="L361" s="1167" t="n"/>
      <c r="M361" s="1167" t="n"/>
      <c r="N361" s="1168" t="n"/>
      <c r="O361" s="1168" t="n"/>
      <c r="P361" s="1168" t="n"/>
      <c r="Q361" s="1168" t="n"/>
      <c r="R361" s="1168" t="n"/>
      <c r="S361" s="1168" t="n"/>
      <c r="T361" s="1168" t="n"/>
      <c r="U361" s="1168" t="n"/>
      <c r="V361" s="1168" t="n"/>
      <c r="W361" s="1168" t="n"/>
      <c r="X361" s="1168" t="n"/>
      <c r="Y361" s="1167" t="n"/>
    </row>
    <row r="362" s="3154" customFormat="1" ht="12.75" customHeight="1">
      <c r="A362" s="1163">
        <f t="array" ref="A362">IF(I361&gt;0.5,A361+1,"")</f>
      </c>
      <c r="B362" s="1164">
        <f t="array" ref="B362">IF(A362&lt;&gt;"",DATE(YEAR($D$9),MONTH($D$9)+A362,DAY($D$9)),"")</f>
      </c>
      <c r="C362" s="1164">
        <f t="array" ref="C362">IF(A362&lt;&gt;"",I361,"")</f>
      </c>
      <c r="D362" s="1164">
        <f t="array" ref="D362">IF(A362&lt;&gt;"",$H$5,"")</f>
      </c>
      <c r="E362" s="3517">
        <v>0</v>
      </c>
      <c r="F362" s="1164">
        <f t="array" ref="F362">IF(A362&lt;&gt;"",D362+E362,"")</f>
      </c>
      <c r="G362" s="3516">
        <f t="array" ref="G362">IF(A362&lt;&gt;"",F362-H362,0)</f>
        <v>0</v>
      </c>
      <c r="H362" s="3516">
        <f t="array" ref="H362">IF(A362&lt;&gt;"",C362*$D$6/$D$8,0)</f>
        <v>0</v>
      </c>
      <c r="I362" s="3516">
        <f t="array" ref="I362">IF(A362&lt;&gt;"",C362-G362,0)</f>
        <v>0</v>
      </c>
      <c r="J362" s="3516">
        <f t="array" ref="J362">IF(A362&lt;&gt;"",J361+H362,J361)</f>
        <v>5051283.30222094</v>
      </c>
      <c r="K362" s="666"/>
      <c r="L362" s="1167" t="n"/>
      <c r="M362" s="1167" t="n"/>
      <c r="N362" s="1168" t="n"/>
      <c r="O362" s="1168" t="n"/>
      <c r="P362" s="1168" t="n"/>
      <c r="Q362" s="1168" t="n"/>
      <c r="R362" s="1168" t="n"/>
      <c r="S362" s="1168" t="n"/>
      <c r="T362" s="1168" t="n"/>
      <c r="U362" s="1168" t="n"/>
      <c r="V362" s="1168" t="n"/>
      <c r="W362" s="1168" t="n"/>
      <c r="X362" s="1168" t="n"/>
      <c r="Y362" s="1167" t="n"/>
    </row>
    <row r="363" s="3154" customFormat="1" ht="12.75" customHeight="1">
      <c r="A363" s="1163">
        <f t="array" ref="A363">IF(I362&gt;0.5,A362+1,"")</f>
      </c>
      <c r="B363" s="1164">
        <f t="array" ref="B363">IF(A363&lt;&gt;"",DATE(YEAR($D$9),MONTH($D$9)+A363,DAY($D$9)),"")</f>
      </c>
      <c r="C363" s="1164">
        <f t="array" ref="C363">IF(A363&lt;&gt;"",I362,"")</f>
      </c>
      <c r="D363" s="1164">
        <f t="array" ref="D363">IF(A363&lt;&gt;"",$H$5,"")</f>
      </c>
      <c r="E363" s="3517">
        <v>0</v>
      </c>
      <c r="F363" s="1164">
        <f t="array" ref="F363">IF(A363&lt;&gt;"",D363+E363,"")</f>
      </c>
      <c r="G363" s="3516">
        <f t="array" ref="G363">IF(A363&lt;&gt;"",F363-H363,0)</f>
        <v>0</v>
      </c>
      <c r="H363" s="3516">
        <f t="array" ref="H363">IF(A363&lt;&gt;"",C363*$D$6/$D$8,0)</f>
        <v>0</v>
      </c>
      <c r="I363" s="3516">
        <f t="array" ref="I363">IF(A363&lt;&gt;"",C363-G363,0)</f>
        <v>0</v>
      </c>
      <c r="J363" s="3516">
        <f t="array" ref="J363">IF(A363&lt;&gt;"",J362+H363,J362)</f>
        <v>5051283.30222094</v>
      </c>
      <c r="K363" s="666"/>
      <c r="L363" s="1167" t="n"/>
      <c r="M363" s="1167" t="n"/>
      <c r="N363" s="1168" t="n"/>
      <c r="O363" s="1168" t="n"/>
      <c r="P363" s="1168" t="n"/>
      <c r="Q363" s="1168" t="n"/>
      <c r="R363" s="1168" t="n"/>
      <c r="S363" s="1168" t="n"/>
      <c r="T363" s="1168" t="n"/>
      <c r="U363" s="1168" t="n"/>
      <c r="V363" s="1168" t="n"/>
      <c r="W363" s="1168" t="n"/>
      <c r="X363" s="1168" t="n"/>
      <c r="Y363" s="1167" t="n"/>
    </row>
    <row r="364" s="3154" customFormat="1" ht="12.75" customHeight="1">
      <c r="A364" s="1163">
        <f t="array" ref="A364">IF(I363&gt;0.5,A363+1,"")</f>
      </c>
      <c r="B364" s="1164">
        <f t="array" ref="B364">IF(A364&lt;&gt;"",DATE(YEAR($D$9),MONTH($D$9)+A364,DAY($D$9)),"")</f>
      </c>
      <c r="C364" s="1164">
        <f t="array" ref="C364">IF(A364&lt;&gt;"",I363,"")</f>
      </c>
      <c r="D364" s="1164">
        <f t="array" ref="D364">IF(A364&lt;&gt;"",$H$5,"")</f>
      </c>
      <c r="E364" s="3517">
        <v>0</v>
      </c>
      <c r="F364" s="1164">
        <f t="array" ref="F364">IF(A364&lt;&gt;"",D364+E364,"")</f>
      </c>
      <c r="G364" s="3516">
        <f t="array" ref="G364">IF(A364&lt;&gt;"",F364-H364,0)</f>
        <v>0</v>
      </c>
      <c r="H364" s="3516">
        <f t="array" ref="H364">IF(A364&lt;&gt;"",C364*$D$6/$D$8,0)</f>
        <v>0</v>
      </c>
      <c r="I364" s="3516">
        <f t="array" ref="I364">IF(A364&lt;&gt;"",C364-G364,0)</f>
        <v>0</v>
      </c>
      <c r="J364" s="3516">
        <f t="array" ref="J364">IF(A364&lt;&gt;"",J363+H364,J363)</f>
        <v>5051283.30222094</v>
      </c>
      <c r="K364" s="666"/>
      <c r="L364" s="1167" t="n"/>
      <c r="M364" s="1167" t="n"/>
      <c r="N364" s="1168" t="n"/>
      <c r="O364" s="1168" t="n"/>
      <c r="P364" s="1168" t="n"/>
      <c r="Q364" s="1168" t="n"/>
      <c r="R364" s="1168" t="n"/>
      <c r="S364" s="1168" t="n"/>
      <c r="T364" s="1168" t="n"/>
      <c r="U364" s="1168" t="n"/>
      <c r="V364" s="1168" t="n"/>
      <c r="W364" s="1168" t="n"/>
      <c r="X364" s="1168" t="n"/>
      <c r="Y364" s="1167" t="n"/>
    </row>
    <row r="365" s="3154" customFormat="1" ht="12.75" customHeight="1">
      <c r="A365" s="1163">
        <f t="array" ref="A365">IF(I364&gt;0.5,A364+1,"")</f>
      </c>
      <c r="B365" s="1164">
        <f t="array" ref="B365">IF(A365&lt;&gt;"",DATE(YEAR($D$9),MONTH($D$9)+A365,DAY($D$9)),"")</f>
      </c>
      <c r="C365" s="1164">
        <f t="array" ref="C365">IF(A365&lt;&gt;"",I364,"")</f>
      </c>
      <c r="D365" s="1164">
        <f t="array" ref="D365">IF(A365&lt;&gt;"",$H$5,"")</f>
      </c>
      <c r="E365" s="3517">
        <v>0</v>
      </c>
      <c r="F365" s="1164">
        <f t="array" ref="F365">IF(A365&lt;&gt;"",D365+E365,"")</f>
      </c>
      <c r="G365" s="3516">
        <f t="array" ref="G365">IF(A365&lt;&gt;"",F365-H365,0)</f>
        <v>0</v>
      </c>
      <c r="H365" s="3516">
        <f t="array" ref="H365">IF(A365&lt;&gt;"",C365*$D$6/$D$8,0)</f>
        <v>0</v>
      </c>
      <c r="I365" s="3516">
        <f t="array" ref="I365">IF(A365&lt;&gt;"",C365-G365,0)</f>
        <v>0</v>
      </c>
      <c r="J365" s="3516">
        <f t="array" ref="J365">IF(A365&lt;&gt;"",J364+H365,J364)</f>
        <v>5051283.30222094</v>
      </c>
      <c r="K365" s="666"/>
      <c r="L365" s="1167" t="n"/>
      <c r="M365" s="1167" t="n"/>
      <c r="N365" s="1168" t="n"/>
      <c r="O365" s="1168" t="n"/>
      <c r="P365" s="1168" t="n"/>
      <c r="Q365" s="1168" t="n"/>
      <c r="R365" s="1168" t="n"/>
      <c r="S365" s="1168" t="n"/>
      <c r="T365" s="1168" t="n"/>
      <c r="U365" s="1168" t="n"/>
      <c r="V365" s="1168" t="n"/>
      <c r="W365" s="1168" t="n"/>
      <c r="X365" s="1168" t="n"/>
      <c r="Y365" s="1167" t="n"/>
    </row>
    <row r="366" s="3154" customFormat="1" ht="12.75" customHeight="1">
      <c r="A366" s="1163">
        <f t="array" ref="A366">IF(I365&gt;0.5,A365+1,"")</f>
      </c>
      <c r="B366" s="1164">
        <f t="array" ref="B366">IF(A366&lt;&gt;"",DATE(YEAR($D$9),MONTH($D$9)+A366,DAY($D$9)),"")</f>
      </c>
      <c r="C366" s="1164">
        <f t="array" ref="C366">IF(A366&lt;&gt;"",I365,"")</f>
      </c>
      <c r="D366" s="1164">
        <f t="array" ref="D366">IF(A366&lt;&gt;"",$H$5,"")</f>
      </c>
      <c r="E366" s="3517">
        <v>0</v>
      </c>
      <c r="F366" s="1164">
        <f t="array" ref="F366">IF(A366&lt;&gt;"",D366+E366,"")</f>
      </c>
      <c r="G366" s="3516">
        <f t="array" ref="G366">IF(A366&lt;&gt;"",F366-H366,0)</f>
        <v>0</v>
      </c>
      <c r="H366" s="3516">
        <f t="array" ref="H366">IF(A366&lt;&gt;"",C366*$D$6/$D$8,0)</f>
        <v>0</v>
      </c>
      <c r="I366" s="3516">
        <f t="array" ref="I366">IF(A366&lt;&gt;"",C366-G366,0)</f>
        <v>0</v>
      </c>
      <c r="J366" s="3516">
        <f t="array" ref="J366">IF(A366&lt;&gt;"",J365+H366,J365)</f>
        <v>5051283.30222094</v>
      </c>
      <c r="K366" s="666"/>
      <c r="L366" s="1167" t="n"/>
      <c r="M366" s="1167" t="n"/>
      <c r="N366" s="1168" t="n"/>
      <c r="O366" s="1168" t="n"/>
      <c r="P366" s="1168" t="n"/>
      <c r="Q366" s="1168" t="n"/>
      <c r="R366" s="1168" t="n"/>
      <c r="S366" s="1168" t="n"/>
      <c r="T366" s="1168" t="n"/>
      <c r="U366" s="1168" t="n"/>
      <c r="V366" s="1168" t="n"/>
      <c r="W366" s="1168" t="n"/>
      <c r="X366" s="1168" t="n"/>
      <c r="Y366" s="1167" t="n"/>
    </row>
    <row r="367" s="3154" customFormat="1" ht="12.75" customHeight="1">
      <c r="A367" s="1163">
        <f t="array" ref="A367">IF(I366&gt;0.5,A366+1,"")</f>
      </c>
      <c r="B367" s="1164">
        <f t="array" ref="B367">IF(A367&lt;&gt;"",DATE(YEAR($D$9),MONTH($D$9)+A367,DAY($D$9)),"")</f>
      </c>
      <c r="C367" s="1164">
        <f t="array" ref="C367">IF(A367&lt;&gt;"",I366,"")</f>
      </c>
      <c r="D367" s="1164">
        <f t="array" ref="D367">IF(A367&lt;&gt;"",$H$5,"")</f>
      </c>
      <c r="E367" s="3517">
        <v>0</v>
      </c>
      <c r="F367" s="1164">
        <f t="array" ref="F367">IF(A367&lt;&gt;"",D367+E367,"")</f>
      </c>
      <c r="G367" s="3516">
        <f t="array" ref="G367">IF(A367&lt;&gt;"",F367-H367,0)</f>
        <v>0</v>
      </c>
      <c r="H367" s="3516">
        <f t="array" ref="H367">IF(A367&lt;&gt;"",C367*$D$6/$D$8,0)</f>
        <v>0</v>
      </c>
      <c r="I367" s="3516">
        <f t="array" ref="I367">IF(A367&lt;&gt;"",C367-G367,0)</f>
        <v>0</v>
      </c>
      <c r="J367" s="3516">
        <f t="array" ref="J367">IF(A367&lt;&gt;"",J366+H367,J366)</f>
        <v>5051283.30222094</v>
      </c>
      <c r="K367" s="666"/>
      <c r="L367" s="1167" t="n"/>
      <c r="M367" s="1167" t="n"/>
      <c r="N367" s="1168" t="n"/>
      <c r="O367" s="1168" t="n"/>
      <c r="P367" s="1168" t="n"/>
      <c r="Q367" s="1168" t="n"/>
      <c r="R367" s="1168" t="n"/>
      <c r="S367" s="1168" t="n"/>
      <c r="T367" s="1168" t="n"/>
      <c r="U367" s="1168" t="n"/>
      <c r="V367" s="1168" t="n"/>
      <c r="W367" s="1168" t="n"/>
      <c r="X367" s="1168" t="n"/>
      <c r="Y367" s="1167" t="n"/>
    </row>
    <row r="368" s="3154" customFormat="1" ht="12.75" customHeight="1">
      <c r="A368" s="1163">
        <f t="array" ref="A368">IF(I367&gt;0.5,A367+1,"")</f>
      </c>
      <c r="B368" s="1164">
        <f t="array" ref="B368">IF(A368&lt;&gt;"",DATE(YEAR($D$9),MONTH($D$9)+A368,DAY($D$9)),"")</f>
      </c>
      <c r="C368" s="1164">
        <f t="array" ref="C368">IF(A368&lt;&gt;"",I367,"")</f>
      </c>
      <c r="D368" s="1164">
        <f t="array" ref="D368">IF(A368&lt;&gt;"",$H$5,"")</f>
      </c>
      <c r="E368" s="3517">
        <v>0</v>
      </c>
      <c r="F368" s="1164">
        <f t="array" ref="F368">IF(A368&lt;&gt;"",D368+E368,"")</f>
      </c>
      <c r="G368" s="3516">
        <f t="array" ref="G368">IF(A368&lt;&gt;"",F368-H368,0)</f>
        <v>0</v>
      </c>
      <c r="H368" s="3516">
        <f t="array" ref="H368">IF(A368&lt;&gt;"",C368*$D$6/$D$8,0)</f>
        <v>0</v>
      </c>
      <c r="I368" s="3516">
        <f t="array" ref="I368">IF(A368&lt;&gt;"",C368-G368,0)</f>
        <v>0</v>
      </c>
      <c r="J368" s="3516">
        <f t="array" ref="J368">IF(A368&lt;&gt;"",J367+H368,J367)</f>
        <v>5051283.30222094</v>
      </c>
      <c r="K368" s="666"/>
      <c r="L368" s="1167" t="n"/>
      <c r="M368" s="1167" t="n"/>
      <c r="N368" s="1168" t="n"/>
      <c r="O368" s="1168" t="n"/>
      <c r="P368" s="1168" t="n"/>
      <c r="Q368" s="1168" t="n"/>
      <c r="R368" s="1168" t="n"/>
      <c r="S368" s="1168" t="n"/>
      <c r="T368" s="1168" t="n"/>
      <c r="U368" s="1168" t="n"/>
      <c r="V368" s="1168" t="n"/>
      <c r="W368" s="1168" t="n"/>
      <c r="X368" s="1168" t="n"/>
      <c r="Y368" s="1167" t="n"/>
    </row>
    <row r="369" s="3154" customFormat="1" ht="12.75" customHeight="1">
      <c r="A369" s="1163">
        <f t="array" ref="A369">IF(I368&gt;0.5,A368+1,"")</f>
      </c>
      <c r="B369" s="1164">
        <f t="array" ref="B369">IF(A369&lt;&gt;"",DATE(YEAR($D$9),MONTH($D$9)+A369,DAY($D$9)),"")</f>
      </c>
      <c r="C369" s="1164">
        <f t="array" ref="C369">IF(A369&lt;&gt;"",I368,"")</f>
      </c>
      <c r="D369" s="1164">
        <f t="array" ref="D369">IF(A369&lt;&gt;"",$H$5,"")</f>
      </c>
      <c r="E369" s="3517">
        <v>0</v>
      </c>
      <c r="F369" s="1164">
        <f t="array" ref="F369">IF(A369&lt;&gt;"",D369+E369,"")</f>
      </c>
      <c r="G369" s="3516">
        <f t="array" ref="G369">IF(A369&lt;&gt;"",F369-H369,0)</f>
        <v>0</v>
      </c>
      <c r="H369" s="3516">
        <f t="array" ref="H369">IF(A369&lt;&gt;"",C369*$D$6/$D$8,0)</f>
        <v>0</v>
      </c>
      <c r="I369" s="3516">
        <f t="array" ref="I369">IF(A369&lt;&gt;"",C369-G369,0)</f>
        <v>0</v>
      </c>
      <c r="J369" s="3516">
        <f t="array" ref="J369">IF(A369&lt;&gt;"",J368+H369,J368)</f>
        <v>5051283.30222094</v>
      </c>
      <c r="K369" s="666"/>
      <c r="L369" s="1167" t="n"/>
      <c r="M369" s="1167" t="n"/>
      <c r="N369" s="1168" t="n"/>
      <c r="O369" s="1168" t="n"/>
      <c r="P369" s="1168" t="n"/>
      <c r="Q369" s="1168" t="n"/>
      <c r="R369" s="1168" t="n"/>
      <c r="S369" s="1168" t="n"/>
      <c r="T369" s="1168" t="n"/>
      <c r="U369" s="1168" t="n"/>
      <c r="V369" s="1168" t="n"/>
      <c r="W369" s="1168" t="n"/>
      <c r="X369" s="1168" t="n"/>
      <c r="Y369" s="1167" t="n"/>
    </row>
    <row r="370" s="3154" customFormat="1" ht="12.75" customHeight="1">
      <c r="A370" s="1163">
        <f t="array" ref="A370">IF(I369&gt;0.5,A369+1,"")</f>
      </c>
      <c r="B370" s="1164">
        <f t="array" ref="B370">IF(A370&lt;&gt;"",DATE(YEAR($D$9),MONTH($D$9)+A370,DAY($D$9)),"")</f>
      </c>
      <c r="C370" s="1164">
        <f t="array" ref="C370">IF(A370&lt;&gt;"",I369,"")</f>
      </c>
      <c r="D370" s="1164">
        <f t="array" ref="D370">IF(A370&lt;&gt;"",$H$5,"")</f>
      </c>
      <c r="E370" s="3517">
        <v>0</v>
      </c>
      <c r="F370" s="1164">
        <f t="array" ref="F370">IF(A370&lt;&gt;"",D370+E370,"")</f>
      </c>
      <c r="G370" s="3516">
        <f t="array" ref="G370">IF(A370&lt;&gt;"",F370-H370,0)</f>
        <v>0</v>
      </c>
      <c r="H370" s="3516">
        <f t="array" ref="H370">IF(A370&lt;&gt;"",C370*$D$6/$D$8,0)</f>
        <v>0</v>
      </c>
      <c r="I370" s="3516">
        <f t="array" ref="I370">IF(A370&lt;&gt;"",C370-G370,0)</f>
        <v>0</v>
      </c>
      <c r="J370" s="3516">
        <f t="array" ref="J370">IF(A370&lt;&gt;"",J369+H370,J369)</f>
        <v>5051283.30222094</v>
      </c>
      <c r="K370" s="666"/>
      <c r="L370" s="1167" t="n"/>
      <c r="M370" s="1167" t="n"/>
      <c r="N370" s="1168" t="n"/>
      <c r="O370" s="1168" t="n"/>
      <c r="P370" s="1168" t="n"/>
      <c r="Q370" s="1168" t="n"/>
      <c r="R370" s="1168" t="n"/>
      <c r="S370" s="1168" t="n"/>
      <c r="T370" s="1168" t="n"/>
      <c r="U370" s="1168" t="n"/>
      <c r="V370" s="1168" t="n"/>
      <c r="W370" s="1168" t="n"/>
      <c r="X370" s="1168" t="n"/>
      <c r="Y370" s="1167" t="n"/>
    </row>
    <row r="371" s="3154" customFormat="1" ht="12.75" customHeight="1">
      <c r="A371" s="1163">
        <f t="array" ref="A371">IF(I370&gt;0.5,A370+1,"")</f>
      </c>
      <c r="B371" s="1164">
        <f t="array" ref="B371">IF(A371&lt;&gt;"",DATE(YEAR($D$9),MONTH($D$9)+A371,DAY($D$9)),"")</f>
      </c>
      <c r="C371" s="1164">
        <f t="array" ref="C371">IF(A371&lt;&gt;"",I370,"")</f>
      </c>
      <c r="D371" s="1164">
        <f t="array" ref="D371">IF(A371&lt;&gt;"",$H$5,"")</f>
      </c>
      <c r="E371" s="3517">
        <v>0</v>
      </c>
      <c r="F371" s="1164">
        <f t="array" ref="F371">IF(A371&lt;&gt;"",D371+E371,"")</f>
      </c>
      <c r="G371" s="3516">
        <f t="array" ref="G371">IF(A371&lt;&gt;"",F371-H371,0)</f>
        <v>0</v>
      </c>
      <c r="H371" s="3516">
        <f t="array" ref="H371">IF(A371&lt;&gt;"",C371*$D$6/$D$8,0)</f>
        <v>0</v>
      </c>
      <c r="I371" s="3516">
        <f t="array" ref="I371">IF(A371&lt;&gt;"",C371-G371,0)</f>
        <v>0</v>
      </c>
      <c r="J371" s="3516">
        <f t="array" ref="J371">IF(A371&lt;&gt;"",J370+H371,J370)</f>
        <v>5051283.30222094</v>
      </c>
      <c r="K371" s="666"/>
      <c r="L371" s="1167" t="n"/>
      <c r="M371" s="1167" t="n"/>
      <c r="N371" s="1168" t="n"/>
      <c r="O371" s="1168" t="n"/>
      <c r="P371" s="1168" t="n"/>
      <c r="Q371" s="1168" t="n"/>
      <c r="R371" s="1168" t="n"/>
      <c r="S371" s="1168" t="n"/>
      <c r="T371" s="1168" t="n"/>
      <c r="U371" s="1168" t="n"/>
      <c r="V371" s="1168" t="n"/>
      <c r="W371" s="1168" t="n"/>
      <c r="X371" s="1168" t="n"/>
      <c r="Y371" s="1167" t="n"/>
    </row>
    <row r="372" s="3154" customFormat="1" ht="12.75" customHeight="1">
      <c r="A372" s="1163">
        <f t="array" ref="A372">IF(I371&gt;0.5,A371+1,"")</f>
      </c>
      <c r="B372" s="1164">
        <f t="array" ref="B372">IF(A372&lt;&gt;"",DATE(YEAR($D$9),MONTH($D$9)+A372,DAY($D$9)),"")</f>
      </c>
      <c r="C372" s="1164">
        <f t="array" ref="C372">IF(A372&lt;&gt;"",I371,"")</f>
      </c>
      <c r="D372" s="1164">
        <f t="array" ref="D372">IF(A372&lt;&gt;"",$H$5,"")</f>
      </c>
      <c r="E372" s="3517">
        <v>0</v>
      </c>
      <c r="F372" s="1164">
        <f t="array" ref="F372">IF(A372&lt;&gt;"",D372+E372,"")</f>
      </c>
      <c r="G372" s="3516">
        <f t="array" ref="G372">IF(A372&lt;&gt;"",F372-H372,0)</f>
        <v>0</v>
      </c>
      <c r="H372" s="3516">
        <f t="array" ref="H372">IF(A372&lt;&gt;"",C372*$D$6/$D$8,0)</f>
        <v>0</v>
      </c>
      <c r="I372" s="3516">
        <f t="array" ref="I372">IF(A372&lt;&gt;"",C372-G372,0)</f>
        <v>0</v>
      </c>
      <c r="J372" s="3516">
        <f t="array" ref="J372">IF(A372&lt;&gt;"",J371+H372,J371)</f>
        <v>5051283.30222094</v>
      </c>
      <c r="K372" s="666"/>
      <c r="L372" s="1167" t="n"/>
      <c r="M372" s="1167" t="n"/>
      <c r="N372" s="1168" t="n"/>
      <c r="O372" s="1168" t="n"/>
      <c r="P372" s="1168" t="n"/>
      <c r="Q372" s="1168" t="n"/>
      <c r="R372" s="1168" t="n"/>
      <c r="S372" s="1168" t="n"/>
      <c r="T372" s="1168" t="n"/>
      <c r="U372" s="1168" t="n"/>
      <c r="V372" s="1168" t="n"/>
      <c r="W372" s="1168" t="n"/>
      <c r="X372" s="1168" t="n"/>
      <c r="Y372" s="1167" t="n"/>
    </row>
    <row r="373" s="3154" customFormat="1" ht="12.75" customHeight="1">
      <c r="A373" s="1163">
        <f t="array" ref="A373">IF(I372&gt;0.5,A372+1,"")</f>
      </c>
      <c r="B373" s="1164">
        <f t="array" ref="B373">IF(A373&lt;&gt;"",DATE(YEAR($D$9),MONTH($D$9)+A373,DAY($D$9)),"")</f>
      </c>
      <c r="C373" s="1164">
        <f t="array" ref="C373">IF(A373&lt;&gt;"",I372,"")</f>
      </c>
      <c r="D373" s="1164">
        <f t="array" ref="D373">IF(A373&lt;&gt;"",$H$5,"")</f>
      </c>
      <c r="E373" s="3517">
        <v>0</v>
      </c>
      <c r="F373" s="1164">
        <f t="array" ref="F373">IF(A373&lt;&gt;"",D373+E373,"")</f>
      </c>
      <c r="G373" s="3516">
        <f t="array" ref="G373">IF(A373&lt;&gt;"",F373-H373,0)</f>
        <v>0</v>
      </c>
      <c r="H373" s="3516">
        <f t="array" ref="H373">IF(A373&lt;&gt;"",C373*$D$6/$D$8,0)</f>
        <v>0</v>
      </c>
      <c r="I373" s="3516">
        <f t="array" ref="I373">IF(A373&lt;&gt;"",C373-G373,0)</f>
        <v>0</v>
      </c>
      <c r="J373" s="3516">
        <f t="array" ref="J373">IF(A373&lt;&gt;"",J372+H373,J372)</f>
        <v>5051283.30222094</v>
      </c>
      <c r="K373" s="666"/>
      <c r="L373" s="1167" t="n"/>
      <c r="M373" s="1167" t="n"/>
      <c r="N373" s="1168" t="n"/>
      <c r="O373" s="1168" t="n"/>
      <c r="P373" s="1168" t="n"/>
      <c r="Q373" s="1168" t="n"/>
      <c r="R373" s="1168" t="n"/>
      <c r="S373" s="1168" t="n"/>
      <c r="T373" s="1168" t="n"/>
      <c r="U373" s="1168" t="n"/>
      <c r="V373" s="1168" t="n"/>
      <c r="W373" s="1168" t="n"/>
      <c r="X373" s="1168" t="n"/>
      <c r="Y373" s="1167" t="n"/>
    </row>
    <row r="374" s="3154" customFormat="1" ht="12.75" customHeight="1">
      <c r="A374" s="1163">
        <f t="array" ref="A374">IF(I373&gt;0.5,A373+1,"")</f>
      </c>
      <c r="B374" s="1164">
        <f t="array" ref="B374">IF(A374&lt;&gt;"",DATE(YEAR($D$9),MONTH($D$9)+A374,DAY($D$9)),"")</f>
      </c>
      <c r="C374" s="1164">
        <f t="array" ref="C374">IF(A374&lt;&gt;"",I373,"")</f>
      </c>
      <c r="D374" s="1164">
        <f t="array" ref="D374">IF(A374&lt;&gt;"",$H$5,"")</f>
      </c>
      <c r="E374" s="3517">
        <v>0</v>
      </c>
      <c r="F374" s="1164">
        <f t="array" ref="F374">IF(A374&lt;&gt;"",D374+E374,"")</f>
      </c>
      <c r="G374" s="3516">
        <f t="array" ref="G374">IF(A374&lt;&gt;"",F374-H374,0)</f>
        <v>0</v>
      </c>
      <c r="H374" s="3516">
        <f t="array" ref="H374">IF(A374&lt;&gt;"",C374*$D$6/$D$8,0)</f>
        <v>0</v>
      </c>
      <c r="I374" s="3516">
        <f t="array" ref="I374">IF(A374&lt;&gt;"",C374-G374,0)</f>
        <v>0</v>
      </c>
      <c r="J374" s="3516">
        <f t="array" ref="J374">IF(A374&lt;&gt;"",J373+H374,J373)</f>
        <v>5051283.30222094</v>
      </c>
      <c r="K374" s="666"/>
      <c r="L374" s="1167" t="n"/>
      <c r="M374" s="1167" t="n"/>
      <c r="N374" s="1168" t="n"/>
      <c r="O374" s="1168" t="n"/>
      <c r="P374" s="1168" t="n"/>
      <c r="Q374" s="1168" t="n"/>
      <c r="R374" s="1168" t="n"/>
      <c r="S374" s="1168" t="n"/>
      <c r="T374" s="1168" t="n"/>
      <c r="U374" s="1168" t="n"/>
      <c r="V374" s="1168" t="n"/>
      <c r="W374" s="1168" t="n"/>
      <c r="X374" s="1168" t="n"/>
      <c r="Y374" s="1167" t="n"/>
    </row>
    <row r="375" s="3154" customFormat="1" ht="12.75" customHeight="1">
      <c r="A375" s="1163">
        <f t="array" ref="A375">IF(I374&gt;0.5,A374+1,"")</f>
      </c>
      <c r="B375" s="1164">
        <f t="array" ref="B375">IF(A375&lt;&gt;"",DATE(YEAR($D$9),MONTH($D$9)+A375,DAY($D$9)),"")</f>
      </c>
      <c r="C375" s="1164">
        <f t="array" ref="C375">IF(A375&lt;&gt;"",I374,"")</f>
      </c>
      <c r="D375" s="1164">
        <f t="array" ref="D375">IF(A375&lt;&gt;"",$H$5,"")</f>
      </c>
      <c r="E375" s="3517">
        <v>0</v>
      </c>
      <c r="F375" s="1164">
        <f t="array" ref="F375">IF(A375&lt;&gt;"",D375+E375,"")</f>
      </c>
      <c r="G375" s="3516">
        <f t="array" ref="G375">IF(A375&lt;&gt;"",F375-H375,0)</f>
        <v>0</v>
      </c>
      <c r="H375" s="3516">
        <f t="array" ref="H375">IF(A375&lt;&gt;"",C375*$D$6/$D$8,0)</f>
        <v>0</v>
      </c>
      <c r="I375" s="3516">
        <f t="array" ref="I375">IF(A375&lt;&gt;"",C375-G375,0)</f>
        <v>0</v>
      </c>
      <c r="J375" s="3516">
        <f t="array" ref="J375">IF(A375&lt;&gt;"",J374+H375,J374)</f>
        <v>5051283.30222094</v>
      </c>
      <c r="K375" s="666"/>
      <c r="L375" s="1167" t="n"/>
      <c r="M375" s="1167" t="n"/>
      <c r="N375" s="1168" t="n"/>
      <c r="O375" s="1168" t="n"/>
      <c r="P375" s="1168" t="n"/>
      <c r="Q375" s="1168" t="n"/>
      <c r="R375" s="1168" t="n"/>
      <c r="S375" s="1168" t="n"/>
      <c r="T375" s="1168" t="n"/>
      <c r="U375" s="1168" t="n"/>
      <c r="V375" s="1168" t="n"/>
      <c r="W375" s="1168" t="n"/>
      <c r="X375" s="1168" t="n"/>
      <c r="Y375" s="1167" t="n"/>
    </row>
    <row r="376" s="3154" customFormat="1" ht="12.75" customHeight="1">
      <c r="A376" s="1163">
        <f t="array" ref="A376">IF(I375&gt;0.5,A375+1,"")</f>
      </c>
      <c r="B376" s="1164">
        <f t="array" ref="B376">IF(A376&lt;&gt;"",DATE(YEAR($D$9),MONTH($D$9)+A376,DAY($D$9)),"")</f>
      </c>
      <c r="C376" s="1164">
        <f t="array" ref="C376">IF(A376&lt;&gt;"",I375,"")</f>
      </c>
      <c r="D376" s="1164">
        <f t="array" ref="D376">IF(A376&lt;&gt;"",$H$5,"")</f>
      </c>
      <c r="E376" s="3517">
        <v>0</v>
      </c>
      <c r="F376" s="1164">
        <f t="array" ref="F376">IF(A376&lt;&gt;"",D376+E376,"")</f>
      </c>
      <c r="G376" s="3516">
        <f t="array" ref="G376">IF(A376&lt;&gt;"",F376-H376,0)</f>
        <v>0</v>
      </c>
      <c r="H376" s="3516">
        <f t="array" ref="H376">IF(A376&lt;&gt;"",C376*$D$6/$D$8,0)</f>
        <v>0</v>
      </c>
      <c r="I376" s="3516">
        <f t="array" ref="I376">IF(A376&lt;&gt;"",C376-G376,0)</f>
        <v>0</v>
      </c>
      <c r="J376" s="3516">
        <f t="array" ref="J376">IF(A376&lt;&gt;"",J375+H376,J375)</f>
        <v>5051283.30222094</v>
      </c>
      <c r="K376" s="666"/>
      <c r="L376" s="1167" t="n"/>
      <c r="M376" s="1167" t="n"/>
      <c r="N376" s="1168" t="n"/>
      <c r="O376" s="1168" t="n"/>
      <c r="P376" s="1168" t="n"/>
      <c r="Q376" s="1168" t="n"/>
      <c r="R376" s="1168" t="n"/>
      <c r="S376" s="1168" t="n"/>
      <c r="T376" s="1168" t="n"/>
      <c r="U376" s="1168" t="n"/>
      <c r="V376" s="1168" t="n"/>
      <c r="W376" s="1168" t="n"/>
      <c r="X376" s="1168" t="n"/>
      <c r="Y376" s="1167" t="n"/>
    </row>
    <row r="377" s="3154" customFormat="1" ht="12.75" customHeight="1">
      <c r="A377" s="1163">
        <f t="array" ref="A377">IF(I376&gt;0.5,A376+1,"")</f>
      </c>
      <c r="B377" s="1164">
        <f t="array" ref="B377">IF(A377&lt;&gt;"",DATE(YEAR($D$9),MONTH($D$9)+A377,DAY($D$9)),"")</f>
      </c>
      <c r="C377" s="1164">
        <f t="array" ref="C377">IF(A377&lt;&gt;"",I376,"")</f>
      </c>
      <c r="D377" s="1164">
        <f t="array" ref="D377">IF(A377&lt;&gt;"",$H$5,"")</f>
      </c>
      <c r="E377" s="3517">
        <v>0</v>
      </c>
      <c r="F377" s="1164">
        <f t="array" ref="F377">IF(A377&lt;&gt;"",D377+E377,"")</f>
      </c>
      <c r="G377" s="3516">
        <f t="array" ref="G377">IF(A377&lt;&gt;"",F377-H377,0)</f>
        <v>0</v>
      </c>
      <c r="H377" s="3516">
        <f t="array" ref="H377">IF(A377&lt;&gt;"",C377*$D$6/$D$8,0)</f>
        <v>0</v>
      </c>
      <c r="I377" s="3516">
        <f t="array" ref="I377">IF(A377&lt;&gt;"",C377-G377,0)</f>
        <v>0</v>
      </c>
      <c r="J377" s="3516">
        <f t="array" ref="J377">IF(A377&lt;&gt;"",J376+H377,J376)</f>
        <v>5051283.30222094</v>
      </c>
      <c r="K377" s="666"/>
      <c r="L377" s="1167" t="n"/>
      <c r="M377" s="1167" t="n"/>
      <c r="N377" s="1168" t="n"/>
      <c r="O377" s="1168" t="n"/>
      <c r="P377" s="1168" t="n"/>
      <c r="Q377" s="1168" t="n"/>
      <c r="R377" s="1168" t="n"/>
      <c r="S377" s="1168" t="n"/>
      <c r="T377" s="1168" t="n"/>
      <c r="U377" s="1168" t="n"/>
      <c r="V377" s="1168" t="n"/>
      <c r="W377" s="1168" t="n"/>
      <c r="X377" s="1168" t="n"/>
      <c r="Y377" s="1167" t="n"/>
    </row>
    <row r="378" s="3154" customFormat="1" ht="12.75" customHeight="1">
      <c r="A378" s="1165" t="n"/>
      <c r="B378" s="129" t="n"/>
      <c r="C378" s="129" t="n"/>
      <c r="D378" s="129" t="n"/>
      <c r="E378" s="129" t="n"/>
      <c r="F378" s="129" t="n"/>
      <c r="G378" s="129" t="n"/>
      <c r="H378" s="129" t="n"/>
      <c r="I378" s="129" t="n"/>
      <c r="J378" s="129" t="n"/>
      <c r="K378" s="1167" t="n"/>
      <c r="L378" s="1167" t="n"/>
      <c r="M378" s="1167" t="n"/>
      <c r="N378" s="1168" t="n"/>
      <c r="O378" s="1168" t="n"/>
      <c r="P378" s="1168" t="n"/>
      <c r="Q378" s="1168" t="n"/>
      <c r="R378" s="1168" t="n"/>
      <c r="S378" s="1168" t="n"/>
      <c r="T378" s="1168" t="n"/>
      <c r="U378" s="1168" t="n"/>
      <c r="V378" s="1168" t="n"/>
      <c r="W378" s="1168" t="n"/>
      <c r="X378" s="1168" t="n"/>
      <c r="Y378" s="1167" t="n"/>
    </row>
  </sheetData>
  <mergeCells>
    <mergeCell ref="K25:L25"/>
    <mergeCell ref="K83:L83"/>
    <mergeCell ref="K24:L24"/>
    <mergeCell ref="K95:L95"/>
    <mergeCell ref="K108:L108"/>
    <mergeCell ref="K36:L36"/>
    <mergeCell ref="K88:L88"/>
    <mergeCell ref="K64:L64"/>
    <mergeCell ref="K60:L60"/>
    <mergeCell ref="K29:L29"/>
    <mergeCell ref="K35:L35"/>
    <mergeCell ref="K47:L47"/>
    <mergeCell ref="K100:L100"/>
    <mergeCell ref="K119:L119"/>
    <mergeCell ref="K76:L76"/>
    <mergeCell ref="K72:L72"/>
    <mergeCell ref="K41:L41"/>
    <mergeCell ref="K84:L84"/>
    <mergeCell ref="K40:L40"/>
    <mergeCell ref="K131:L131"/>
    <mergeCell ref="K96:L96"/>
    <mergeCell ref="A1:D1"/>
    <mergeCell ref="C12:D12"/>
    <mergeCell ref="K52:L52"/>
    <mergeCell ref="J4:J7"/>
    <mergeCell ref="K59:L59"/>
    <mergeCell ref="B4:D4"/>
    <mergeCell ref="K120:L120"/>
    <mergeCell ref="K71:L71"/>
    <mergeCell ref="F4:H4"/>
    <mergeCell ref="K136:L136"/>
    <mergeCell ref="K23:L23"/>
    <mergeCell ref="K107:L107"/>
    <mergeCell ref="K39:L39"/>
    <mergeCell ref="K132:L132"/>
    <mergeCell ref="K48:L48"/>
    <mergeCell ref="K38:L38"/>
    <mergeCell ref="K28:L28"/>
    <mergeCell ref="K112:L112"/>
    <mergeCell ref="K37:L37"/>
    <mergeCell ref="K124:L124"/>
  </mergeCells>
  <pageMargins left="0.7" right="0.7" top="0.75" bottom="0.75" header="0.3" footer="0.3"/>
  <drawing r:id="R367c2e36276d4f36"/>
</worksheet>
</file>

<file path=xl/worksheets/sheet7.xml><?xml version="1.0" encoding="utf-8"?>
<worksheet xmlns="http://schemas.openxmlformats.org/spreadsheetml/2006/main" xmlns:r="http://schemas.openxmlformats.org/officeDocument/2006/relationships">
  <sheetFormatPr baseColWidth="8" defaultColWidth="8.666669845581055" defaultRowHeight="15"/>
  <cols>
    <col min="1" max="1" width="13.35159969329834" style="1167" customWidth="1"/>
    <col min="2" max="2" width="8.671879768371582" style="1168" customWidth="1"/>
    <col min="3" max="3" width="11.35159969329834" style="1167" customWidth="1"/>
    <col min="4" max="4" width="9.85155963897705" style="1167" customWidth="1"/>
    <col min="5" max="5" width="11.5" style="1167" customWidth="1"/>
    <col min="6" max="6" width="3" style="1167" customWidth="1"/>
    <col min="7" max="7" width="47.17190170288086" style="1167" customWidth="1"/>
    <col min="8" max="8" width="19.671899795532227" style="1167" customWidth="1"/>
    <col min="9" max="10" width="11.171899795532227" style="1167" customWidth="1"/>
    <col min="11" max="11" width="3.5" style="1167" customWidth="1"/>
    <col min="12" max="12" width="18.351600646972656" style="1167" customWidth="1"/>
    <col min="13" max="14" width="11.171899795532227" style="1167" customWidth="1"/>
    <col min="15" max="15" width="3.5" style="1167" customWidth="1"/>
    <col min="16" max="16" width="16.671899795532227" style="1167" customWidth="1"/>
    <col min="17" max="18" width="11.171899795532227" style="1167" customWidth="1"/>
    <col min="19" max="19" width="3.5" style="1167" customWidth="1"/>
    <col min="20" max="20" width="16.671899795532227" style="1167" customWidth="1"/>
    <col min="21" max="22" width="11.171899795532227" style="1167" customWidth="1"/>
    <col min="23" max="23" width="3.5" style="1167" customWidth="1"/>
    <col min="24" max="24" width="16.671899795532227" style="1167" customWidth="1"/>
    <col min="25" max="26" width="11.171899795532227" style="1167" customWidth="1"/>
    <col min="27" max="27" width="3.5" style="1167" customWidth="1"/>
    <col min="28" max="28" width="16.671899795532227" style="1167" customWidth="1"/>
    <col min="29" max="30" width="11.171899795532227" style="1167" customWidth="1"/>
    <col min="31" max="31" width="3.5" style="1167" customWidth="1"/>
    <col min="32" max="32" width="17.5" style="1167" customWidth="1"/>
    <col min="33" max="34" width="11.171899795532227" style="1167" customWidth="1"/>
    <col min="35" max="35" width="3.5" style="1167" customWidth="1"/>
    <col min="36" max="36" width="18.851600646972656" style="1167" customWidth="1"/>
    <col min="37" max="38" width="11.171899795532227" style="1167" customWidth="1"/>
    <col min="39" max="39" width="3.5" style="1167" customWidth="1"/>
    <col min="40" max="40" width="16.671899795532227" style="1167" customWidth="1"/>
    <col min="41" max="42" width="11.171899795532227" style="1167" customWidth="1"/>
    <col min="43" max="43" width="3.5" style="1167" customWidth="1"/>
    <col min="44" max="44" width="16.671899795532227" style="1167" customWidth="1"/>
    <col min="45" max="45" width="12" style="1167" customWidth="1"/>
    <col min="46" max="46" width="11.171899795532227" style="1167" customWidth="1"/>
    <col min="47" max="47" width="3.5" style="1167" customWidth="1"/>
    <col min="48" max="48" width="16.671899795532227" style="1167" customWidth="1"/>
    <col min="49" max="50" width="11.171899795532227" style="1167" customWidth="1"/>
    <col min="51" max="51" width="3.5" style="1167" customWidth="1"/>
    <col min="52" max="52" width="16.671899795532227" style="1167" customWidth="1"/>
    <col min="53" max="54" width="11.171899795532227" style="1167" customWidth="1"/>
    <col min="55" max="55" width="3.5" style="1167" customWidth="1"/>
    <col min="56" max="56" width="18.5" style="1167" customWidth="1"/>
    <col min="57" max="58" width="11.171899795532227" style="1167" customWidth="1"/>
    <col min="59" max="59" width="3.5" style="1167" customWidth="1"/>
    <col min="60" max="60" width="9.171879768371582" style="1167" customWidth="1"/>
    <col min="61" max="61" width="13" style="1167" customWidth="1"/>
    <col min="62" max="16384" width="8.671879768371582" style="3136" customWidth="1"/>
  </cols>
  <sheetData>
    <row r="1" s="1168" customFormat="1" ht="15.75" customHeight="1">
      <c r="F1" s="1169" t="n"/>
      <c r="G1" s="1170" t="inlineStr">
        <is>
          <t xml:space="preserve">Rooms Growth per year</t>
        </is>
      </c>
      <c r="H1" s="1171" t="n"/>
      <c r="K1" s="1169" t="n"/>
      <c r="L1" s="895" t="n">
        <v>0.03</v>
      </c>
    </row>
    <row r="2" s="1168" customFormat="1" ht="12.75" customHeight="1">
      <c r="F2" s="1172" t="n"/>
      <c r="G2" s="1170" t="inlineStr">
        <is>
          <t xml:space="preserve">ADR Growth Per Year</t>
        </is>
      </c>
      <c r="H2" s="1171" t="n"/>
      <c r="K2" s="1172" t="n"/>
      <c r="L2" s="895" t="n">
        <v>0.01</v>
      </c>
    </row>
    <row r="3" s="1168" customFormat="1" ht="12.75" customHeight="1">
      <c r="F3" s="1172" t="n"/>
      <c r="G3" s="1170" t="inlineStr">
        <is>
          <t xml:space="preserve">Sundry Goods Growth</t>
        </is>
      </c>
      <c r="H3" s="1171" t="n"/>
      <c r="K3" s="1172" t="n"/>
      <c r="L3" s="895" t="n">
        <v>0.01</v>
      </c>
    </row>
    <row r="4" s="1168" customFormat="1" ht="15" customHeight="1">
      <c r="F4" s="1172" t="n"/>
      <c r="G4" s="1170" t="inlineStr">
        <is>
          <t xml:space="preserve">Food Cost Growth</t>
        </is>
      </c>
      <c r="H4" s="1171" t="n"/>
      <c r="K4" s="1172" t="n"/>
      <c r="L4" s="1173" t="n">
        <v>0.0025</v>
      </c>
    </row>
    <row r="5" s="1168" customFormat="1" ht="12.75" customHeight="1">
      <c r="F5" s="1172" t="n"/>
      <c r="G5" s="1170" t="inlineStr">
        <is>
          <t xml:space="preserve">Beverage Growth</t>
        </is>
      </c>
      <c r="H5" s="1171" t="n"/>
      <c r="K5" s="1172" t="n"/>
      <c r="L5" s="1173" t="n">
        <v>0.0025</v>
      </c>
    </row>
    <row r="6" s="1168" customFormat="1" ht="12.75" customHeight="1">
      <c r="F6" s="1172" t="n"/>
      <c r="G6" s="1170" t="inlineStr">
        <is>
          <t xml:space="preserve">Variable Cost Growth Per Yaer</t>
        </is>
      </c>
      <c r="H6" s="1171" t="n"/>
      <c r="K6" s="1172" t="n"/>
      <c r="L6" s="895" t="n">
        <v>0.01</v>
      </c>
    </row>
    <row r="7" s="1168" customFormat="1" ht="12.75" customHeight="1">
      <c r="A7" s="929" t="inlineStr">
        <is>
          <t xml:space="preserve">Rooms</t>
        </is>
      </c>
      <c r="B7" s="3538" t="n"/>
      <c r="C7" s="3539" t="n">
        <f>'Assumptions'!J7</f>
        <v>100</v>
      </c>
      <c r="F7" s="1172" t="n"/>
      <c r="G7" s="1176" t="inlineStr">
        <is>
          <t xml:space="preserve">Fixed Cost growth Per Year</t>
        </is>
      </c>
      <c r="H7" s="1171" t="n"/>
      <c r="K7" s="1172" t="n"/>
      <c r="L7" s="1173" t="n">
        <v>0.005</v>
      </c>
      <c r="M7" s="1177" t="n"/>
    </row>
    <row r="8" s="1168" customFormat="1" ht="12.75" customHeight="1">
      <c r="C8" s="3539" t="n"/>
      <c r="F8" s="1172" t="n"/>
      <c r="G8" s="1178" t="n"/>
      <c r="K8" s="1172" t="n"/>
      <c r="L8" s="1179" t="n"/>
      <c r="M8" s="1177" t="n"/>
    </row>
    <row r="9" s="1168" customFormat="1" ht="13.5" customHeight="1">
      <c r="C9" s="101" t="n">
        <v>365</v>
      </c>
      <c r="F9" s="1172" t="n"/>
      <c r="G9" s="1180" t="n"/>
      <c r="H9" s="1181" t="inlineStr">
        <is>
          <t xml:space="preserve">Ttl Rooms</t>
        </is>
      </c>
      <c r="I9" s="872" t="n">
        <f t="array" ref="I9">C7*C9</f>
        <v>36500</v>
      </c>
      <c r="K9" s="1172" t="n"/>
      <c r="L9" s="1182" t="n"/>
      <c r="M9" s="1183" t="n"/>
      <c r="N9" s="3540" t="n"/>
      <c r="R9" s="3540" t="n"/>
      <c r="U9" s="872" t="n"/>
    </row>
    <row r="10" s="1168" customFormat="1" ht="13.5" customHeight="1">
      <c r="A10" s="101" t="n"/>
      <c r="B10" s="1185" t="n"/>
      <c r="C10" s="101" t="n">
        <v>12</v>
      </c>
      <c r="F10" s="1172" t="n"/>
      <c r="G10" s="1186" t="inlineStr">
        <is>
          <t xml:space="preserve">Sleep Space — Austin, TX</t>
        </is>
      </c>
      <c r="H10" s="942" t="inlineStr">
        <is>
          <t>Year 1</t>
        </is>
      </c>
      <c r="I10" s="3424" t="n"/>
      <c r="J10" s="3425" t="n"/>
      <c r="K10" s="1172" t="n"/>
      <c r="L10" s="942" t="inlineStr">
        <is>
          <t>Year 2</t>
        </is>
      </c>
      <c r="M10" s="3424" t="n"/>
      <c r="N10" s="3425" t="n"/>
      <c r="P10" s="3541" t="inlineStr">
        <is>
          <t>Year 3</t>
        </is>
      </c>
      <c r="Q10" s="921" t="n"/>
      <c r="R10" s="3542" t="n"/>
      <c r="T10" s="3541" t="inlineStr">
        <is>
          <t>Year 4</t>
        </is>
      </c>
      <c r="U10" s="1190" t="n"/>
      <c r="V10" s="3543" t="n"/>
      <c r="X10" s="3544" t="inlineStr">
        <is>
          <t>Year 5</t>
        </is>
      </c>
      <c r="AB10" s="3544" t="inlineStr">
        <is>
          <t>Year 6</t>
        </is>
      </c>
      <c r="AF10" s="3544" t="inlineStr">
        <is>
          <t>Year 7</t>
        </is>
      </c>
      <c r="AJ10" s="3544" t="inlineStr">
        <is>
          <t>Year 8</t>
        </is>
      </c>
      <c r="AN10" s="3544" t="inlineStr">
        <is>
          <t>Year 9</t>
        </is>
      </c>
      <c r="AR10" s="3544" t="inlineStr">
        <is>
          <t>Year 10</t>
        </is>
      </c>
      <c r="AV10" s="3544" t="inlineStr">
        <is>
          <t>Year 11</t>
        </is>
      </c>
      <c r="AZ10" s="3544" t="inlineStr">
        <is>
          <t>Year 12</t>
        </is>
      </c>
      <c r="BC10" s="1193" t="n"/>
      <c r="BD10" s="1194" t="inlineStr">
        <is>
          <t>Annual Total</t>
        </is>
      </c>
    </row>
    <row r="11" s="1168" customFormat="1" ht="12.75" customHeight="1">
      <c r="A11" s="1195" t="n"/>
      <c r="B11" s="1195" t="n"/>
      <c r="C11" s="1195" t="n"/>
      <c r="D11" s="1195" t="n"/>
      <c r="E11" s="1196" t="n"/>
      <c r="F11" s="1172" t="n"/>
      <c r="G11" s="3545" t="n"/>
      <c r="H11" s="963" t="inlineStr">
        <is>
          <t>OCC</t>
        </is>
      </c>
      <c r="I11" s="1198">
        <f>'Assumptions'!F30</f>
        <v>0.55</v>
      </c>
      <c r="J11" s="1199" t="n"/>
      <c r="K11" s="1172" t="n"/>
      <c r="L11" s="963" t="inlineStr">
        <is>
          <t>OCC</t>
        </is>
      </c>
      <c r="M11" s="1198">
        <f>'Assumptions'!G30</f>
        <v>0.65</v>
      </c>
      <c r="N11" s="3546" t="n"/>
      <c r="P11" s="963" t="inlineStr">
        <is>
          <t>OCC</t>
        </is>
      </c>
      <c r="Q11" s="1200">
        <f>'Assumptions'!H30</f>
        <v>0.72</v>
      </c>
      <c r="R11" s="3547" t="n"/>
      <c r="T11" s="963" t="inlineStr">
        <is>
          <t>OCC</t>
        </is>
      </c>
      <c r="U11" s="1202">
        <f>'Assumptions'!I30</f>
        <v>0.72</v>
      </c>
      <c r="V11" s="3548" t="n"/>
      <c r="X11" s="963" t="inlineStr">
        <is>
          <t>OCC</t>
        </is>
      </c>
      <c r="Y11" s="1204">
        <f>'Assumptions'!J30</f>
        <v>0.72</v>
      </c>
      <c r="Z11" s="3549" t="n"/>
      <c r="AB11" s="963" t="inlineStr">
        <is>
          <t>OCC</t>
        </is>
      </c>
      <c r="AC11" s="1204">
        <f>'Assumptions'!K30</f>
        <v>0.72</v>
      </c>
      <c r="AD11" s="3549" t="n"/>
      <c r="AF11" s="963" t="inlineStr">
        <is>
          <t>OCC</t>
        </is>
      </c>
      <c r="AG11" s="1204">
        <f>'Assumptions'!L30</f>
        <v>0.72</v>
      </c>
      <c r="AH11" s="3549" t="n"/>
      <c r="AJ11" s="963" t="inlineStr">
        <is>
          <t>OCC</t>
        </is>
      </c>
      <c r="AK11" s="1204">
        <f>'Assumptions'!M30</f>
        <v>0.72</v>
      </c>
      <c r="AL11" s="3549" t="n"/>
      <c r="AN11" s="963" t="inlineStr">
        <is>
          <t>OCC</t>
        </is>
      </c>
      <c r="AO11" s="1204">
        <f>'Assumptions'!N30</f>
        <v>0.72</v>
      </c>
      <c r="AP11" s="3549" t="n"/>
      <c r="AR11" s="963" t="inlineStr">
        <is>
          <t>OCC</t>
        </is>
      </c>
      <c r="AS11" s="1204">
        <f>'Assumptions'!O30</f>
        <v>0.72</v>
      </c>
      <c r="AT11" s="3549" t="n"/>
      <c r="AV11" s="963" t="inlineStr">
        <is>
          <t>OCC</t>
        </is>
      </c>
      <c r="AW11" s="1204">
        <f>'Assumptions'!O30</f>
        <v>0.72</v>
      </c>
      <c r="AX11" s="3549" t="n"/>
      <c r="AZ11" s="963" t="inlineStr">
        <is>
          <t>OCC</t>
        </is>
      </c>
      <c r="BA11" s="1204">
        <f>'Assumptions'!O30</f>
        <v>0.72</v>
      </c>
      <c r="BB11" s="3549" t="n"/>
      <c r="BD11" s="1206" t="inlineStr">
        <is>
          <t xml:space="preserve">OCC</t>
        </is>
      </c>
      <c r="BE11" s="1204" t="n">
        <f>'Assumptions'!O30</f>
        <v>0.72</v>
      </c>
      <c r="BF11" s="3549" t="n"/>
    </row>
    <row r="12" s="1168" customFormat="1" ht="13.5" customHeight="1">
      <c r="A12" s="1195" t="n"/>
      <c r="B12" s="1195" t="n"/>
      <c r="C12" s="1195" t="n"/>
      <c r="D12" s="1195" t="n"/>
      <c r="E12" s="1196" t="n"/>
      <c r="F12" s="1172" t="n"/>
      <c r="G12" s="3545" t="n"/>
      <c r="H12" s="967" t="inlineStr">
        <is>
          <t>ADR</t>
        </is>
      </c>
      <c r="I12" s="3550">
        <f>'Assumptions'!F32</f>
        <v>74</v>
      </c>
      <c r="J12" s="3551" t="n"/>
      <c r="K12" s="1172" t="n"/>
      <c r="L12" s="967" t="inlineStr">
        <is>
          <t>ADR</t>
        </is>
      </c>
      <c r="M12" s="3550">
        <f>'Assumptions'!G32</f>
        <v>75.48</v>
      </c>
      <c r="N12" s="3552" t="n"/>
      <c r="P12" s="967" t="inlineStr">
        <is>
          <t>ADR</t>
        </is>
      </c>
      <c r="Q12" s="3553">
        <f>'Assumptions'!H32</f>
        <v>76.9896</v>
      </c>
      <c r="R12" s="3554" t="n"/>
      <c r="T12" s="967" t="inlineStr">
        <is>
          <t>ADR</t>
        </is>
      </c>
      <c r="U12" s="3555">
        <f>'Assumptions'!I32</f>
        <v>78.529392</v>
      </c>
      <c r="V12" s="3549" t="n"/>
      <c r="X12" s="967" t="inlineStr">
        <is>
          <t>ADR</t>
        </is>
      </c>
      <c r="Y12" s="3555">
        <f>'Assumptions'!J32</f>
        <v>80.09997984</v>
      </c>
      <c r="Z12" s="3549" t="n"/>
      <c r="AB12" s="967" t="inlineStr">
        <is>
          <t>ADR</t>
        </is>
      </c>
      <c r="AC12" s="3555">
        <f>'Assumptions'!K32</f>
        <v>81.7019794368</v>
      </c>
      <c r="AD12" s="3549" t="n"/>
      <c r="AF12" s="967" t="inlineStr">
        <is>
          <t>ADR</t>
        </is>
      </c>
      <c r="AG12" s="3555">
        <f>'Assumptions'!L32</f>
        <v>83.3360190255</v>
      </c>
      <c r="AH12" s="3549" t="n"/>
      <c r="AJ12" s="967" t="inlineStr">
        <is>
          <t>ADR</t>
        </is>
      </c>
      <c r="AK12" s="3555">
        <f>'Assumptions'!M32</f>
        <v>85.002739406</v>
      </c>
      <c r="AL12" s="3549" t="n"/>
      <c r="AN12" s="967" t="inlineStr">
        <is>
          <t>ADR</t>
        </is>
      </c>
      <c r="AO12" s="3555">
        <f>'Assumptions'!N32</f>
        <v>86.7027941942</v>
      </c>
      <c r="AP12" s="3549" t="n"/>
      <c r="AR12" s="967" t="inlineStr">
        <is>
          <t>ADR</t>
        </is>
      </c>
      <c r="AS12" s="3555">
        <f>'Assumptions'!O32</f>
        <v>88.4368500781</v>
      </c>
      <c r="AT12" s="3549" t="n"/>
      <c r="AV12" s="967" t="inlineStr">
        <is>
          <t>ADR</t>
        </is>
      </c>
      <c r="AW12" s="3555">
        <f>'Assumptions'!O32</f>
        <v>88.4368500781</v>
      </c>
      <c r="AX12" s="3549" t="n"/>
      <c r="AZ12" s="967" t="inlineStr">
        <is>
          <t>ADR</t>
        </is>
      </c>
      <c r="BA12" s="3555">
        <f>'Assumptions'!O32</f>
        <v>88.4368500781</v>
      </c>
      <c r="BB12" s="3549" t="n"/>
      <c r="BD12" s="1212" t="inlineStr">
        <is>
          <t xml:space="preserve">ADR</t>
        </is>
      </c>
      <c r="BE12" s="3555" t="n">
        <f>'Assumptions'!O32</f>
        <v>99.38364731725291</v>
      </c>
      <c r="BF12" s="3549" t="n"/>
    </row>
    <row r="13" s="1168" customFormat="1" ht="12.75" customHeight="1">
      <c r="A13" s="1195" t="n"/>
      <c r="B13" s="1195" t="n"/>
      <c r="C13" s="1195" t="n"/>
      <c r="D13" s="1195" t="n"/>
      <c r="E13" s="1196" t="n"/>
      <c r="F13" s="1172" t="n"/>
      <c r="G13" s="3545" t="n"/>
      <c r="H13" s="1213" t="n"/>
      <c r="I13" s="1214" t="n"/>
      <c r="J13" s="3556" t="n"/>
      <c r="K13" s="1172" t="n"/>
      <c r="L13" s="1216" t="n"/>
      <c r="M13" s="1217" t="n"/>
      <c r="N13" s="1218" t="n"/>
      <c r="P13" s="1213" t="n"/>
      <c r="Q13" s="1219" t="n">
        <v>2019</v>
      </c>
      <c r="R13" s="3557" t="n"/>
      <c r="T13" s="1221" t="n"/>
      <c r="U13" s="1222" t="n">
        <v>2019</v>
      </c>
      <c r="V13" s="3558" t="n"/>
      <c r="X13" s="1224" t="n"/>
      <c r="Y13" s="1225" t="n">
        <v>2019</v>
      </c>
      <c r="Z13" s="3549" t="n"/>
      <c r="AB13" s="1224" t="n"/>
      <c r="AC13" s="1225" t="n">
        <v>2019</v>
      </c>
      <c r="AD13" s="3549" t="n"/>
      <c r="AF13" s="1224" t="n"/>
      <c r="AG13" s="1225" t="n">
        <v>2019</v>
      </c>
      <c r="AH13" s="3549" t="n"/>
      <c r="AJ13" s="1224" t="n"/>
      <c r="AK13" s="1225" t="n">
        <v>2019</v>
      </c>
      <c r="AL13" s="3549" t="n"/>
      <c r="AN13" s="1224" t="n"/>
      <c r="AO13" s="1225" t="n">
        <v>2019</v>
      </c>
      <c r="AP13" s="3549" t="n"/>
      <c r="AR13" s="1224" t="n"/>
      <c r="AS13" s="1225" t="n">
        <v>2019</v>
      </c>
      <c r="AT13" s="3549" t="n"/>
      <c r="AV13" s="1224" t="n"/>
      <c r="AW13" s="1225" t="n">
        <v>2019</v>
      </c>
      <c r="AX13" s="3549" t="n"/>
      <c r="AZ13" s="1224" t="n"/>
      <c r="BA13" s="1225" t="n">
        <v>2019</v>
      </c>
      <c r="BB13" s="3549" t="n"/>
      <c r="BD13" s="1226" t="n"/>
      <c r="BE13" s="1227" t="n">
        <v>2019</v>
      </c>
      <c r="BF13" s="3549" t="n"/>
    </row>
    <row r="14" s="1168" customFormat="1" ht="12.75" customHeight="1">
      <c r="A14" s="1195" t="n"/>
      <c r="B14" s="1195" t="n"/>
      <c r="C14" s="1195" t="n"/>
      <c r="D14" s="1195" t="n"/>
      <c r="E14" s="1196" t="n"/>
      <c r="F14" s="1172" t="n"/>
      <c r="G14" s="3545" t="n"/>
      <c r="H14" s="1228" t="inlineStr">
        <is>
          <t>Rooms Sold:</t>
        </is>
      </c>
      <c r="I14" s="1229">
        <f>$C$7*$C$9*I11</f>
        <v>20075</v>
      </c>
      <c r="J14" s="960" t="n"/>
      <c r="K14" s="1172" t="n"/>
      <c r="L14" s="1230" t="inlineStr">
        <is>
          <t>Rooms Sold:</t>
        </is>
      </c>
      <c r="M14" s="1229">
        <f>$C$7*$C$9*M11</f>
        <v>23725</v>
      </c>
      <c r="N14" s="960" t="n"/>
      <c r="P14" s="1228" t="inlineStr">
        <is>
          <t>Rooms Sold:</t>
        </is>
      </c>
      <c r="Q14" s="1231">
        <f>$C$7*$C$9*Q11</f>
        <v>26280</v>
      </c>
      <c r="R14" s="3543" t="n"/>
      <c r="T14" s="1232" t="inlineStr">
        <is>
          <t>Rooms Sold:</t>
        </is>
      </c>
      <c r="U14" s="1190">
        <f>$C$7*$C$9*U11</f>
        <v>26280</v>
      </c>
      <c r="V14" s="3543" t="n"/>
      <c r="X14" s="88" t="inlineStr">
        <is>
          <t>Rooms Sold:</t>
        </is>
      </c>
      <c r="Y14" s="1233">
        <f>$C$7*$C$9*Y11</f>
        <v>26280</v>
      </c>
      <c r="Z14" s="3559" t="n"/>
      <c r="AB14" s="88" t="inlineStr">
        <is>
          <t>Rooms Sold:</t>
        </is>
      </c>
      <c r="AC14" s="1233">
        <f>$C$7*$C$9*AC11</f>
        <v>26280</v>
      </c>
      <c r="AD14" s="3559" t="n"/>
      <c r="AF14" s="88" t="inlineStr">
        <is>
          <t>Rooms Sold:</t>
        </is>
      </c>
      <c r="AG14" s="1233">
        <f>$C$7*$C$9*AG11</f>
        <v>26280</v>
      </c>
      <c r="AH14" s="3559" t="n"/>
      <c r="AJ14" s="88" t="inlineStr">
        <is>
          <t>Rooms Sold:</t>
        </is>
      </c>
      <c r="AK14" s="1233">
        <f>$C$7*$C$9*AK11</f>
        <v>26280</v>
      </c>
      <c r="AL14" s="3559" t="n"/>
      <c r="AN14" s="88" t="inlineStr">
        <is>
          <t>Rooms Sold:</t>
        </is>
      </c>
      <c r="AO14" s="1233">
        <f>$C$7*$C$9*AO11</f>
        <v>26280</v>
      </c>
      <c r="AP14" s="3559" t="n"/>
      <c r="AR14" s="88" t="inlineStr">
        <is>
          <t>Rooms Sold:</t>
        </is>
      </c>
      <c r="AS14" s="1233">
        <f>$C$7*$C$9*AS11</f>
        <v>26280</v>
      </c>
      <c r="AT14" s="3559" t="n"/>
      <c r="AV14" s="88" t="inlineStr">
        <is>
          <t>Rooms Sold:</t>
        </is>
      </c>
      <c r="AW14" s="1233">
        <f>$C$7*$C$9*AW11</f>
        <v>26280</v>
      </c>
      <c r="AX14" s="3559" t="n"/>
      <c r="AZ14" s="88" t="inlineStr">
        <is>
          <t>Rooms Sold:</t>
        </is>
      </c>
      <c r="BA14" s="1233">
        <f>$C$7*$C$9*BA11</f>
        <v>26280</v>
      </c>
      <c r="BB14" s="3559" t="n"/>
      <c r="BD14" s="1235" t="inlineStr">
        <is>
          <t>Rooms Sold:</t>
        </is>
      </c>
      <c r="BE14" s="1236">
        <f>I14+M14+Q14+U14+Y14+AC14+AG14+AK14+AO14+AS14+AW14+BA14</f>
        <v>306600</v>
      </c>
      <c r="BF14" s="3549">
        <f>IFERROR(BE14/BE14,0)</f>
        <v>1</v>
      </c>
    </row>
    <row r="15" s="1168" customFormat="1" ht="12.75" customHeight="1">
      <c r="A15" s="1195" t="n"/>
      <c r="B15" s="1195" t="n"/>
      <c r="C15" s="1195" t="n"/>
      <c r="D15" s="1195" t="n"/>
      <c r="E15" s="1196" t="n"/>
      <c r="F15" s="1172" t="n"/>
      <c r="G15" s="3545" t="n"/>
      <c r="H15" s="1237" t="n"/>
      <c r="K15" s="1172" t="n"/>
      <c r="N15" s="1238" t="n"/>
      <c r="BD15" s="1239" t="n"/>
      <c r="BE15" s="1240" t="n"/>
      <c r="BF15" s="3560" t="n"/>
    </row>
    <row r="16" s="1168" customFormat="1" ht="12.75" customHeight="1">
      <c r="A16" s="1195" t="n"/>
      <c r="B16" s="1195" t="n"/>
      <c r="C16" s="1195" t="n"/>
      <c r="D16" s="1195" t="n"/>
      <c r="E16" s="1196" t="n"/>
      <c r="F16" s="1172" t="n"/>
      <c r="G16" s="3545" t="n"/>
      <c r="H16" s="1242" t="inlineStr">
        <is>
          <t>Year 1</t>
        </is>
      </c>
      <c r="J16" s="3561" t="n"/>
      <c r="K16" s="1172" t="n"/>
      <c r="L16" s="1244" t="inlineStr">
        <is>
          <t>Year 2</t>
        </is>
      </c>
      <c r="N16" s="3561" t="n"/>
      <c r="P16" s="1246" t="inlineStr">
        <is>
          <t>Year 3</t>
        </is>
      </c>
      <c r="T16" s="1246" t="inlineStr">
        <is>
          <t>Year 4</t>
        </is>
      </c>
      <c r="X16" s="1246" t="inlineStr">
        <is>
          <t>Year 5</t>
        </is>
      </c>
      <c r="AB16" s="1246" t="inlineStr">
        <is>
          <t>Year 6</t>
        </is>
      </c>
      <c r="AF16" s="1246" t="inlineStr">
        <is>
          <t>Year 7</t>
        </is>
      </c>
      <c r="AJ16" s="1246" t="inlineStr">
        <is>
          <t>Year 8</t>
        </is>
      </c>
      <c r="AN16" s="1246" t="inlineStr">
        <is>
          <t>Year 9</t>
        </is>
      </c>
      <c r="AR16" s="1246" t="inlineStr">
        <is>
          <t>Year 10</t>
        </is>
      </c>
      <c r="AV16" s="1246" t="inlineStr">
        <is>
          <t>Year 11</t>
        </is>
      </c>
      <c r="AZ16" s="1246" t="inlineStr">
        <is>
          <t>Year 12</t>
        </is>
      </c>
      <c r="BD16" s="1246" t="inlineStr">
        <is>
          <t>Annual Total</t>
        </is>
      </c>
    </row>
    <row r="17" s="1168" customFormat="1" ht="12.75" customHeight="1">
      <c r="A17" s="1195" t="n"/>
      <c r="B17" s="1195" t="n"/>
      <c r="C17" s="1195" t="n"/>
      <c r="D17" s="1195" t="n"/>
      <c r="E17" s="1196" t="n"/>
      <c r="F17" s="1172" t="n"/>
      <c r="G17" s="3545" t="n"/>
      <c r="H17" s="1248" t="n">
        <v>2019</v>
      </c>
      <c r="J17" s="3561" t="n"/>
      <c r="K17" s="1172" t="n"/>
      <c r="L17" s="1248" t="n">
        <f t="array" ref="L17">H17</f>
        <v>2019</v>
      </c>
      <c r="N17" s="3561" t="n"/>
      <c r="P17" s="1249" t="n">
        <f t="array" ref="P17">L17</f>
        <v>2019</v>
      </c>
      <c r="T17" s="1249" t="n">
        <f t="array" ref="T17">P17</f>
        <v>2019</v>
      </c>
      <c r="X17" s="1249" t="n">
        <f t="array" ref="X17">T17</f>
        <v>2019</v>
      </c>
      <c r="AB17" s="1249" t="n">
        <f t="array" ref="AB17">X17</f>
        <v>2019</v>
      </c>
      <c r="AF17" s="1249" t="n">
        <f t="array" ref="AF17">AB17</f>
        <v>2019</v>
      </c>
      <c r="AJ17" s="1249" t="n">
        <f t="array" ref="AJ17">AF17</f>
        <v>2019</v>
      </c>
      <c r="AN17" s="1249" t="n">
        <f t="array" ref="AN17">AJ17</f>
        <v>2019</v>
      </c>
      <c r="AR17" s="1249" t="n">
        <f t="array" ref="AR17">AN17</f>
        <v>2019</v>
      </c>
      <c r="AV17" s="1249" t="n">
        <f t="array" ref="AV17">AR17</f>
        <v>2019</v>
      </c>
      <c r="AZ17" s="1249" t="n">
        <f t="array" ref="AZ17">AV17</f>
        <v>2019</v>
      </c>
      <c r="BD17" s="1249" t="n">
        <f t="array" ref="BD17">AZ17</f>
        <v>2019</v>
      </c>
    </row>
    <row r="18" s="1168" customFormat="1" ht="13.5" customHeight="1">
      <c r="A18" s="1195" t="n"/>
      <c r="B18" s="1195" t="n"/>
      <c r="C18" s="1195" t="n"/>
      <c r="D18" s="1195" t="n"/>
      <c r="E18" s="1196" t="n"/>
      <c r="F18" s="1172" t="n"/>
      <c r="G18" s="3545" t="n"/>
      <c r="H18" s="1250" t="n"/>
      <c r="I18" s="1251" t="n"/>
      <c r="J18" s="3562" t="n"/>
      <c r="K18" s="1172" t="n"/>
      <c r="L18" s="1253" t="n"/>
      <c r="M18" s="1233" t="n"/>
      <c r="N18" s="1254" t="n"/>
      <c r="P18" s="100" t="n"/>
      <c r="Q18" s="1251" t="n"/>
      <c r="R18" s="3559" t="n"/>
      <c r="T18" s="100" t="n"/>
      <c r="U18" s="1233" t="n"/>
      <c r="V18" s="3559" t="n"/>
      <c r="X18" s="100" t="n"/>
      <c r="Y18" s="1233" t="n"/>
      <c r="Z18" s="3559" t="n"/>
      <c r="AB18" s="100" t="n"/>
      <c r="AC18" s="1233" t="n"/>
      <c r="AD18" s="3559" t="n"/>
      <c r="AF18" s="100" t="n"/>
      <c r="AG18" s="1233" t="n"/>
      <c r="AH18" s="3559" t="n"/>
      <c r="AJ18" s="100" t="n"/>
      <c r="AK18" s="1233" t="n"/>
      <c r="AL18" s="3559" t="n"/>
      <c r="AN18" s="100" t="n"/>
      <c r="AO18" s="1233" t="n"/>
      <c r="AP18" s="3559" t="n"/>
      <c r="AR18" s="100" t="n"/>
      <c r="AS18" s="1255" t="n"/>
      <c r="AT18" s="3559" t="n"/>
      <c r="AV18" s="100" t="n"/>
      <c r="AW18" s="1233" t="n"/>
      <c r="AX18" s="3559" t="n"/>
      <c r="AZ18" s="100" t="n"/>
      <c r="BA18" s="1233" t="n"/>
      <c r="BB18" s="3559" t="n"/>
      <c r="BD18" s="100" t="n"/>
      <c r="BE18" s="1233" t="n"/>
      <c r="BF18" s="3559" t="n"/>
    </row>
    <row r="19" s="1168" customFormat="1" ht="13.5" customHeight="1">
      <c r="A19" s="101" t="n"/>
      <c r="B19" s="1185" t="n"/>
      <c r="F19" s="1172" t="n"/>
      <c r="G19" s="3545" t="n"/>
      <c r="H19" s="953" t="inlineStr">
        <is>
          <t xml:space="preserve">Budget</t>
        </is>
      </c>
      <c r="I19" s="954" t="inlineStr">
        <is>
          <t xml:space="preserve">%</t>
        </is>
      </c>
      <c r="J19" s="1256" t="inlineStr">
        <is>
          <t>CPOR</t>
        </is>
      </c>
      <c r="K19" s="1172" t="str"/>
      <c r="L19" s="1257" t="str">
        <f t="array" ref="L19">H19</f>
        <v>Budget</v>
      </c>
      <c r="M19" s="1258" t="inlineStr">
        <is>
          <t xml:space="preserve">%</t>
        </is>
      </c>
      <c r="N19" s="1259" t="inlineStr">
        <is>
          <t>CPOR</t>
        </is>
      </c>
      <c r="P19" s="1260" t="str">
        <f t="array" ref="P19">L19</f>
        <v>Budget</v>
      </c>
      <c r="Q19" s="1258" t="inlineStr">
        <is>
          <t xml:space="preserve">%</t>
        </is>
      </c>
      <c r="R19" s="954" t="inlineStr">
        <is>
          <t>CPOR</t>
        </is>
      </c>
      <c r="T19" s="1260" t="str">
        <f t="array" ref="T19">P19</f>
        <v>Budget</v>
      </c>
      <c r="U19" s="1258" t="inlineStr">
        <is>
          <t xml:space="preserve">%</t>
        </is>
      </c>
      <c r="V19" s="954" t="inlineStr">
        <is>
          <t>CPOR</t>
        </is>
      </c>
      <c r="X19" s="1260" t="str">
        <f t="array" ref="X19">T19</f>
        <v>Budget</v>
      </c>
      <c r="Y19" s="1258" t="inlineStr">
        <is>
          <t xml:space="preserve">%</t>
        </is>
      </c>
      <c r="Z19" s="954" t="inlineStr">
        <is>
          <t>CPOR</t>
        </is>
      </c>
      <c r="AB19" s="1260" t="str">
        <f t="array" ref="AB19">X19</f>
        <v>Budget</v>
      </c>
      <c r="AC19" s="1258" t="inlineStr">
        <is>
          <t xml:space="preserve">%</t>
        </is>
      </c>
      <c r="AD19" s="954" t="inlineStr">
        <is>
          <t>CPOR</t>
        </is>
      </c>
      <c r="AF19" s="1260" t="str">
        <f t="array" ref="AF19">AB19</f>
        <v>Budget</v>
      </c>
      <c r="AG19" s="1258" t="inlineStr">
        <is>
          <t xml:space="preserve">%</t>
        </is>
      </c>
      <c r="AH19" s="954" t="inlineStr">
        <is>
          <t>CPOR</t>
        </is>
      </c>
      <c r="AJ19" s="1260" t="str">
        <f t="array" ref="AJ19">AF19</f>
        <v>Budget</v>
      </c>
      <c r="AK19" s="1258" t="inlineStr">
        <is>
          <t xml:space="preserve">%</t>
        </is>
      </c>
      <c r="AL19" s="954" t="inlineStr">
        <is>
          <t>CPOR</t>
        </is>
      </c>
      <c r="AN19" s="1260" t="str">
        <f t="array" ref="AN19">AJ19</f>
        <v>Budget</v>
      </c>
      <c r="AO19" s="1258" t="inlineStr">
        <is>
          <t xml:space="preserve">%</t>
        </is>
      </c>
      <c r="AP19" s="954" t="inlineStr">
        <is>
          <t>CPOR</t>
        </is>
      </c>
      <c r="AR19" s="1260" t="str">
        <f t="array" ref="AR19">AN19</f>
        <v>Budget</v>
      </c>
      <c r="AS19" s="1258" t="inlineStr">
        <is>
          <t xml:space="preserve">%</t>
        </is>
      </c>
      <c r="AT19" s="954" t="inlineStr">
        <is>
          <t>CPOR</t>
        </is>
      </c>
      <c r="AV19" s="1260" t="str">
        <f t="array" ref="AV19">AR19</f>
        <v>Budget</v>
      </c>
      <c r="AW19" s="1258" t="inlineStr">
        <is>
          <t xml:space="preserve">%</t>
        </is>
      </c>
      <c r="AX19" s="954" t="inlineStr">
        <is>
          <t>CPOR</t>
        </is>
      </c>
      <c r="AZ19" s="1260" t="str">
        <f t="array" ref="AZ19">AV19</f>
        <v>Budget</v>
      </c>
      <c r="BA19" s="1258" t="inlineStr">
        <is>
          <t xml:space="preserve">%</t>
        </is>
      </c>
      <c r="BB19" s="954" t="inlineStr">
        <is>
          <t>CPOR</t>
        </is>
      </c>
      <c r="BD19" s="1260" t="str">
        <f t="array" ref="BD19">AZ19</f>
        <v>Budget</v>
      </c>
      <c r="BE19" s="1258" t="inlineStr">
        <is>
          <t xml:space="preserve">%</t>
        </is>
      </c>
      <c r="BF19" s="954" t="inlineStr">
        <is>
          <t xml:space="preserve">CPOR</t>
        </is>
      </c>
    </row>
    <row r="20" s="1168" customFormat="1" ht="15.75" customHeight="1">
      <c r="A20" s="101" t="n"/>
      <c r="B20" s="1185" t="n"/>
      <c r="F20" s="1172" t="n"/>
      <c r="G20" s="1261" t="inlineStr">
        <is>
          <t xml:space="preserve">REVENUE</t>
        </is>
      </c>
      <c r="H20" s="3563" t="n"/>
      <c r="I20" s="3564" t="n"/>
      <c r="J20" s="3565" t="n"/>
      <c r="K20" s="1172" t="n"/>
      <c r="L20" s="3566" t="n"/>
      <c r="M20" s="3567" t="n"/>
      <c r="N20" s="3568" t="n"/>
      <c r="P20" s="3563" t="n"/>
      <c r="Q20" s="3564" t="n"/>
      <c r="R20" s="3569" t="n"/>
      <c r="T20" s="3563" t="n"/>
      <c r="U20" s="3567" t="n"/>
      <c r="V20" s="3569" t="n"/>
      <c r="X20" s="3563" t="n"/>
      <c r="Y20" s="3567" t="n"/>
      <c r="Z20" s="3569" t="n"/>
      <c r="AB20" s="3563" t="n"/>
      <c r="AC20" s="3567" t="n"/>
      <c r="AD20" s="3569" t="n"/>
      <c r="AF20" s="3563" t="n"/>
      <c r="AG20" s="3567" t="n"/>
      <c r="AH20" s="3569" t="n"/>
      <c r="AJ20" s="3563" t="n"/>
      <c r="AK20" s="3567" t="n"/>
      <c r="AL20" s="3569" t="n"/>
      <c r="AN20" s="3563" t="n"/>
      <c r="AO20" s="3567" t="n"/>
      <c r="AP20" s="3569" t="n"/>
      <c r="AR20" s="3563" t="n"/>
      <c r="AS20" s="1269" t="n"/>
      <c r="AT20" s="3569" t="n"/>
      <c r="AV20" s="3563" t="n"/>
      <c r="AW20" s="3567" t="n"/>
      <c r="AX20" s="3569" t="n"/>
      <c r="AZ20" s="3563" t="n"/>
      <c r="BA20" s="3567" t="n"/>
      <c r="BB20" s="3570" t="n"/>
      <c r="BD20" s="3571" t="n"/>
      <c r="BE20" s="3567" t="n"/>
      <c r="BF20" s="3569" t="n"/>
    </row>
    <row r="21" s="1168" customFormat="1" ht="15" customHeight="1">
      <c r="A21" s="101" t="n"/>
      <c r="B21" s="1185" t="n"/>
      <c r="F21" s="1172" t="n"/>
      <c r="G21" s="1272" t="inlineStr">
        <is>
          <t xml:space="preserve">Room Revenue</t>
        </is>
      </c>
      <c r="H21" s="3572" t="n"/>
      <c r="I21" s="3573" t="n"/>
      <c r="J21" s="3574" t="n"/>
      <c r="K21" s="1172" t="n"/>
      <c r="L21" s="3575" t="n"/>
      <c r="M21" s="3576" t="n"/>
      <c r="N21" s="3577" t="n"/>
      <c r="P21" s="3572" t="n"/>
      <c r="Q21" s="3573" t="n"/>
      <c r="R21" s="3578" t="n"/>
      <c r="T21" s="3572" t="n"/>
      <c r="U21" s="3576" t="n"/>
      <c r="V21" s="3578" t="n"/>
      <c r="X21" s="3572" t="n"/>
      <c r="Y21" s="3576" t="n"/>
      <c r="Z21" s="3578" t="n"/>
      <c r="AB21" s="3572" t="n"/>
      <c r="AC21" s="3576" t="n"/>
      <c r="AD21" s="3578" t="n"/>
      <c r="AF21" s="3572" t="n"/>
      <c r="AG21" s="3576" t="n"/>
      <c r="AH21" s="3578" t="n"/>
      <c r="AJ21" s="3572" t="n"/>
      <c r="AK21" s="3576" t="n"/>
      <c r="AL21" s="3578" t="n"/>
      <c r="AN21" s="3572" t="n"/>
      <c r="AO21" s="3576" t="n"/>
      <c r="AP21" s="3578" t="n"/>
      <c r="AR21" s="3572" t="n"/>
      <c r="AS21" s="1280" t="n"/>
      <c r="AT21" s="3578" t="n"/>
      <c r="AV21" s="3572" t="n"/>
      <c r="AW21" s="3576" t="n"/>
      <c r="AX21" s="3578" t="n"/>
      <c r="AZ21" s="3572" t="n"/>
      <c r="BA21" s="3576" t="n"/>
      <c r="BB21" s="3579" t="n"/>
      <c r="BD21" s="3580" t="n"/>
      <c r="BE21" s="3576" t="n"/>
      <c r="BF21" s="3578" t="n"/>
    </row>
    <row r="22" s="1168" customFormat="1" ht="12.75" customHeight="1">
      <c r="A22" s="101" t="n"/>
      <c r="B22" s="1185" t="n"/>
      <c r="F22" s="1172" t="n"/>
      <c r="G22" s="1283" t="inlineStr">
        <is>
          <t xml:space="preserve">Regular</t>
        </is>
      </c>
      <c r="H22" s="3581">
        <f>I14*I12</f>
        <v>1485550</v>
      </c>
      <c r="I22" s="1177">
        <f>IFERROR(H22/$H$44,0)</f>
        <v>1</v>
      </c>
      <c r="J22">
        <f>IFERROR(H22/$I$14,0)</f>
        <v>74</v>
      </c>
      <c r="K22" s="1172" t="n"/>
      <c r="L22" s="3582">
        <f>M14*M12</f>
        <v>1790763</v>
      </c>
      <c r="M22" s="1177">
        <f>IFERROR(L22/$L$44,0)</f>
        <v>1</v>
      </c>
      <c r="N22" s="3464">
        <f>IFERROR(L22/$M$14,0)</f>
        <v>75.48</v>
      </c>
      <c r="P22" s="3581">
        <f>Q14*Q12</f>
        <v>2023286.688</v>
      </c>
      <c r="Q22" s="1171">
        <f>IFERROR(P22/$P$44,0)</f>
        <v>1</v>
      </c>
      <c r="R22" s="3464">
        <f>IFERROR(P22/$Q$14,0)</f>
        <v>76.9896</v>
      </c>
      <c r="T22" s="3581">
        <f>U14*U12</f>
        <v>2063752.42176</v>
      </c>
      <c r="U22" s="1177">
        <f>IFERROR(T22/$T$44,0)</f>
        <v>1</v>
      </c>
      <c r="V22" s="3464">
        <f>IFERROR(T22/$U$14,0)</f>
        <v>78.529392</v>
      </c>
      <c r="X22" s="3581">
        <f>Y14*Y12</f>
        <v>2105027.4702</v>
      </c>
      <c r="Y22" s="1177">
        <f>IFERROR(X22/$X$44,0)</f>
        <v>1</v>
      </c>
      <c r="Z22" s="3464">
        <f>IFERROR(X22/$Y$14,0)</f>
        <v>80.09997984</v>
      </c>
      <c r="AB22" s="3581">
        <f>AC14*AC12</f>
        <v>2147128.0196</v>
      </c>
      <c r="AC22" s="1177">
        <f>IFERROR(AB22/$AB$44,0)</f>
        <v>1</v>
      </c>
      <c r="AD22" s="3464">
        <f>IFERROR(AB22/$AC$14,0)</f>
        <v>81.7019794368</v>
      </c>
      <c r="AF22" s="3581">
        <f>AG14*AG12</f>
        <v>2190070.57999</v>
      </c>
      <c r="AG22" s="1177">
        <f>IFERROR(AF22/$AF$44,0)</f>
        <v>1</v>
      </c>
      <c r="AH22" s="3464">
        <f>IFERROR(AF22/$AG$14,0)</f>
        <v>83.3360190255</v>
      </c>
      <c r="AJ22" s="3581">
        <f>AK14*AK12</f>
        <v>2233871.99159</v>
      </c>
      <c r="AK22" s="1177">
        <f>IFERROR(AJ22/$AJ$44,0)</f>
        <v>1</v>
      </c>
      <c r="AL22" s="3464">
        <f>IFERROR(AJ22/$AK$14,0)</f>
        <v>85.002739406</v>
      </c>
      <c r="AN22" s="3581">
        <f>AO14*AO12</f>
        <v>2278549.43142</v>
      </c>
      <c r="AO22" s="1177">
        <f>IFERROR(AN22/$AN$44,0)</f>
        <v>1</v>
      </c>
      <c r="AP22" s="3464">
        <f>IFERROR(AN22/$AO$14,0)</f>
        <v>86.7027941942</v>
      </c>
      <c r="AR22" s="3581">
        <f>AS14*AS12</f>
        <v>2324120.42005</v>
      </c>
      <c r="AS22" s="1177">
        <f>IFERROR(AR22/$AR$44,0)</f>
        <v>1</v>
      </c>
      <c r="AT22" s="3464">
        <f>IFERROR(AR22/$AS$14,0)</f>
        <v>88.4368500781</v>
      </c>
      <c r="AV22" s="3581">
        <f>AW14*AW12</f>
        <v>2324120.42005</v>
      </c>
      <c r="AW22" s="1177">
        <f>IFERROR(AV22/$AV$44,0)</f>
        <v>1</v>
      </c>
      <c r="AX22" s="3464">
        <f>IFERROR(AV22/$AW$14,0)</f>
        <v>88.4368500781</v>
      </c>
      <c r="AZ22" s="3581">
        <f>BA14*BA12</f>
        <v>2324120.42005</v>
      </c>
      <c r="BA22" s="1177">
        <f>IFERROR(AZ22/$AZ$44,0)</f>
        <v>1</v>
      </c>
      <c r="BB22" s="3457">
        <f>IFERROR(AZ22/$BA$14,0)</f>
        <v>88.4368500781</v>
      </c>
      <c r="BD22" s="3529" t="n">
        <f t="array" ref="BD22">IFERROR($H22/12,0)</f>
        <v>123795.83333333333</v>
      </c>
      <c r="BE22" s="1177">
        <f>H22+L22+P22+T22+X22+AB22+AF22+AJ22+AN22+AR22+AV22+AZ22</f>
        <v>25290360.8627</v>
      </c>
      <c r="BF22" s="3464">
        <f>IFERROR(BE22/BE14,0)</f>
        <v>82.4864998784</v>
      </c>
    </row>
    <row r="23" s="1168" customFormat="1" ht="15" customHeight="1">
      <c r="A23" s="101" t="n"/>
      <c r="B23" s="1185" t="n"/>
      <c r="E23" s="3583" t="n">
        <v>0</v>
      </c>
      <c r="F23" s="1172" t="n"/>
      <c r="G23" s="1283" t="inlineStr">
        <is>
          <t xml:space="preserve">GTD No Show</t>
        </is>
      </c>
      <c r="H23" s="3581">
        <f>J23*$I$14</f>
        <v>0</v>
      </c>
      <c r="I23" s="1177">
        <f>IFERROR(H23/$H$44,0)</f>
        <v>0</v>
      </c>
      <c r="J23" s="3584">
        <v>0</v>
      </c>
      <c r="K23" s="1172" t="n"/>
      <c r="L23" s="3585">
        <f>N23*$M$14</f>
        <v>0</v>
      </c>
      <c r="M23" s="1289">
        <f>IFERROR(L23/$L$44,0)</f>
        <v>0</v>
      </c>
      <c r="N23" s="1290">
        <f>J23*(1+$L$6)</f>
        <v>0</v>
      </c>
      <c r="P23" s="3586">
        <f>R23*$Q$14</f>
        <v>0</v>
      </c>
      <c r="Q23" s="1292">
        <f>IFERROR(P23/$P$44,0)</f>
        <v>0</v>
      </c>
      <c r="R23" s="3587">
        <f>N23*(1+$L$6)</f>
        <v>0</v>
      </c>
      <c r="T23" s="3586">
        <f>V23*$U$14</f>
        <v>0</v>
      </c>
      <c r="U23" s="1289">
        <f>IFERROR(T23/$T$44,0)</f>
        <v>0</v>
      </c>
      <c r="V23" s="3587">
        <f>R23*(1+$L$6)</f>
        <v>0</v>
      </c>
      <c r="X23" s="3586">
        <f>Z23*$Y$14</f>
        <v>0</v>
      </c>
      <c r="Y23" s="1289">
        <f>IFERROR(X23/$X$44,0)</f>
        <v>0</v>
      </c>
      <c r="Z23" s="3587">
        <f>V23*(1+$L$6)</f>
        <v>0</v>
      </c>
      <c r="AB23" s="3586">
        <f>AD23*$AC$14</f>
        <v>0</v>
      </c>
      <c r="AC23" s="1289">
        <f>IFERROR(AB23/$AB$44,0)</f>
        <v>0</v>
      </c>
      <c r="AD23" s="3587">
        <f>Z23*(1+$L$6)</f>
        <v>0</v>
      </c>
      <c r="AF23" s="3586">
        <f>AH23*$AG$14</f>
        <v>0</v>
      </c>
      <c r="AG23" s="1289">
        <f>IFERROR(AF23/$AF$44,0)</f>
        <v>0</v>
      </c>
      <c r="AH23" s="3587">
        <f>AD23*(1+$L$6)</f>
        <v>0</v>
      </c>
      <c r="AJ23" s="3586">
        <f>AL23*$AK$14</f>
        <v>0</v>
      </c>
      <c r="AK23" s="1289">
        <f>IFERROR(AJ23/$AJ$44,0)</f>
        <v>0</v>
      </c>
      <c r="AL23" s="3587">
        <f>AH23*(1+$L$6)</f>
        <v>0</v>
      </c>
      <c r="AN23" s="3586">
        <f>AP23*$AO$14</f>
        <v>0</v>
      </c>
      <c r="AO23" s="1289">
        <f>IFERROR(AN23/$AN$44,0)</f>
        <v>0</v>
      </c>
      <c r="AP23" s="3587">
        <f>AL23*(1+$L$6)</f>
        <v>0</v>
      </c>
      <c r="AR23" s="3586">
        <f>AT23*$AS$14</f>
        <v>0</v>
      </c>
      <c r="AS23" s="1289">
        <f>IFERROR(AR23/$AR$44,0)</f>
        <v>0</v>
      </c>
      <c r="AT23" s="3587">
        <f>AP23*(1+$L$6)</f>
        <v>0</v>
      </c>
      <c r="AV23" s="3586">
        <f>AX23*$AW$14</f>
        <v>0</v>
      </c>
      <c r="AW23" s="1289">
        <f>IFERROR(AV23/$AV$44,0)</f>
        <v>0</v>
      </c>
      <c r="AX23" s="3587">
        <f>AT23*(1+$L$6)</f>
        <v>0</v>
      </c>
      <c r="AZ23" s="3586">
        <f>BB23*$BA$14</f>
        <v>0</v>
      </c>
      <c r="BA23" s="1289">
        <f>IFERROR(AZ23/$AZ$44,0)</f>
        <v>0</v>
      </c>
      <c r="BB23" s="3588">
        <f>AX23*(1+$L$6)</f>
        <v>0</v>
      </c>
      <c r="BD23" s="3373" t="n">
        <f t="array" ref="BD23">IFERROR($H23/12,0)</f>
        <v>0</v>
      </c>
      <c r="BE23" s="1289">
        <f>H23+L23+P23+T23+X23+AB23+AF23+AJ23+AN23+AR23+AV23+AZ23</f>
        <v>0</v>
      </c>
      <c r="BF23" s="3587">
        <f>IFERROR(BE23/BE14,0)</f>
        <v>0</v>
      </c>
    </row>
    <row r="24" s="1168" customFormat="1" ht="15" customHeight="1">
      <c r="A24" s="101" t="n"/>
      <c r="B24" s="1185" t="n"/>
      <c r="E24" s="3589" t="n">
        <v>0</v>
      </c>
      <c r="F24" s="1172" t="n"/>
      <c r="G24" s="1296" t="inlineStr">
        <is>
          <t xml:space="preserve">Adj. - Chargeback</t>
        </is>
      </c>
      <c r="H24" s="3590">
        <f>J24*$I$14</f>
        <v>0</v>
      </c>
      <c r="I24" s="1298">
        <f>IFERROR(H24/$H$44,0)</f>
        <v>0</v>
      </c>
      <c r="J24" s="3584">
        <v>0</v>
      </c>
      <c r="K24" s="1172" t="n"/>
      <c r="L24" s="3591">
        <f>N24*$M$14</f>
        <v>0</v>
      </c>
      <c r="M24" s="1289">
        <f>IFERROR(L24/$L$44,0)</f>
        <v>0</v>
      </c>
      <c r="N24" s="1290">
        <f>J24*(1+$L$6)</f>
        <v>0</v>
      </c>
      <c r="P24" s="3592">
        <f>R24*$Q$14</f>
        <v>0</v>
      </c>
      <c r="Q24" s="1292">
        <f>IFERROR(P24/$P$44,0)</f>
        <v>0</v>
      </c>
      <c r="R24" s="3587">
        <f>N24*(1+$L$6)</f>
        <v>0</v>
      </c>
      <c r="T24" s="3592">
        <f>V24*$U$14</f>
        <v>0</v>
      </c>
      <c r="U24" s="1289">
        <f>IFERROR(T24/$T$44,0)</f>
        <v>0</v>
      </c>
      <c r="V24" s="3587">
        <f>R24*(1+$L$6)</f>
        <v>0</v>
      </c>
      <c r="X24" s="3592">
        <f>Z24*$Y$14</f>
        <v>0</v>
      </c>
      <c r="Y24" s="1289">
        <f>IFERROR(X24/$X$44,0)</f>
        <v>0</v>
      </c>
      <c r="Z24" s="3587">
        <f>V24*(1+$L$6)</f>
        <v>0</v>
      </c>
      <c r="AB24" s="3592">
        <f>AD24*$AC$14</f>
        <v>0</v>
      </c>
      <c r="AC24" s="1289">
        <f>IFERROR(AB24/$AB$44,0)</f>
        <v>0</v>
      </c>
      <c r="AD24" s="3587">
        <f>Z24*(1+$L$6)</f>
        <v>0</v>
      </c>
      <c r="AF24" s="3592">
        <f>AH24*$AG$14</f>
        <v>0</v>
      </c>
      <c r="AG24" s="1289">
        <f>IFERROR(AF24/$AF$44,0)</f>
        <v>0</v>
      </c>
      <c r="AH24" s="3587">
        <f>AD24*(1+$L$6)</f>
        <v>0</v>
      </c>
      <c r="AJ24" s="3592">
        <f>AL24*$AK$14</f>
        <v>0</v>
      </c>
      <c r="AK24" s="1289">
        <f>IFERROR(AJ24/$AJ$44,0)</f>
        <v>0</v>
      </c>
      <c r="AL24" s="3587">
        <f>AH24*(1+$L$6)</f>
        <v>0</v>
      </c>
      <c r="AN24" s="3592">
        <f>AP24*$AO$14</f>
        <v>0</v>
      </c>
      <c r="AO24" s="1289">
        <f>IFERROR(AN24/$AN$44,0)</f>
        <v>0</v>
      </c>
      <c r="AP24" s="3587">
        <f>AL24*(1+$L$6)</f>
        <v>0</v>
      </c>
      <c r="AR24" s="3592">
        <f>AT24*$AS$14</f>
        <v>0</v>
      </c>
      <c r="AS24" s="1289">
        <f>IFERROR(AR24/$AR$44,0)</f>
        <v>0</v>
      </c>
      <c r="AT24" s="3587">
        <f>AP24*(1+$L$6)</f>
        <v>0</v>
      </c>
      <c r="AV24" s="3592">
        <f>AX24*$AW$14</f>
        <v>0</v>
      </c>
      <c r="AW24" s="1289">
        <f>IFERROR(AV24/$AV$44,0)</f>
        <v>0</v>
      </c>
      <c r="AX24" s="3587">
        <f>AT24*(1+$L$6)</f>
        <v>0</v>
      </c>
      <c r="AZ24" s="3592">
        <f>BB24*$BA$14</f>
        <v>0</v>
      </c>
      <c r="BA24" s="1289">
        <f>IFERROR(AZ24/$AZ$44,0)</f>
        <v>0</v>
      </c>
      <c r="BB24" s="3588">
        <f>AX24*(1+$L$6)</f>
        <v>0</v>
      </c>
      <c r="BD24" s="3373" t="n">
        <f t="array" ref="BD24">IFERROR($H24/12,0)</f>
        <v>0</v>
      </c>
      <c r="BE24" s="1289">
        <f>H24+L24+P24+T24+X24+AB24+AF24+AJ24+AN24+AR24+AV24+AZ24</f>
        <v>0</v>
      </c>
      <c r="BF24" s="3587">
        <f>IFERROR(BE24/BE14,0)</f>
        <v>0</v>
      </c>
    </row>
    <row r="25" s="1168" customFormat="1" ht="15" customHeight="1">
      <c r="A25" s="101" t="n"/>
      <c r="B25" s="1185" t="n"/>
      <c r="E25" s="3589" t="n">
        <v>0</v>
      </c>
      <c r="F25" s="1172" t="n"/>
      <c r="G25" s="1296" t="inlineStr">
        <is>
          <t xml:space="preserve">Adjustments</t>
        </is>
      </c>
      <c r="H25" s="3590">
        <f>J25*$I$14</f>
        <v>0</v>
      </c>
      <c r="I25" s="1298">
        <f>IFERROR(H25/$H$44,0)</f>
        <v>0</v>
      </c>
      <c r="J25" s="3584">
        <v>0</v>
      </c>
      <c r="K25" s="1172" t="n"/>
      <c r="L25" s="3591">
        <f>N25*$M$14</f>
        <v>0</v>
      </c>
      <c r="M25" s="1298">
        <f>IFERROR(L25/$L$44,0)</f>
        <v>0</v>
      </c>
      <c r="N25" s="1290">
        <f>J25*(1+$L$6)</f>
        <v>0</v>
      </c>
      <c r="P25" s="3592">
        <f>R25*$Q$14</f>
        <v>0</v>
      </c>
      <c r="Q25" s="973">
        <f>IFERROR(P25/$P$44,0)</f>
        <v>0</v>
      </c>
      <c r="R25" s="3587">
        <f>N25*(1+$L$6)</f>
        <v>0</v>
      </c>
      <c r="T25" s="3592">
        <f>V25*$U$14</f>
        <v>0</v>
      </c>
      <c r="U25" s="1298">
        <f>IFERROR(T25/$T$44,0)</f>
        <v>0</v>
      </c>
      <c r="V25" s="3587">
        <f>R25*(1+$L$6)</f>
        <v>0</v>
      </c>
      <c r="X25" s="3592">
        <f>Z25*$Y$14</f>
        <v>0</v>
      </c>
      <c r="Y25" s="1298">
        <f>IFERROR(X25/$X$44,0)</f>
        <v>0</v>
      </c>
      <c r="Z25" s="3587">
        <f>V25*(1+$L$6)</f>
        <v>0</v>
      </c>
      <c r="AB25" s="3592">
        <f>AD25*$AC$14</f>
        <v>0</v>
      </c>
      <c r="AC25" s="1298">
        <f>IFERROR(AB25/$AB$44,0)</f>
        <v>0</v>
      </c>
      <c r="AD25" s="3587">
        <f>Z25*(1+$L$6)</f>
        <v>0</v>
      </c>
      <c r="AF25" s="3592">
        <f>AH25*$AG$14</f>
        <v>0</v>
      </c>
      <c r="AG25" s="1298">
        <f>IFERROR(AF25/$AF$44,0)</f>
        <v>0</v>
      </c>
      <c r="AH25" s="3587">
        <f>AD25*(1+$L$6)</f>
        <v>0</v>
      </c>
      <c r="AJ25" s="3592">
        <f>AL25*$AK$14</f>
        <v>0</v>
      </c>
      <c r="AK25" s="1298">
        <f>IFERROR(AJ25/$AJ$44,0)</f>
        <v>0</v>
      </c>
      <c r="AL25" s="3587">
        <f>AH25*(1+$L$6)</f>
        <v>0</v>
      </c>
      <c r="AN25" s="3592">
        <f>AP25*$AO$14</f>
        <v>0</v>
      </c>
      <c r="AO25" s="1298">
        <f>IFERROR(AN25/$AN$44,0)</f>
        <v>0</v>
      </c>
      <c r="AP25" s="3587">
        <f>AL25*(1+$L$6)</f>
        <v>0</v>
      </c>
      <c r="AR25" s="3592">
        <f>AT25*$AS$14</f>
        <v>0</v>
      </c>
      <c r="AS25" s="1298">
        <f>IFERROR(AR25/$AR$44,0)</f>
        <v>0</v>
      </c>
      <c r="AT25" s="3587">
        <f>AP25*(1+$L$6)</f>
        <v>0</v>
      </c>
      <c r="AV25" s="3592">
        <f>AX25*$AW$14</f>
        <v>0</v>
      </c>
      <c r="AW25" s="1298">
        <f>IFERROR(AV25/$AV$44,0)</f>
        <v>0</v>
      </c>
      <c r="AX25" s="3587">
        <f>AT25*(1+$L$6)</f>
        <v>0</v>
      </c>
      <c r="AZ25" s="3592">
        <f>BB25*$BA$14</f>
        <v>0</v>
      </c>
      <c r="BA25" s="1298">
        <f>IFERROR(AZ25/$AZ$44,0)</f>
        <v>0</v>
      </c>
      <c r="BB25" s="3588">
        <f>AX25*(1+$L$6)</f>
        <v>0</v>
      </c>
      <c r="BD25" s="3593" t="n">
        <f t="array" ref="BD25">IFERROR($H25/12,0)</f>
        <v>0</v>
      </c>
      <c r="BE25" s="1298">
        <f>H25+L25+P25+T25+X25+AB25+AF25+AJ25+AN25+AR25+AV25+AZ25</f>
        <v>0</v>
      </c>
      <c r="BF25" s="3587">
        <f>IFERROR(BE25/BE14,0)</f>
        <v>0</v>
      </c>
    </row>
    <row r="26" s="1168" customFormat="1" ht="15.75" customHeight="1">
      <c r="A26" s="101" t="n"/>
      <c r="B26" s="1185" t="n"/>
      <c r="E26" s="3589" t="n">
        <v>0</v>
      </c>
      <c r="F26" s="1172" t="n"/>
      <c r="G26" s="1302" t="inlineStr">
        <is>
          <t xml:space="preserve">Refunds</t>
        </is>
      </c>
      <c r="H26" s="3594">
        <f>J26*$I$14</f>
        <v>0</v>
      </c>
      <c r="I26" s="1304">
        <f>IFERROR(H26/$H$44,0)</f>
        <v>0</v>
      </c>
      <c r="J26" s="3595">
        <v>0</v>
      </c>
      <c r="K26" s="1172" t="n"/>
      <c r="L26" s="3596">
        <f>N26*$M$14</f>
        <v>0</v>
      </c>
      <c r="M26" s="1307">
        <f>IFERROR(L26/$L$44,0)</f>
        <v>0</v>
      </c>
      <c r="N26" s="1308">
        <f>J26*(1+$L$6)</f>
        <v>0</v>
      </c>
      <c r="P26" s="3597">
        <f>R26*$Q$14</f>
        <v>0</v>
      </c>
      <c r="Q26" s="1310">
        <f>IFERROR(P26/$P$44,0)</f>
        <v>0</v>
      </c>
      <c r="R26" s="3598">
        <f>N26*(1+$L$6)</f>
        <v>0</v>
      </c>
      <c r="T26" s="3597">
        <f>V26*$U$14</f>
        <v>0</v>
      </c>
      <c r="U26" s="1307">
        <f>IFERROR(T26/$T$44,0)</f>
        <v>0</v>
      </c>
      <c r="V26" s="3598">
        <f>R26*(1+$L$6)</f>
        <v>0</v>
      </c>
      <c r="X26" s="3597">
        <f>Z26*$Y$14</f>
        <v>0</v>
      </c>
      <c r="Y26" s="1307">
        <f>IFERROR(X26/$X$44,0)</f>
        <v>0</v>
      </c>
      <c r="Z26" s="3598">
        <f>V26*(1+$L$6)</f>
        <v>0</v>
      </c>
      <c r="AB26" s="3597">
        <f>AD26*$AC$14</f>
        <v>0</v>
      </c>
      <c r="AC26" s="1307">
        <f>IFERROR(AB26/$AB$44,0)</f>
        <v>0</v>
      </c>
      <c r="AD26" s="3598">
        <f>Z26*(1+$L$6)</f>
        <v>0</v>
      </c>
      <c r="AF26" s="3597">
        <f>AH26*$AG$14</f>
        <v>0</v>
      </c>
      <c r="AG26" s="1307">
        <f>IFERROR(AF26/$AF$44,0)</f>
        <v>0</v>
      </c>
      <c r="AH26" s="3598">
        <f>AD26*(1+$L$6)</f>
        <v>0</v>
      </c>
      <c r="AJ26" s="3597">
        <f>AL26*$AK$14</f>
        <v>0</v>
      </c>
      <c r="AK26" s="1307">
        <f>IFERROR(AJ26/$AJ$44,0)</f>
        <v>0</v>
      </c>
      <c r="AL26" s="3598">
        <f>AH26*(1+$L$6)</f>
        <v>0</v>
      </c>
      <c r="AN26" s="3597">
        <f>AP26*$AO$14</f>
        <v>0</v>
      </c>
      <c r="AO26" s="1307">
        <f>IFERROR(AN26/$AN$44,0)</f>
        <v>0</v>
      </c>
      <c r="AP26" s="3598">
        <f>AL26*(1+$L$6)</f>
        <v>0</v>
      </c>
      <c r="AR26" s="3597">
        <f>AT26*$AS$14</f>
        <v>0</v>
      </c>
      <c r="AS26" s="1307">
        <f>IFERROR(AR26/$AR$44,0)</f>
        <v>0</v>
      </c>
      <c r="AT26" s="3598">
        <f>AP26*(1+$L$6)</f>
        <v>0</v>
      </c>
      <c r="AV26" s="3597">
        <f>AX26*$AW$14</f>
        <v>0</v>
      </c>
      <c r="AW26" s="1307">
        <f>IFERROR(AV26/$AV$44,0)</f>
        <v>0</v>
      </c>
      <c r="AX26" s="3598">
        <f>AT26*(1+$L$6)</f>
        <v>0</v>
      </c>
      <c r="AZ26" s="3597">
        <f>BB26*$BA$14</f>
        <v>0</v>
      </c>
      <c r="BA26" s="1307">
        <f>IFERROR(AZ26/$AZ$44,0)</f>
        <v>0</v>
      </c>
      <c r="BB26" s="3599">
        <f>AX26*(1+$L$6)</f>
        <v>0</v>
      </c>
      <c r="BD26" s="3600" t="n">
        <f t="array" ref="BD26">IFERROR($H26/12,0)</f>
        <v>0</v>
      </c>
      <c r="BE26" s="1307">
        <f>H26+L26+P26+T26+X26+AB26+AF26+AJ26+AN26+AR26+AV26+AZ26</f>
        <v>0</v>
      </c>
      <c r="BF26" s="3598">
        <f>IFERROR(BE26/BE14,0)</f>
        <v>0</v>
      </c>
    </row>
    <row r="27" s="1168" customFormat="1" ht="13.5" customHeight="1">
      <c r="A27" s="101" t="n"/>
      <c r="B27" s="1185" t="n"/>
      <c r="F27" s="1172" t="n"/>
      <c r="G27" s="1314" t="inlineStr">
        <is>
          <t xml:space="preserve">Total Room Revenue</t>
        </is>
      </c>
      <c r="H27" s="3601">
        <f>SUM(H22:H26)</f>
        <v>1485550</v>
      </c>
      <c r="I27" s="1316">
        <f>SUM(I22:I26)</f>
        <v>1</v>
      </c>
      <c r="J27" s="3602">
        <f>IFERROR(H27/$I$14,0)</f>
        <v>74</v>
      </c>
      <c r="K27" s="1172" t="n"/>
      <c r="L27" s="3603">
        <f>SUM(L22:L26)</f>
        <v>1790763</v>
      </c>
      <c r="M27" s="1319">
        <f>SUM(M22:M26)</f>
        <v>1</v>
      </c>
      <c r="N27" s="1320">
        <f>IFERROR(L27/$M$14,0)</f>
        <v>75.48</v>
      </c>
      <c r="P27" s="3604">
        <f>SUM(P22:P26)</f>
        <v>2023286.688</v>
      </c>
      <c r="Q27" s="1316">
        <f>SUM(Q22:Q26)</f>
        <v>1</v>
      </c>
      <c r="R27" s="3605">
        <f>IFERROR(P27/$Q$14,0)</f>
        <v>76.9896</v>
      </c>
      <c r="T27" s="3604">
        <f>SUM(T22:T26)</f>
        <v>2063752.42176</v>
      </c>
      <c r="U27" s="1319">
        <f>SUM(U22:U26)</f>
        <v>1</v>
      </c>
      <c r="V27" s="3605">
        <f>IFERROR(T27/$U$14,0)</f>
        <v>78.529392</v>
      </c>
      <c r="X27" s="3604">
        <f>SUM(X22:X26)</f>
        <v>2105027.4702</v>
      </c>
      <c r="Y27" s="1319">
        <f>SUM(Y22:Y26)</f>
        <v>1</v>
      </c>
      <c r="Z27" s="3605">
        <f>IFERROR(X27/$Y$14,0)</f>
        <v>80.09997984</v>
      </c>
      <c r="AB27" s="3604">
        <f>SUM(AB22:AB26)</f>
        <v>2147128.0196</v>
      </c>
      <c r="AC27" s="1319">
        <f>SUM(AC22:AC26)</f>
        <v>1</v>
      </c>
      <c r="AD27" s="3605">
        <f>IFERROR(AB27/$AC$14,0)</f>
        <v>81.7019794368</v>
      </c>
      <c r="AF27" s="3604">
        <f>SUM(AF22:AF26)</f>
        <v>2190070.57999</v>
      </c>
      <c r="AG27" s="1319">
        <f>SUM(AG22:AG26)</f>
        <v>1</v>
      </c>
      <c r="AH27" s="3605">
        <f>IFERROR(AF27/$AG$14,0)</f>
        <v>83.3360190255</v>
      </c>
      <c r="AJ27" s="3604">
        <f>SUM(AJ22:AJ26)</f>
        <v>2233871.99159</v>
      </c>
      <c r="AK27" s="1319">
        <f>SUM(AK22:AK26)</f>
        <v>1</v>
      </c>
      <c r="AL27" s="3605">
        <f>IFERROR(AJ27/$AK$14,0)</f>
        <v>85.002739406</v>
      </c>
      <c r="AN27" s="3604">
        <f>SUM(AN22:AN26)</f>
        <v>2278549.43142</v>
      </c>
      <c r="AO27" s="1319">
        <f>SUM(AO22:AO26)</f>
        <v>1</v>
      </c>
      <c r="AP27" s="3605">
        <f>IFERROR(AN27/$AO$14,0)</f>
        <v>86.7027941942</v>
      </c>
      <c r="AR27" s="3604">
        <f>SUM(AR22:AR26)</f>
        <v>2324120.42005</v>
      </c>
      <c r="AS27" s="1319">
        <f>SUM(AS22:AS26)</f>
        <v>1</v>
      </c>
      <c r="AT27" s="3605">
        <f>IFERROR(AR27/$AS$14,0)</f>
        <v>88.4368500781</v>
      </c>
      <c r="AV27" s="3604">
        <f>SUM(AV22:AV26)</f>
        <v>2324120.42005</v>
      </c>
      <c r="AW27" s="1319">
        <f>SUM(AW22:AW26)</f>
        <v>1</v>
      </c>
      <c r="AX27" s="3605">
        <f>IFERROR(AV27/$AW$14,0)</f>
        <v>88.4368500781</v>
      </c>
      <c r="AZ27" s="3604">
        <f>SUM(AZ22:AZ26)</f>
        <v>2324120.42005</v>
      </c>
      <c r="BA27" s="1319">
        <f>SUM(BA22:BA26)</f>
        <v>1</v>
      </c>
      <c r="BB27" s="3605">
        <f>IFERROR(AZ27/$BA$14,0)</f>
        <v>88.4368500781</v>
      </c>
      <c r="BD27" s="3604" t="n">
        <f t="array" ref="BD27">IFERROR($H27/12,0)</f>
        <v>123795.83333333333</v>
      </c>
      <c r="BE27" s="1319">
        <f>H27+L27+P27+T27+X27+AB27+AF27+AJ27+AN27+AR27+AV27+AZ27</f>
        <v>25290360.8627</v>
      </c>
      <c r="BF27" s="3605">
        <f>IFERROR(BE27/BE14,0)</f>
        <v>82.4864998784</v>
      </c>
    </row>
    <row r="28" s="1168" customFormat="1" ht="15" customHeight="1">
      <c r="A28" s="101" t="n"/>
      <c r="B28" s="1185" t="n"/>
      <c r="F28" s="1172" t="n"/>
      <c r="H28" s="3572" t="n"/>
      <c r="I28" s="1323" t="n"/>
      <c r="J28" s="3574" t="n"/>
      <c r="K28" s="1172" t="n"/>
      <c r="L28" s="3575" t="n"/>
      <c r="M28" s="1280" t="n"/>
      <c r="N28" s="1324" t="n"/>
      <c r="P28" s="3580" t="n"/>
      <c r="Q28" s="1323" t="n"/>
      <c r="R28" s="3579" t="n"/>
      <c r="T28" s="3580" t="n"/>
      <c r="U28" s="1280" t="n"/>
      <c r="V28" s="3579" t="n"/>
      <c r="X28" s="3580" t="n"/>
      <c r="Y28" s="1280" t="n"/>
      <c r="Z28" s="3579" t="n"/>
      <c r="AB28" s="3580" t="n"/>
      <c r="AC28" s="1280" t="n"/>
      <c r="AD28" s="3579" t="n"/>
      <c r="AF28" s="3580" t="n"/>
      <c r="AG28" s="1280" t="n"/>
      <c r="AH28" s="3579" t="n"/>
      <c r="AJ28" s="3580" t="n"/>
      <c r="AK28" s="1280" t="n"/>
      <c r="AL28" s="3579" t="n"/>
      <c r="AN28" s="3580" t="n"/>
      <c r="AO28" s="1280" t="n"/>
      <c r="AP28" s="3579" t="n"/>
      <c r="AR28" s="3580" t="n"/>
      <c r="AS28" s="1280" t="n"/>
      <c r="AT28" s="3579" t="n"/>
      <c r="AV28" s="3580" t="n"/>
      <c r="AW28" s="1280" t="n"/>
      <c r="AX28" s="3579" t="n"/>
      <c r="AZ28" s="3580" t="n"/>
      <c r="BA28" s="1280" t="n"/>
      <c r="BB28" s="3579" t="n"/>
      <c r="BD28" s="3580" t="n"/>
      <c r="BE28" s="1280" t="n"/>
      <c r="BF28" s="3579" t="n"/>
    </row>
    <row r="29" s="1168" customFormat="1" ht="15" customHeight="1">
      <c r="A29" s="101" t="n"/>
      <c r="B29" s="1185" t="n"/>
      <c r="F29" s="1172" t="n"/>
      <c r="G29" s="1325" t="inlineStr">
        <is>
          <t xml:space="preserve">Telephone Revenue</t>
        </is>
      </c>
      <c r="H29" s="3606" t="n"/>
      <c r="I29" s="1327" t="n"/>
      <c r="J29" s="3607" t="n"/>
      <c r="K29" s="1172" t="n"/>
      <c r="L29" s="3608" t="n"/>
      <c r="M29" s="1330" t="n"/>
      <c r="N29" s="1331" t="n"/>
      <c r="P29" s="3376" t="n"/>
      <c r="Q29" s="1332" t="n"/>
      <c r="R29" s="3609" t="n"/>
      <c r="T29" s="3376" t="n"/>
      <c r="U29" s="1330" t="n"/>
      <c r="V29" s="3609" t="n"/>
      <c r="X29" s="3376" t="n"/>
      <c r="Y29" s="1330" t="n"/>
      <c r="Z29" s="3609" t="n"/>
      <c r="AB29" s="3376" t="n"/>
      <c r="AC29" s="1330" t="n"/>
      <c r="AD29" s="3609" t="n"/>
      <c r="AF29" s="3376" t="n"/>
      <c r="AG29" s="1330" t="n"/>
      <c r="AH29" s="3609" t="n"/>
      <c r="AJ29" s="3376" t="n"/>
      <c r="AK29" s="1330" t="n"/>
      <c r="AL29" s="3609" t="n"/>
      <c r="AN29" s="3376" t="n"/>
      <c r="AO29" s="1330" t="n"/>
      <c r="AP29" s="3609" t="n"/>
      <c r="AR29" s="3376" t="n"/>
      <c r="AS29" s="1330" t="n"/>
      <c r="AT29" s="3609" t="n"/>
      <c r="AV29" s="3376" t="n"/>
      <c r="AW29" s="1330" t="n"/>
      <c r="AX29" s="3609" t="n"/>
      <c r="AZ29" s="3376" t="n"/>
      <c r="BA29" s="1330" t="n"/>
      <c r="BB29" s="3609" t="n"/>
      <c r="BD29" s="3376" t="n"/>
      <c r="BE29" s="1330" t="n"/>
      <c r="BF29" s="3609" t="n"/>
    </row>
    <row r="30" s="1168" customFormat="1" ht="15" customHeight="1">
      <c r="A30" s="101" t="n"/>
      <c r="B30" s="1185" t="n"/>
      <c r="E30" s="3583" t="n">
        <v>0</v>
      </c>
      <c r="F30" s="1172" t="n"/>
      <c r="G30" s="1334" t="inlineStr">
        <is>
          <t xml:space="preserve">Long Distance Revenue</t>
        </is>
      </c>
      <c r="H30" s="3610">
        <f>J30*$I$14</f>
        <v>0</v>
      </c>
      <c r="I30" s="1336">
        <f>IFERROR(H30/$H$44,0)</f>
        <v>0</v>
      </c>
      <c r="J30" s="3611">
        <v>0</v>
      </c>
      <c r="K30" s="1172" t="n"/>
      <c r="L30" s="3612">
        <f>N30*$M$14</f>
        <v>0</v>
      </c>
      <c r="M30" s="1339">
        <f>IFERROR(L30/$L$44,0)</f>
        <v>0</v>
      </c>
      <c r="N30" s="1340">
        <f>J30*(1+$L$6)</f>
        <v>0</v>
      </c>
      <c r="P30" s="3613">
        <f>R30*$Q$14</f>
        <v>0</v>
      </c>
      <c r="Q30" s="1342">
        <f>IFERROR(P30/$P$44,0)</f>
        <v>0</v>
      </c>
      <c r="R30" s="3614">
        <f>N30*(1+$L$6)</f>
        <v>0</v>
      </c>
      <c r="T30" s="3613">
        <f>V30*$U$14</f>
        <v>0</v>
      </c>
      <c r="U30" s="1339">
        <f>IFERROR(T30/$T$44,0)</f>
        <v>0</v>
      </c>
      <c r="V30" s="3614">
        <f>R30*(1+$L$6)</f>
        <v>0</v>
      </c>
      <c r="X30" s="3613">
        <f>Z30*$Y$14</f>
        <v>0</v>
      </c>
      <c r="Y30" s="1339">
        <f>IFERROR(X30/$X$44,0)</f>
        <v>0</v>
      </c>
      <c r="Z30" s="3614">
        <f>V30*(1+$L$6)</f>
        <v>0</v>
      </c>
      <c r="AB30" s="3613">
        <f>AD30*$AC$14</f>
        <v>0</v>
      </c>
      <c r="AC30" s="1339">
        <f>IFERROR(AB30/$AB$44,0)</f>
        <v>0</v>
      </c>
      <c r="AD30" s="3614">
        <f>Z30*(1+$L$6)</f>
        <v>0</v>
      </c>
      <c r="AF30" s="3613">
        <f>AH30*$AG$14</f>
        <v>0</v>
      </c>
      <c r="AG30" s="1339">
        <f>IFERROR(AF30/$AF$44,0)</f>
        <v>0</v>
      </c>
      <c r="AH30" s="3614">
        <f>AD30*(1+$L$6)</f>
        <v>0</v>
      </c>
      <c r="AJ30" s="3613">
        <f>AL30*$AK$14</f>
        <v>0</v>
      </c>
      <c r="AK30" s="1339">
        <f>IFERROR(AJ30/$AJ$44,0)</f>
        <v>0</v>
      </c>
      <c r="AL30" s="3614">
        <f>AH30*(1+$L$6)</f>
        <v>0</v>
      </c>
      <c r="AN30" s="3613">
        <f>AP30*$AO$14</f>
        <v>0</v>
      </c>
      <c r="AO30" s="1339">
        <f>IFERROR(AN30/$AN$44,0)</f>
        <v>0</v>
      </c>
      <c r="AP30" s="3614">
        <f>AL30*(1+$L$6)</f>
        <v>0</v>
      </c>
      <c r="AR30" s="3613">
        <f>AT30*$AS$14</f>
        <v>0</v>
      </c>
      <c r="AS30" s="1339">
        <f>IFERROR(AR30/$AR$44,0)</f>
        <v>0</v>
      </c>
      <c r="AT30" s="3614">
        <f>AP30*(1+$L$6)</f>
        <v>0</v>
      </c>
      <c r="AV30" s="3613">
        <f>AX30*$AW$14</f>
        <v>0</v>
      </c>
      <c r="AW30" s="1339">
        <f>IFERROR(AV30/$AV$44,0)</f>
        <v>0</v>
      </c>
      <c r="AX30" s="3614">
        <f>AT30*(1+$L$6)</f>
        <v>0</v>
      </c>
      <c r="AZ30" s="3613">
        <f>BB30*$BA$14</f>
        <v>0</v>
      </c>
      <c r="BA30" s="1339">
        <f>IFERROR(AZ30/$AZ$44,0)</f>
        <v>0</v>
      </c>
      <c r="BB30" s="3614">
        <f>AX30*(1+$L$6)</f>
        <v>0</v>
      </c>
      <c r="BD30" s="3613" t="n">
        <f t="array" ref="BD30">IFERROR($H30/12,0)</f>
        <v>0</v>
      </c>
      <c r="BE30" s="1339">
        <f>H30+L30+P30+T30+X30+AB30+AF30+AJ30+AN30+AR30+AV30+AZ30</f>
        <v>0</v>
      </c>
      <c r="BF30" s="3614">
        <f>IFERROR(BE30/BE14,0)</f>
        <v>0</v>
      </c>
    </row>
    <row r="31" s="1168" customFormat="1" ht="13.5" customHeight="1">
      <c r="A31" s="101" t="n"/>
      <c r="B31" s="1185" t="n"/>
      <c r="F31" s="1172" t="n"/>
      <c r="G31" s="1344" t="inlineStr">
        <is>
          <t xml:space="preserve">Total Telephone Revenue</t>
        </is>
      </c>
      <c r="H31" s="3615">
        <f>SUM(H30)</f>
        <v>0</v>
      </c>
      <c r="I31" s="1346">
        <f>SUM(I30)</f>
        <v>0</v>
      </c>
      <c r="J31" s="3616">
        <f>IFERROR(H31/$I$14,0)</f>
        <v>0</v>
      </c>
      <c r="K31" s="1172" t="n"/>
      <c r="L31" s="3617">
        <f>SUM(L30)</f>
        <v>0</v>
      </c>
      <c r="M31" s="1349">
        <f>SUM(M30)</f>
        <v>0</v>
      </c>
      <c r="N31" s="1350">
        <f>IFERROR(L31/$M$14,0)</f>
        <v>0</v>
      </c>
      <c r="P31" s="3618">
        <f>SUM(P30)</f>
        <v>0</v>
      </c>
      <c r="Q31" s="1346">
        <f>SUM(Q30)</f>
        <v>0</v>
      </c>
      <c r="R31" s="3619">
        <f>IFERROR(P31/$Q$14,0)</f>
        <v>0</v>
      </c>
      <c r="T31" s="3618">
        <f>SUM(T30)</f>
        <v>0</v>
      </c>
      <c r="U31" s="1349">
        <f>SUM(U30)</f>
        <v>0</v>
      </c>
      <c r="V31" s="3619">
        <f>IFERROR(T31/$U$14,0)</f>
        <v>0</v>
      </c>
      <c r="X31" s="3618">
        <f>SUM(X30)</f>
        <v>0</v>
      </c>
      <c r="Y31" s="1349">
        <f>SUM(Y30)</f>
        <v>0</v>
      </c>
      <c r="Z31" s="3619">
        <f>IFERROR(X31/$Y$14,0)</f>
        <v>0</v>
      </c>
      <c r="AB31" s="3618">
        <f>SUM(AB30)</f>
        <v>0</v>
      </c>
      <c r="AC31" s="1349">
        <f>SUM(AC30)</f>
        <v>0</v>
      </c>
      <c r="AD31" s="3619">
        <f>IFERROR(AB31/$AC$14,0)</f>
        <v>0</v>
      </c>
      <c r="AF31" s="3618">
        <f>SUM(AF30)</f>
        <v>0</v>
      </c>
      <c r="AG31" s="1349">
        <f>SUM(AG30)</f>
        <v>0</v>
      </c>
      <c r="AH31" s="3619">
        <f>IFERROR(AF31/$AG$14,0)</f>
        <v>0</v>
      </c>
      <c r="AJ31" s="3618">
        <f>SUM(AJ30)</f>
        <v>0</v>
      </c>
      <c r="AK31" s="1349">
        <f>SUM(AK30)</f>
        <v>0</v>
      </c>
      <c r="AL31" s="3619">
        <f>IFERROR(AJ31/$AK$14,0)</f>
        <v>0</v>
      </c>
      <c r="AN31" s="3618">
        <f>SUM(AN30)</f>
        <v>0</v>
      </c>
      <c r="AO31" s="1349">
        <f>SUM(AO30)</f>
        <v>0</v>
      </c>
      <c r="AP31" s="3619">
        <f>IFERROR(AN31/$AO$14,0)</f>
        <v>0</v>
      </c>
      <c r="AR31" s="3618">
        <f>SUM(AR30)</f>
        <v>0</v>
      </c>
      <c r="AS31" s="1349">
        <f>SUM(AS30)</f>
        <v>0</v>
      </c>
      <c r="AT31" s="3619">
        <f>IFERROR(AR31/$AS$14,0)</f>
        <v>0</v>
      </c>
      <c r="AV31" s="3618">
        <f>SUM(AV30)</f>
        <v>0</v>
      </c>
      <c r="AW31" s="1349">
        <f>SUM(AW30)</f>
        <v>0</v>
      </c>
      <c r="AX31" s="3619">
        <f>IFERROR(AV31/$AW$14,0)</f>
        <v>0</v>
      </c>
      <c r="AZ31" s="3618">
        <f>SUM(AZ30)</f>
        <v>0</v>
      </c>
      <c r="BA31" s="1349">
        <f>SUM(BA30)</f>
        <v>0</v>
      </c>
      <c r="BB31" s="3619">
        <f>IFERROR(AZ31/$BA$14,0)</f>
        <v>0</v>
      </c>
      <c r="BD31" s="3618" t="n">
        <f t="array" ref="BD31">IFERROR($H31/12,0)</f>
        <v>0</v>
      </c>
      <c r="BE31" s="1349">
        <f>H31+L31+P31+T31+X31+AB31+AF31+AJ31+AN31+AR31+AV31+AZ31</f>
        <v>0</v>
      </c>
      <c r="BF31" s="3619">
        <f>IFERROR(BE31/BE14,0)</f>
        <v>0</v>
      </c>
    </row>
    <row r="32" s="1168" customFormat="1" ht="15" customHeight="1">
      <c r="A32" s="101" t="n"/>
      <c r="B32" s="1185" t="n"/>
      <c r="F32" s="1172" t="n"/>
      <c r="H32" s="3572" t="n"/>
      <c r="I32" s="1323" t="n"/>
      <c r="J32" s="3574" t="n"/>
      <c r="K32" s="1172" t="n"/>
      <c r="L32" s="3575" t="n"/>
      <c r="M32" s="1280" t="n"/>
      <c r="N32" s="1324" t="n"/>
      <c r="P32" s="3572" t="n"/>
      <c r="Q32" s="1323" t="n"/>
      <c r="R32" s="3578" t="n"/>
      <c r="T32" s="3572" t="n"/>
      <c r="U32" s="1280" t="n"/>
      <c r="V32" s="3578" t="n"/>
      <c r="X32" s="3572" t="n"/>
      <c r="Y32" s="1280" t="n"/>
      <c r="Z32" s="3578" t="n"/>
      <c r="AB32" s="3572" t="n"/>
      <c r="AC32" s="1280" t="n"/>
      <c r="AD32" s="3578" t="n"/>
      <c r="AF32" s="3572" t="n"/>
      <c r="AG32" s="1280" t="n"/>
      <c r="AH32" s="3578" t="n"/>
      <c r="AJ32" s="3572" t="n"/>
      <c r="AK32" s="1280" t="n"/>
      <c r="AL32" s="3578" t="n"/>
      <c r="AN32" s="3572" t="n"/>
      <c r="AO32" s="1280" t="n"/>
      <c r="AP32" s="3578" t="n"/>
      <c r="AR32" s="3572" t="n"/>
      <c r="AS32" s="1280" t="n"/>
      <c r="AT32" s="3578" t="n"/>
      <c r="AV32" s="3572" t="n"/>
      <c r="AW32" s="1280" t="n"/>
      <c r="AX32" s="3578" t="n"/>
      <c r="AZ32" s="3572" t="n"/>
      <c r="BA32" s="1280" t="n"/>
      <c r="BB32" s="3579" t="n"/>
      <c r="BD32" s="3580" t="n"/>
      <c r="BE32" s="1280" t="n"/>
      <c r="BF32" s="3578" t="n"/>
    </row>
    <row r="33" s="1168" customFormat="1" ht="15" customHeight="1">
      <c r="A33" s="101" t="n"/>
      <c r="B33" s="1185" t="n"/>
      <c r="F33" s="1172" t="n"/>
      <c r="G33" s="1325" t="inlineStr">
        <is>
          <t xml:space="preserve">Other Department Revenue</t>
        </is>
      </c>
      <c r="H33" s="3620" t="n"/>
      <c r="I33" s="1332" t="n"/>
      <c r="J33" s="3621" t="n"/>
      <c r="K33" s="1172" t="n"/>
      <c r="L33" s="3608" t="n"/>
      <c r="M33" s="1330" t="n"/>
      <c r="N33" s="1331" t="n"/>
      <c r="P33" s="3620" t="n"/>
      <c r="Q33" s="1332" t="n"/>
      <c r="R33" s="3622" t="n"/>
      <c r="T33" s="3620" t="n"/>
      <c r="U33" s="1330" t="n"/>
      <c r="V33" s="3622" t="n"/>
      <c r="X33" s="3620" t="n"/>
      <c r="Y33" s="1330" t="n"/>
      <c r="Z33" s="3622" t="n"/>
      <c r="AB33" s="3620" t="n"/>
      <c r="AC33" s="1330" t="n"/>
      <c r="AD33" s="3622" t="n"/>
      <c r="AF33" s="3620" t="n"/>
      <c r="AG33" s="1330" t="n"/>
      <c r="AH33" s="3622" t="n"/>
      <c r="AJ33" s="3620" t="n"/>
      <c r="AK33" s="1330" t="n"/>
      <c r="AL33" s="3622" t="n"/>
      <c r="AN33" s="3620" t="n"/>
      <c r="AO33" s="1330" t="n"/>
      <c r="AP33" s="3622" t="n"/>
      <c r="AR33" s="3620" t="n"/>
      <c r="AS33" s="1330" t="n"/>
      <c r="AT33" s="3622" t="n"/>
      <c r="AV33" s="3620" t="n"/>
      <c r="AW33" s="1330" t="n"/>
      <c r="AX33" s="3622" t="n"/>
      <c r="AZ33" s="3620" t="n"/>
      <c r="BA33" s="1330" t="n"/>
      <c r="BB33" s="3609" t="n"/>
      <c r="BD33" s="3376" t="n"/>
      <c r="BE33" s="1330" t="n"/>
      <c r="BF33" s="3622" t="n"/>
    </row>
    <row r="34" s="1168" customFormat="1" ht="12.75" customHeight="1">
      <c r="A34" s="101" t="n"/>
      <c r="B34" s="1185" t="n"/>
      <c r="E34" s="3623" t="n"/>
      <c r="F34" s="1172" t="n"/>
      <c r="G34" s="1334" t="inlineStr">
        <is>
          <t xml:space="preserve">Vending/ Sundry Sales</t>
        </is>
      </c>
      <c r="H34" s="3624">
        <f>J34*$I$14</f>
        <v>0</v>
      </c>
      <c r="I34" s="1358">
        <f>IFERROR(H34/$H$44,0)</f>
        <v>0</v>
      </c>
      <c r="J34" s="3625">
        <v>0</v>
      </c>
      <c r="K34" s="1172" t="n"/>
      <c r="L34" s="3626">
        <f>N34*$M$14</f>
        <v>0</v>
      </c>
      <c r="M34" s="1361">
        <f>IFERROR(L34/$L$44,0)</f>
        <v>0</v>
      </c>
      <c r="N34" s="1362">
        <f>J34*(1+$L$6)</f>
        <v>0</v>
      </c>
      <c r="P34" s="3624">
        <f>R34*$Q$14</f>
        <v>0</v>
      </c>
      <c r="Q34" s="1358">
        <f>IFERROR(P34/$P$44,0)</f>
        <v>0</v>
      </c>
      <c r="R34" s="3627">
        <f>N34*(1+$L$6)</f>
        <v>0</v>
      </c>
      <c r="T34" s="3624">
        <f>V34*$U$14</f>
        <v>0</v>
      </c>
      <c r="U34" s="1361">
        <f>IFERROR(T34/$T$44,0)</f>
        <v>0</v>
      </c>
      <c r="V34" s="3627">
        <f>R34*(1+$L$6)</f>
        <v>0</v>
      </c>
      <c r="X34" s="3624">
        <f>Z34*$Y$14</f>
        <v>0</v>
      </c>
      <c r="Y34" s="1361">
        <f>IFERROR(X34/$X$44,0)</f>
        <v>0</v>
      </c>
      <c r="Z34" s="3627">
        <f>V34*(1+$L$6)</f>
        <v>0</v>
      </c>
      <c r="AB34" s="3624">
        <f>AD34*$AC$14</f>
        <v>0</v>
      </c>
      <c r="AC34" s="1361">
        <f>IFERROR(AB34/$AB$44,0)</f>
        <v>0</v>
      </c>
      <c r="AD34" s="3627">
        <f>Z34*(1+$L$6)</f>
        <v>0</v>
      </c>
      <c r="AF34" s="3624">
        <f>AH34*$AG$14</f>
        <v>0</v>
      </c>
      <c r="AG34" s="1361">
        <f>IFERROR(AF34/$AF$44,0)</f>
        <v>0</v>
      </c>
      <c r="AH34" s="3627">
        <f>AD34*(1+$L$6)</f>
        <v>0</v>
      </c>
      <c r="AJ34" s="3624">
        <f>AL34*$AK$14</f>
        <v>0</v>
      </c>
      <c r="AK34" s="1361">
        <f>IFERROR(AJ34/$AJ$44,0)</f>
        <v>0</v>
      </c>
      <c r="AL34" s="3627">
        <f>AH34*(1+$L$6)</f>
        <v>0</v>
      </c>
      <c r="AN34" s="3624">
        <f>AP34*$AO$14</f>
        <v>0</v>
      </c>
      <c r="AO34" s="1361">
        <f>IFERROR(AN34/$AN$44,0)</f>
        <v>0</v>
      </c>
      <c r="AP34" s="3627">
        <f>AL34*(1+$L$6)</f>
        <v>0</v>
      </c>
      <c r="AR34" s="3624">
        <f>AT34*$AS$14</f>
        <v>0</v>
      </c>
      <c r="AS34" s="1361">
        <f>IFERROR(AR34/$AR$44,0)</f>
        <v>0</v>
      </c>
      <c r="AT34" s="3627">
        <f>AP34*(1+$L$6)</f>
        <v>0</v>
      </c>
      <c r="AV34" s="3624">
        <f>AX34*$AW$14</f>
        <v>0</v>
      </c>
      <c r="AW34" s="1361">
        <f>IFERROR(AV34/$AV$44,0)</f>
        <v>0</v>
      </c>
      <c r="AX34" s="3627">
        <f>AT34*(1+$L$6)</f>
        <v>0</v>
      </c>
      <c r="AZ34" s="3624">
        <f>BB34*$BA$14</f>
        <v>0</v>
      </c>
      <c r="BA34" s="1361">
        <f>IFERROR(AZ34/$AZ$44,0)</f>
        <v>0</v>
      </c>
      <c r="BB34" s="3628">
        <f>AX34*(1+$L$6)</f>
        <v>0</v>
      </c>
      <c r="BD34" s="3629" t="n">
        <f t="array" ref="BD34">IFERROR($H34/12,0)</f>
        <v>0</v>
      </c>
      <c r="BE34" s="1361">
        <f>H34+L34+P34+T34+X34+AB34+AF34+AJ34+AN34+AR34+AV34+AZ34</f>
        <v>0</v>
      </c>
      <c r="BF34" s="3627">
        <f>IFERROR(BE34/BE14,0)</f>
        <v>0</v>
      </c>
    </row>
    <row r="35" s="1168" customFormat="1" ht="15" customHeight="1">
      <c r="A35" s="101" t="n"/>
      <c r="B35" s="1185" t="n"/>
      <c r="E35" s="3630" t="n">
        <v>0</v>
      </c>
      <c r="F35" s="1172" t="n"/>
      <c r="G35" s="1334" t="inlineStr">
        <is>
          <t xml:space="preserve">Guest Laundry</t>
        </is>
      </c>
      <c r="H35" s="3624">
        <f>J35*$I$14</f>
        <v>0</v>
      </c>
      <c r="I35" s="1358">
        <f>IFERROR(H35/$H$44,0)</f>
        <v>0</v>
      </c>
      <c r="J35" s="3631">
        <v>0</v>
      </c>
      <c r="K35" s="1172" t="n"/>
      <c r="L35" s="3632">
        <f>N35*$M$14</f>
        <v>0</v>
      </c>
      <c r="M35" s="1369">
        <f>IFERROR(L35/$L$44,0)</f>
        <v>0</v>
      </c>
      <c r="N35" s="1370">
        <f>J35*(1+$L$6)</f>
        <v>0</v>
      </c>
      <c r="P35" s="3633">
        <f>R35*$Q$14</f>
        <v>0</v>
      </c>
      <c r="Q35" s="1358">
        <f>IFERROR(P35/$P$44,0)</f>
        <v>0</v>
      </c>
      <c r="R35" s="3634">
        <f>N35*(1+$L$6)</f>
        <v>0</v>
      </c>
      <c r="T35" s="3633">
        <f>V35*$U$14</f>
        <v>0</v>
      </c>
      <c r="U35" s="1369">
        <f>IFERROR(T35/$T$44,0)</f>
        <v>0</v>
      </c>
      <c r="V35" s="3634">
        <f>R35*(1+$L$6)</f>
        <v>0</v>
      </c>
      <c r="X35" s="3633">
        <f>Z35*$Y$14</f>
        <v>0</v>
      </c>
      <c r="Y35" s="1369">
        <f>IFERROR(X35/$X$44,0)</f>
        <v>0</v>
      </c>
      <c r="Z35" s="3634">
        <f>V35*(1+$L$6)</f>
        <v>0</v>
      </c>
      <c r="AB35" s="3633">
        <f>AD35*$AC$14</f>
        <v>0</v>
      </c>
      <c r="AC35" s="1369">
        <f>IFERROR(AB35/$AB$44,0)</f>
        <v>0</v>
      </c>
      <c r="AD35" s="3634">
        <f>Z35*(1+$L$6)</f>
        <v>0</v>
      </c>
      <c r="AF35" s="3633">
        <f>AH35*$AG$14</f>
        <v>0</v>
      </c>
      <c r="AG35" s="1369">
        <f>IFERROR(AF35/$AF$44,0)</f>
        <v>0</v>
      </c>
      <c r="AH35" s="3634">
        <f>AD35*(1+$L$6)</f>
        <v>0</v>
      </c>
      <c r="AJ35" s="3633">
        <f>AL35*$AK$14</f>
        <v>0</v>
      </c>
      <c r="AK35" s="1369">
        <f>IFERROR(AJ35/$AJ$44,0)</f>
        <v>0</v>
      </c>
      <c r="AL35" s="3634">
        <f>AH35*(1+$L$6)</f>
        <v>0</v>
      </c>
      <c r="AN35" s="3633">
        <f>AP35*$AO$14</f>
        <v>0</v>
      </c>
      <c r="AO35" s="1369">
        <f>IFERROR(AN35/$AN$44,0)</f>
        <v>0</v>
      </c>
      <c r="AP35" s="3634">
        <f>AL35*(1+$L$6)</f>
        <v>0</v>
      </c>
      <c r="AR35" s="3633">
        <f>AT35*$AS$14</f>
        <v>0</v>
      </c>
      <c r="AS35" s="1369">
        <f>IFERROR(AR35/$AR$44,0)</f>
        <v>0</v>
      </c>
      <c r="AT35" s="3634">
        <f>AP35*(1+$L$6)</f>
        <v>0</v>
      </c>
      <c r="AV35" s="3633">
        <f>AX35*$AW$14</f>
        <v>0</v>
      </c>
      <c r="AW35" s="1369">
        <f>IFERROR(AV35/$AV$44,0)</f>
        <v>0</v>
      </c>
      <c r="AX35" s="3634">
        <f>AT35*(1+$L$6)</f>
        <v>0</v>
      </c>
      <c r="AZ35" s="3633">
        <f>BB35*$BA$14</f>
        <v>0</v>
      </c>
      <c r="BA35" s="1369">
        <f>IFERROR(AZ35/$AZ$44,0)</f>
        <v>0</v>
      </c>
      <c r="BB35" s="3635">
        <f>AX35*(1+$L$6)</f>
        <v>0</v>
      </c>
      <c r="BD35" s="3636" t="n">
        <f t="array" ref="BD35">IFERROR($H35/12,0)</f>
        <v>0</v>
      </c>
      <c r="BE35" s="1361">
        <f>H35+L35+P35+T35+X35+AB35+AF35+AJ35+AN35+AR35+AV35+AZ35</f>
        <v>0</v>
      </c>
      <c r="BF35" s="3634">
        <f>IFERROR(BE35/BE14,0)</f>
        <v>0</v>
      </c>
    </row>
    <row r="36" s="1168" customFormat="1" ht="15" customHeight="1">
      <c r="A36" s="101" t="n"/>
      <c r="B36" s="1185" t="n"/>
      <c r="E36" s="3637" t="n">
        <v>0</v>
      </c>
      <c r="F36" s="1172" t="n"/>
      <c r="G36" s="1376" t="inlineStr">
        <is>
          <t xml:space="preserve">Vending Commissions</t>
        </is>
      </c>
      <c r="H36" s="3638">
        <f>J36*$I$14</f>
        <v>0</v>
      </c>
      <c r="I36" s="1378">
        <f>IFERROR(H36/$H$44,0)</f>
        <v>0</v>
      </c>
      <c r="J36" s="3639">
        <v>0</v>
      </c>
      <c r="K36" s="1172" t="n"/>
      <c r="L36" s="3640">
        <f>N36*$M$14</f>
        <v>0</v>
      </c>
      <c r="M36" s="1381">
        <f>IFERROR(L36/$L$44,0)</f>
        <v>0</v>
      </c>
      <c r="N36" s="1382">
        <f>J36*(1+$L$6)</f>
        <v>0</v>
      </c>
      <c r="P36" s="3641">
        <f>R36*$Q$14</f>
        <v>0</v>
      </c>
      <c r="Q36" s="1381">
        <f>IFERROR(P36/$P$44,0)</f>
        <v>0</v>
      </c>
      <c r="R36" s="3642">
        <f>N36*(1+$L$6)</f>
        <v>0</v>
      </c>
      <c r="T36" s="3641">
        <f>V36*$U$14</f>
        <v>0</v>
      </c>
      <c r="U36" s="1381">
        <f>IFERROR(T36/$T$44,0)</f>
        <v>0</v>
      </c>
      <c r="V36" s="3642">
        <f>R36*(1+$L$6)</f>
        <v>0</v>
      </c>
      <c r="X36" s="3641">
        <f>Z36*$Y$14</f>
        <v>0</v>
      </c>
      <c r="Y36" s="1381">
        <f>IFERROR(X36/$X$44,0)</f>
        <v>0</v>
      </c>
      <c r="Z36" s="3642">
        <f>V36*(1+$L$6)</f>
        <v>0</v>
      </c>
      <c r="AB36" s="3641">
        <f>AD36*$AC$14</f>
        <v>0</v>
      </c>
      <c r="AC36" s="1381">
        <f>IFERROR(AB36/$AB$44,0)</f>
        <v>0</v>
      </c>
      <c r="AD36" s="3642">
        <f>Z36*(1+$L$6)</f>
        <v>0</v>
      </c>
      <c r="AF36" s="3641">
        <f>AH36*$AG$14</f>
        <v>0</v>
      </c>
      <c r="AG36" s="1381">
        <f>IFERROR(AF36/$AF$44,0)</f>
        <v>0</v>
      </c>
      <c r="AH36" s="3642">
        <f>AD36*(1+$L$6)</f>
        <v>0</v>
      </c>
      <c r="AJ36" s="3641">
        <f>AL36*$AK$14</f>
        <v>0</v>
      </c>
      <c r="AK36" s="1381">
        <f>IFERROR(AJ36/$AJ$44,0)</f>
        <v>0</v>
      </c>
      <c r="AL36" s="3642">
        <f>AH36*(1+$L$6)</f>
        <v>0</v>
      </c>
      <c r="AN36" s="3641">
        <f>AP36*$AO$14</f>
        <v>0</v>
      </c>
      <c r="AO36" s="1381">
        <f>IFERROR(AN36/$AN$44,0)</f>
        <v>0</v>
      </c>
      <c r="AP36" s="3642">
        <f>AL36*(1+$L$6)</f>
        <v>0</v>
      </c>
      <c r="AR36" s="3641">
        <f>AT36*$AS$14</f>
        <v>0</v>
      </c>
      <c r="AS36" s="1381">
        <f>IFERROR(AR36/$AR$44,0)</f>
        <v>0</v>
      </c>
      <c r="AT36" s="3642">
        <f>AP36*(1+$L$6)</f>
        <v>0</v>
      </c>
      <c r="AV36" s="3641">
        <f>AX36*$AW$14</f>
        <v>0</v>
      </c>
      <c r="AW36" s="1381">
        <f>IFERROR(AV36/$AV$44,0)</f>
        <v>0</v>
      </c>
      <c r="AX36" s="3642">
        <f>AT36*(1+$L$6)</f>
        <v>0</v>
      </c>
      <c r="AZ36" s="3641">
        <f>BB36*$BA$14</f>
        <v>0</v>
      </c>
      <c r="BA36" s="1381">
        <f>IFERROR(AZ36/$AZ$44,0)</f>
        <v>0</v>
      </c>
      <c r="BB36" s="3643">
        <f>AX36*(1+$L$6)</f>
        <v>0</v>
      </c>
      <c r="BD36" s="3644" t="n">
        <f t="array" ref="BD36">IFERROR($H36/12,0)</f>
        <v>0</v>
      </c>
      <c r="BE36" s="1361">
        <f>H36+L36+P36+T36+X36+AB36+AF36+AJ36+AN36+AR36+AV36+AZ36</f>
        <v>0</v>
      </c>
      <c r="BF36" s="3642">
        <f>IFERROR(BE36/BE14,0)</f>
        <v>0</v>
      </c>
    </row>
    <row r="37" s="1168" customFormat="1" ht="15" customHeight="1">
      <c r="A37" s="101" t="n"/>
      <c r="B37" s="1185" t="n"/>
      <c r="E37" s="3637" t="n">
        <v>0</v>
      </c>
      <c r="F37" s="1172" t="n"/>
      <c r="G37" s="1283" t="inlineStr">
        <is>
          <t xml:space="preserve">Meeting Room Rentals</t>
        </is>
      </c>
      <c r="H37" s="3638">
        <f>J37*$I$14</f>
        <v>0</v>
      </c>
      <c r="I37" s="1378">
        <f>IFERROR(H37/$H$44,0)</f>
        <v>0</v>
      </c>
      <c r="J37" s="3639">
        <v>0</v>
      </c>
      <c r="K37" s="1172" t="n"/>
      <c r="L37" s="3640">
        <f>N37*$M$14</f>
        <v>0</v>
      </c>
      <c r="M37" s="1381">
        <f>IFERROR(L37/$L$44,0)</f>
        <v>0</v>
      </c>
      <c r="N37" s="1382">
        <f>J37*(1+$L$6)</f>
        <v>0</v>
      </c>
      <c r="P37" s="3641">
        <f>R37*$Q$14</f>
        <v>0</v>
      </c>
      <c r="Q37" s="1381">
        <f>IFERROR(P37/$P$44,0)</f>
        <v>0</v>
      </c>
      <c r="R37" s="3642">
        <f>N37*(1+$L$6)</f>
        <v>0</v>
      </c>
      <c r="T37" s="3641">
        <f>V37*$U$14</f>
        <v>0</v>
      </c>
      <c r="U37" s="1381">
        <f>IFERROR(T37/$T$44,0)</f>
        <v>0</v>
      </c>
      <c r="V37" s="3642">
        <f>R37*(1+$L$6)</f>
        <v>0</v>
      </c>
      <c r="X37" s="3641">
        <f>Z37*$Y$14</f>
        <v>0</v>
      </c>
      <c r="Y37" s="1381">
        <f>IFERROR(X37/$X$44,0)</f>
        <v>0</v>
      </c>
      <c r="Z37" s="3642">
        <f>V37*(1+$L$6)</f>
        <v>0</v>
      </c>
      <c r="AB37" s="3641">
        <f>AD37*$AC$14</f>
        <v>0</v>
      </c>
      <c r="AC37" s="1381">
        <f>IFERROR(AB37/$AB$44,0)</f>
        <v>0</v>
      </c>
      <c r="AD37" s="3642">
        <f>Z37*(1+$L$6)</f>
        <v>0</v>
      </c>
      <c r="AF37" s="3641">
        <f>AH37*$AG$14</f>
        <v>0</v>
      </c>
      <c r="AG37" s="1381">
        <f>IFERROR(AF37/$AF$44,0)</f>
        <v>0</v>
      </c>
      <c r="AH37" s="3642">
        <f>AD37*(1+$L$6)</f>
        <v>0</v>
      </c>
      <c r="AJ37" s="3641">
        <f>AL37*$AK$14</f>
        <v>0</v>
      </c>
      <c r="AK37" s="1381">
        <f>IFERROR(AJ37/$AJ$44,0)</f>
        <v>0</v>
      </c>
      <c r="AL37" s="3642">
        <f>AH37*(1+$L$6)</f>
        <v>0</v>
      </c>
      <c r="AN37" s="3641">
        <f>AP37*$AO$14</f>
        <v>0</v>
      </c>
      <c r="AO37" s="1381">
        <f>IFERROR(AN37/$AN$44,0)</f>
        <v>0</v>
      </c>
      <c r="AP37" s="3642">
        <f>AL37*(1+$L$6)</f>
        <v>0</v>
      </c>
      <c r="AR37" s="3641">
        <f>AT37*$AS$14</f>
        <v>0</v>
      </c>
      <c r="AS37" s="1381">
        <f>IFERROR(AR37/$AR$44,0)</f>
        <v>0</v>
      </c>
      <c r="AT37" s="3642">
        <f>AP37*(1+$L$6)</f>
        <v>0</v>
      </c>
      <c r="AV37" s="3641">
        <f>AX37*$AW$14</f>
        <v>0</v>
      </c>
      <c r="AW37" s="1381">
        <f>IFERROR(AV37/$AV$44,0)</f>
        <v>0</v>
      </c>
      <c r="AX37" s="3642">
        <f>AT37*(1+$L$6)</f>
        <v>0</v>
      </c>
      <c r="AZ37" s="3641">
        <f>BB37*$BA$14</f>
        <v>0</v>
      </c>
      <c r="BA37" s="1381">
        <f>IFERROR(AZ37/$AZ$44,0)</f>
        <v>0</v>
      </c>
      <c r="BB37" s="3643">
        <f>AX37*(1+$L$6)</f>
        <v>0</v>
      </c>
      <c r="BD37" s="3644" t="n">
        <f t="array" ref="BD37">IFERROR($H37/12,0)</f>
        <v>0</v>
      </c>
      <c r="BE37" s="1361">
        <f>H37+L37+P37+T37+X37+AB37+AF37+AJ37+AN37+AR37+AV37+AZ37</f>
        <v>0</v>
      </c>
      <c r="BF37" s="3642">
        <f>IFERROR(BE37/BE14,0)</f>
        <v>0</v>
      </c>
    </row>
    <row r="38" s="1168" customFormat="1" ht="15" customHeight="1">
      <c r="A38" s="101" t="n"/>
      <c r="B38" s="1185" t="n"/>
      <c r="E38" s="3637" t="n">
        <v>0</v>
      </c>
      <c r="F38" s="1172" t="n"/>
      <c r="G38" s="1283" t="inlineStr">
        <is>
          <t xml:space="preserve">Other  </t>
        </is>
      </c>
      <c r="H38" s="3638">
        <f>J38*$I$14</f>
        <v>0</v>
      </c>
      <c r="I38" s="1378">
        <f>IFERROR(H38/$H$44,0)</f>
        <v>0</v>
      </c>
      <c r="J38" s="3639">
        <v>0</v>
      </c>
      <c r="K38" s="1172" t="n"/>
      <c r="L38" s="3640">
        <f>N38*$M$14</f>
        <v>0</v>
      </c>
      <c r="M38" s="1381">
        <f>IFERROR(L38/$L$44,0)</f>
        <v>0</v>
      </c>
      <c r="N38" s="1382">
        <f>J38*(1+$L$6)</f>
        <v>0</v>
      </c>
      <c r="P38" s="3641">
        <f>R38*$Q$14</f>
        <v>0</v>
      </c>
      <c r="Q38" s="1381">
        <f>IFERROR(P38/$P$44,0)</f>
        <v>0</v>
      </c>
      <c r="R38" s="3642">
        <f>N38*(1+$L$6)</f>
        <v>0</v>
      </c>
      <c r="T38" s="3641">
        <f>V38*$U$14</f>
        <v>0</v>
      </c>
      <c r="U38" s="1381">
        <f>IFERROR(T38/$T$44,0)</f>
        <v>0</v>
      </c>
      <c r="V38" s="3642">
        <f>R38*(1+$L$6)</f>
        <v>0</v>
      </c>
      <c r="X38" s="3641">
        <f>Z38*$Y$14</f>
        <v>0</v>
      </c>
      <c r="Y38" s="1381">
        <f>IFERROR(X38/$X$44,0)</f>
        <v>0</v>
      </c>
      <c r="Z38" s="3642">
        <f>V38*(1+$L$6)</f>
        <v>0</v>
      </c>
      <c r="AB38" s="3641">
        <f>AD38*$AC$14</f>
        <v>0</v>
      </c>
      <c r="AC38" s="1381">
        <f>IFERROR(AB38/$AB$44,0)</f>
        <v>0</v>
      </c>
      <c r="AD38" s="3642">
        <f>Z38*(1+$L$6)</f>
        <v>0</v>
      </c>
      <c r="AF38" s="3641">
        <f>AH38*$AG$14</f>
        <v>0</v>
      </c>
      <c r="AG38" s="1381">
        <f>IFERROR(AF38/$AF$44,0)</f>
        <v>0</v>
      </c>
      <c r="AH38" s="3642">
        <f>AD38*(1+$L$6)</f>
        <v>0</v>
      </c>
      <c r="AJ38" s="3641">
        <f>AL38*$AK$14</f>
        <v>0</v>
      </c>
      <c r="AK38" s="1381">
        <f>IFERROR(AJ38/$AJ$44,0)</f>
        <v>0</v>
      </c>
      <c r="AL38" s="3642">
        <f>AH38*(1+$L$6)</f>
        <v>0</v>
      </c>
      <c r="AN38" s="3641">
        <f>AP38*$AO$14</f>
        <v>0</v>
      </c>
      <c r="AO38" s="1381">
        <f>IFERROR(AN38/$AN$44,0)</f>
        <v>0</v>
      </c>
      <c r="AP38" s="3642">
        <f>AL38*(1+$L$6)</f>
        <v>0</v>
      </c>
      <c r="AR38" s="3641">
        <f>AT38*$AS$14</f>
        <v>0</v>
      </c>
      <c r="AS38" s="1381">
        <f>IFERROR(AR38/$AR$44,0)</f>
        <v>0</v>
      </c>
      <c r="AT38" s="3642">
        <f>AP38*(1+$L$6)</f>
        <v>0</v>
      </c>
      <c r="AV38" s="3641">
        <f>AX38*$AW$14</f>
        <v>0</v>
      </c>
      <c r="AW38" s="1381">
        <f>IFERROR(AV38/$AV$44,0)</f>
        <v>0</v>
      </c>
      <c r="AX38" s="3642">
        <f>AT38*(1+$L$6)</f>
        <v>0</v>
      </c>
      <c r="AZ38" s="3641">
        <f>BB38*$BA$14</f>
        <v>0</v>
      </c>
      <c r="BA38" s="1381">
        <f>IFERROR(AZ38/$AZ$44,0)</f>
        <v>0</v>
      </c>
      <c r="BB38" s="3643">
        <f>AX38*(1+$L$6)</f>
        <v>0</v>
      </c>
      <c r="BD38" s="3644" t="n">
        <f t="array" ref="BD38">IFERROR($H38/12,0)</f>
        <v>0</v>
      </c>
      <c r="BE38" s="1361">
        <f>H38+L38+P38+T38+X38+AB38+AF38+AJ38+AN38+AR38+AV38+AZ38</f>
        <v>0</v>
      </c>
      <c r="BF38" s="3642">
        <f>IFERROR(BE38/BE14,0)</f>
        <v>0</v>
      </c>
    </row>
    <row r="39" s="1168" customFormat="1" ht="15" customHeight="1">
      <c r="A39" s="101" t="n"/>
      <c r="B39" s="1185" t="n"/>
      <c r="E39" s="3637" t="n">
        <v>0</v>
      </c>
      <c r="F39" s="1172" t="n"/>
      <c r="G39" s="1283" t="inlineStr">
        <is>
          <t xml:space="preserve">Other</t>
        </is>
      </c>
      <c r="H39" s="3638">
        <f>J39*$I$14</f>
        <v>0</v>
      </c>
      <c r="I39" s="1378">
        <f>IFERROR(H39/$H$44,0)</f>
        <v>0</v>
      </c>
      <c r="J39" s="3639">
        <v>0</v>
      </c>
      <c r="K39" s="1172" t="n"/>
      <c r="L39" s="3640">
        <f>N39*$M$14</f>
        <v>0</v>
      </c>
      <c r="M39" s="1381">
        <f>IFERROR(L39/$L$44,0)</f>
        <v>0</v>
      </c>
      <c r="N39" s="1382">
        <f>J39*(1+$L$6)</f>
        <v>0</v>
      </c>
      <c r="P39" s="3641">
        <f>R39*$Q$14</f>
        <v>0</v>
      </c>
      <c r="Q39" s="1381">
        <f>IFERROR(P39/$P$44,0)</f>
        <v>0</v>
      </c>
      <c r="R39" s="3642">
        <f>N39*(1+$L$6)</f>
        <v>0</v>
      </c>
      <c r="T39" s="3641">
        <f>V39*$U$14</f>
        <v>0</v>
      </c>
      <c r="U39" s="1381">
        <f>IFERROR(T39/$T$44,0)</f>
        <v>0</v>
      </c>
      <c r="V39" s="3642">
        <f>R39*(1+$L$6)</f>
        <v>0</v>
      </c>
      <c r="X39" s="3641">
        <f>Z39*$Y$14</f>
        <v>0</v>
      </c>
      <c r="Y39" s="1381">
        <f>IFERROR(X39/$X$44,0)</f>
        <v>0</v>
      </c>
      <c r="Z39" s="3642">
        <f>V39*(1+$L$6)</f>
        <v>0</v>
      </c>
      <c r="AB39" s="3641">
        <f>AD39*$AC$14</f>
        <v>0</v>
      </c>
      <c r="AC39" s="1381">
        <f>IFERROR(AB39/$AB$44,0)</f>
        <v>0</v>
      </c>
      <c r="AD39" s="3642">
        <f>Z39*(1+$L$6)</f>
        <v>0</v>
      </c>
      <c r="AF39" s="3641">
        <f>AH39*$AG$14</f>
        <v>0</v>
      </c>
      <c r="AG39" s="1381">
        <f>IFERROR(AF39/$AF$44,0)</f>
        <v>0</v>
      </c>
      <c r="AH39" s="3642">
        <f>AD39*(1+$L$6)</f>
        <v>0</v>
      </c>
      <c r="AJ39" s="3641">
        <f>AL39*$AK$14</f>
        <v>0</v>
      </c>
      <c r="AK39" s="1381">
        <f>IFERROR(AJ39/$AJ$44,0)</f>
        <v>0</v>
      </c>
      <c r="AL39" s="3642">
        <f>AH39*(1+$L$6)</f>
        <v>0</v>
      </c>
      <c r="AN39" s="3641">
        <f>AP39*$AO$14</f>
        <v>0</v>
      </c>
      <c r="AO39" s="1381">
        <f>IFERROR(AN39/$AN$44,0)</f>
        <v>0</v>
      </c>
      <c r="AP39" s="3642">
        <f>AL39*(1+$L$6)</f>
        <v>0</v>
      </c>
      <c r="AR39" s="3641">
        <f>AT39*$AS$14</f>
        <v>0</v>
      </c>
      <c r="AS39" s="1381">
        <f>IFERROR(AR39/$AR$44,0)</f>
        <v>0</v>
      </c>
      <c r="AT39" s="3642">
        <f>AP39*(1+$L$6)</f>
        <v>0</v>
      </c>
      <c r="AV39" s="3641">
        <f>AX39*$AW$14</f>
        <v>0</v>
      </c>
      <c r="AW39" s="1381">
        <f>IFERROR(AV39/$AV$44,0)</f>
        <v>0</v>
      </c>
      <c r="AX39" s="3642">
        <f>AT39*(1+$L$6)</f>
        <v>0</v>
      </c>
      <c r="AZ39" s="3641">
        <f>BB39*$BA$14</f>
        <v>0</v>
      </c>
      <c r="BA39" s="1381">
        <f>IFERROR(AZ39/$AZ$44,0)</f>
        <v>0</v>
      </c>
      <c r="BB39" s="3643">
        <f>AX39*(1+$L$6)</f>
        <v>0</v>
      </c>
      <c r="BD39" s="3644" t="n">
        <f t="array" ref="BD39">IFERROR($H39/12,0)</f>
        <v>0</v>
      </c>
      <c r="BE39" s="1361">
        <f>H39+L39+P39+T39+X39+AB39+AF39+AJ39+AN39+AR39+AV39+AZ39</f>
        <v>0</v>
      </c>
      <c r="BF39" s="3642">
        <f>IFERROR(BE39/BE14,0)</f>
        <v>0</v>
      </c>
    </row>
    <row r="40" s="1168" customFormat="1" ht="15" customHeight="1">
      <c r="A40" s="101" t="n"/>
      <c r="B40" s="1185" t="n"/>
      <c r="E40" s="3637" t="n">
        <v>0</v>
      </c>
      <c r="F40" s="1172" t="n"/>
      <c r="G40" s="1283" t="inlineStr">
        <is>
          <t xml:space="preserve">Other</t>
        </is>
      </c>
      <c r="H40" s="3638">
        <f>J40*$I$14</f>
        <v>0</v>
      </c>
      <c r="I40" s="1378">
        <f>IFERROR(H40/$H$44,0)</f>
        <v>0</v>
      </c>
      <c r="J40" s="3639">
        <v>0</v>
      </c>
      <c r="K40" s="1172" t="n"/>
      <c r="L40" s="3640">
        <f>N40*$M$14</f>
        <v>0</v>
      </c>
      <c r="M40" s="1381">
        <f>IFERROR(L40/$L$44,0)</f>
        <v>0</v>
      </c>
      <c r="N40" s="1382">
        <f>J40*(1+$L$6)</f>
        <v>0</v>
      </c>
      <c r="P40" s="3641">
        <f>R40*$Q$14</f>
        <v>0</v>
      </c>
      <c r="Q40" s="1381">
        <f>IFERROR(P40/$P$44,0)</f>
        <v>0</v>
      </c>
      <c r="R40" s="3642">
        <f>N40*(1+$L$6)</f>
        <v>0</v>
      </c>
      <c r="T40" s="3641">
        <f>V40*$U$14</f>
        <v>0</v>
      </c>
      <c r="U40" s="1381">
        <f>IFERROR(T40/$T$44,0)</f>
        <v>0</v>
      </c>
      <c r="V40" s="3642">
        <f>R40*(1+$L$6)</f>
        <v>0</v>
      </c>
      <c r="X40" s="3641">
        <f>Z40*$Y$14</f>
        <v>0</v>
      </c>
      <c r="Y40" s="1381">
        <f>IFERROR(X40/$X$44,0)</f>
        <v>0</v>
      </c>
      <c r="Z40" s="3642">
        <f>V40*(1+$L$6)</f>
        <v>0</v>
      </c>
      <c r="AB40" s="3641">
        <f>AD40*$AC$14</f>
        <v>0</v>
      </c>
      <c r="AC40" s="1381">
        <f>IFERROR(AB40/$AB$44,0)</f>
        <v>0</v>
      </c>
      <c r="AD40" s="3642">
        <f>Z40*(1+$L$6)</f>
        <v>0</v>
      </c>
      <c r="AF40" s="3641">
        <f>AH40*$AG$14</f>
        <v>0</v>
      </c>
      <c r="AG40" s="1381">
        <f>IFERROR(AF40/$AF$44,0)</f>
        <v>0</v>
      </c>
      <c r="AH40" s="3642">
        <f>AD40*(1+$L$6)</f>
        <v>0</v>
      </c>
      <c r="AJ40" s="3641">
        <f>AL40*$AK$14</f>
        <v>0</v>
      </c>
      <c r="AK40" s="1381">
        <f>IFERROR(AJ40/$AJ$44,0)</f>
        <v>0</v>
      </c>
      <c r="AL40" s="3642">
        <f>AH40*(1+$L$6)</f>
        <v>0</v>
      </c>
      <c r="AN40" s="3641">
        <f>AP40*$AO$14</f>
        <v>0</v>
      </c>
      <c r="AO40" s="1381">
        <f>IFERROR(AN40/$AN$44,0)</f>
        <v>0</v>
      </c>
      <c r="AP40" s="3642">
        <f>AL40*(1+$L$6)</f>
        <v>0</v>
      </c>
      <c r="AR40" s="3641">
        <f>AT40*$AS$14</f>
        <v>0</v>
      </c>
      <c r="AS40" s="1381">
        <f>IFERROR(AR40/$AR$44,0)</f>
        <v>0</v>
      </c>
      <c r="AT40" s="3642">
        <f>AP40*(1+$L$6)</f>
        <v>0</v>
      </c>
      <c r="AV40" s="3641">
        <f>AX40*$AW$14</f>
        <v>0</v>
      </c>
      <c r="AW40" s="1381">
        <f>IFERROR(AV40/$AV$44,0)</f>
        <v>0</v>
      </c>
      <c r="AX40" s="3642">
        <f>AT40*(1+$L$6)</f>
        <v>0</v>
      </c>
      <c r="AZ40" s="3641">
        <f>BB40*$BA$14</f>
        <v>0</v>
      </c>
      <c r="BA40" s="1381">
        <f>IFERROR(AZ40/$AZ$44,0)</f>
        <v>0</v>
      </c>
      <c r="BB40" s="3643">
        <f>AX40*(1+$L$6)</f>
        <v>0</v>
      </c>
      <c r="BD40" s="3644" t="n">
        <f t="array" ref="BD40">IFERROR($H40/12,0)</f>
        <v>0</v>
      </c>
      <c r="BE40" s="1361">
        <f>H40+L40+P40+T40+X40+AB40+AF40+AJ40+AN40+AR40+AV40+AZ40</f>
        <v>0</v>
      </c>
      <c r="BF40" s="3642">
        <f>IFERROR(BE40/BE14,0)</f>
        <v>0</v>
      </c>
    </row>
    <row r="41" s="1168" customFormat="1" ht="15" customHeight="1">
      <c r="A41" s="101" t="n"/>
      <c r="B41" s="1185" t="n"/>
      <c r="E41" s="3637" t="n">
        <v>0</v>
      </c>
      <c r="F41" s="1172" t="n"/>
      <c r="G41" s="1325" t="inlineStr">
        <is>
          <t xml:space="preserve">Other</t>
        </is>
      </c>
      <c r="H41" s="3645">
        <f>J41*$I$14</f>
        <v>0</v>
      </c>
      <c r="I41" s="1388">
        <f>IFERROR(H41/$H$44,0)</f>
        <v>0</v>
      </c>
      <c r="J41" s="3646">
        <v>0</v>
      </c>
      <c r="K41" s="1172" t="n"/>
      <c r="L41" s="3647">
        <f>N41*$M$14</f>
        <v>0</v>
      </c>
      <c r="M41" s="1391">
        <f>IFERROR(L41/$L$44,0)</f>
        <v>0</v>
      </c>
      <c r="N41" s="1392">
        <f>J41*(1+$L$6)</f>
        <v>0</v>
      </c>
      <c r="P41" s="3648">
        <f>R41*$Q$14</f>
        <v>0</v>
      </c>
      <c r="Q41" s="1391">
        <f>IFERROR(P41/$P$44,0)</f>
        <v>0</v>
      </c>
      <c r="R41" s="3649">
        <f>N41*(1+$L$6)</f>
        <v>0</v>
      </c>
      <c r="T41" s="3648">
        <f>V41*$U$14</f>
        <v>0</v>
      </c>
      <c r="U41" s="1391">
        <f>IFERROR(T41/$T$44,0)</f>
        <v>0</v>
      </c>
      <c r="V41" s="3649">
        <f>R41*(1+$L$6)</f>
        <v>0</v>
      </c>
      <c r="X41" s="3648">
        <f>Z41*$Y$14</f>
        <v>0</v>
      </c>
      <c r="Y41" s="1391">
        <f>IFERROR(X41/$X$44,0)</f>
        <v>0</v>
      </c>
      <c r="Z41" s="3649">
        <f>V41*(1+$L$6)</f>
        <v>0</v>
      </c>
      <c r="AB41" s="3648">
        <f>AD41*$AC$14</f>
        <v>0</v>
      </c>
      <c r="AC41" s="1391">
        <f>IFERROR(AB41/$AB$44,0)</f>
        <v>0</v>
      </c>
      <c r="AD41" s="3649">
        <f>Z41*(1+$L$6)</f>
        <v>0</v>
      </c>
      <c r="AF41" s="3648">
        <f>AH41*$AG$14</f>
        <v>0</v>
      </c>
      <c r="AG41" s="1391">
        <f>IFERROR(AF41/$AF$44,0)</f>
        <v>0</v>
      </c>
      <c r="AH41" s="3649">
        <f>AD41*(1+$L$6)</f>
        <v>0</v>
      </c>
      <c r="AJ41" s="3648">
        <f>AL41*$AK$14</f>
        <v>0</v>
      </c>
      <c r="AK41" s="1391">
        <f>IFERROR(AJ41/$AJ$44,0)</f>
        <v>0</v>
      </c>
      <c r="AL41" s="3649">
        <f>AH41*(1+$L$6)</f>
        <v>0</v>
      </c>
      <c r="AN41" s="3648">
        <f>AP41*$AO$14</f>
        <v>0</v>
      </c>
      <c r="AO41" s="1391">
        <f>IFERROR(AN41/$AN$44,0)</f>
        <v>0</v>
      </c>
      <c r="AP41" s="3649">
        <f>AL41*(1+$L$6)</f>
        <v>0</v>
      </c>
      <c r="AR41" s="3648">
        <f>AT41*$AS$14</f>
        <v>0</v>
      </c>
      <c r="AS41" s="1391">
        <f>IFERROR(AR41/$AR$44,0)</f>
        <v>0</v>
      </c>
      <c r="AT41" s="3649">
        <f>AP41*(1+$L$6)</f>
        <v>0</v>
      </c>
      <c r="AV41" s="3648">
        <f>AX41*$AW$14</f>
        <v>0</v>
      </c>
      <c r="AW41" s="1391">
        <f>IFERROR(AV41/$AV$44,0)</f>
        <v>0</v>
      </c>
      <c r="AX41" s="3649">
        <f>AT41*(1+$L$6)</f>
        <v>0</v>
      </c>
      <c r="AZ41" s="3648">
        <f>BB41*$BA$14</f>
        <v>0</v>
      </c>
      <c r="BA41" s="1391">
        <f>IFERROR(AZ41/$AZ$44,0)</f>
        <v>0</v>
      </c>
      <c r="BB41" s="3650">
        <f>AX41*(1+$L$6)</f>
        <v>0</v>
      </c>
      <c r="BD41" s="3651" t="n">
        <f t="array" ref="BD41">IFERROR($H41/12,0)</f>
        <v>0</v>
      </c>
      <c r="BE41" s="1397">
        <f>H41+L41+P41+T41+X41+AB41+AF41+AJ41+AN41+AR41+AV41+AZ41</f>
        <v>0</v>
      </c>
      <c r="BF41" s="3649">
        <f>IFERROR(BE41/BE14,0)</f>
        <v>0</v>
      </c>
    </row>
    <row r="42" s="1168" customFormat="1" ht="13.5" customHeight="1">
      <c r="A42" s="101" t="n"/>
      <c r="B42" s="1185" t="n"/>
      <c r="F42" s="1172" t="n"/>
      <c r="G42" s="1398" t="inlineStr">
        <is>
          <t xml:space="preserve">Total Other Department Revenue</t>
        </is>
      </c>
      <c r="H42" s="3615">
        <f>SUM(H34:H41)</f>
        <v>0</v>
      </c>
      <c r="I42" s="1346">
        <f>SUM(I34:I41)</f>
        <v>0</v>
      </c>
      <c r="J42" s="3616">
        <f>IFERROR(H42/$I$14,0)</f>
        <v>0</v>
      </c>
      <c r="K42" s="1172" t="n"/>
      <c r="L42" s="3652">
        <f>SUM(L34:L41)</f>
        <v>0</v>
      </c>
      <c r="M42" s="1349">
        <f>SUM(M34:M41)</f>
        <v>0</v>
      </c>
      <c r="N42" s="1350">
        <f>IFERROR(L42/$M$14,0)</f>
        <v>0</v>
      </c>
      <c r="P42" s="3615">
        <f>SUM(P34:P41)</f>
        <v>0</v>
      </c>
      <c r="Q42" s="1346">
        <f>SUM(Q34:Q41)</f>
        <v>0</v>
      </c>
      <c r="R42" s="3653">
        <f>IFERROR(P42/$Q$14,0)</f>
        <v>0</v>
      </c>
      <c r="T42" s="3615">
        <f>SUM(T34:T41)</f>
        <v>0</v>
      </c>
      <c r="U42" s="1349">
        <f>SUM(U34:U41)</f>
        <v>0</v>
      </c>
      <c r="V42" s="3653">
        <f>IFERROR(T42/$U$14,0)</f>
        <v>0</v>
      </c>
      <c r="X42" s="3615">
        <f>SUM(X34:X41)</f>
        <v>0</v>
      </c>
      <c r="Y42" s="1349">
        <f>SUM(Y34:Y41)</f>
        <v>0</v>
      </c>
      <c r="Z42" s="3653">
        <f>IFERROR(X42/$Y$14,0)</f>
        <v>0</v>
      </c>
      <c r="AB42" s="3615">
        <f>SUM(AB34:AB41)</f>
        <v>0</v>
      </c>
      <c r="AC42" s="1349">
        <f>SUM(AC34:AC41)</f>
        <v>0</v>
      </c>
      <c r="AD42" s="3653">
        <f>IFERROR(AB42/$AC$14,0)</f>
        <v>0</v>
      </c>
      <c r="AF42" s="3615">
        <f>SUM(AF34:AF41)</f>
        <v>0</v>
      </c>
      <c r="AG42" s="1349">
        <f>SUM(AG34:AG41)</f>
        <v>0</v>
      </c>
      <c r="AH42" s="3653">
        <f>IFERROR(AF42/$AG$14,0)</f>
        <v>0</v>
      </c>
      <c r="AJ42" s="3615">
        <f>SUM(AJ34:AJ41)</f>
        <v>0</v>
      </c>
      <c r="AK42" s="1349">
        <f>SUM(AK34:AK41)</f>
        <v>0</v>
      </c>
      <c r="AL42" s="3653">
        <f>IFERROR(AJ42/$AK$14,0)</f>
        <v>0</v>
      </c>
      <c r="AN42" s="3615">
        <f>SUM(AN34:AN41)</f>
        <v>0</v>
      </c>
      <c r="AO42" s="1349">
        <f>SUM(AO34:AO41)</f>
        <v>0</v>
      </c>
      <c r="AP42" s="3653">
        <f>IFERROR(AN42/$AO$14,0)</f>
        <v>0</v>
      </c>
      <c r="AR42" s="3615">
        <f>SUM(AR34:AR41)</f>
        <v>0</v>
      </c>
      <c r="AS42" s="1349">
        <f>SUM(AS34:AS41)</f>
        <v>0</v>
      </c>
      <c r="AT42" s="3653">
        <f>IFERROR(AR42/$AS$14,0)</f>
        <v>0</v>
      </c>
      <c r="AV42" s="3615">
        <f>SUM(AV34:AV41)</f>
        <v>0</v>
      </c>
      <c r="AW42" s="1349">
        <f>SUM(AW34:AW41)</f>
        <v>0</v>
      </c>
      <c r="AX42" s="3653">
        <f>IFERROR(AV42/$AW$14,0)</f>
        <v>0</v>
      </c>
      <c r="AZ42" s="3615">
        <f>SUM(AZ34:AZ41)</f>
        <v>0</v>
      </c>
      <c r="BA42" s="1349">
        <f>SUM(BA34:BA41)</f>
        <v>0</v>
      </c>
      <c r="BB42" s="3619">
        <f>IFERROR(AZ42/$BA$14,0)</f>
        <v>0</v>
      </c>
      <c r="BD42" s="3618" t="n">
        <f t="array" ref="BD42">IFERROR($H42/12,0)</f>
        <v>0</v>
      </c>
      <c r="BE42" s="1349">
        <f>H42+L42+P42+T42+X42+AB42+AF42+AJ42+AN42+AR42+AV42+AZ42</f>
        <v>0</v>
      </c>
      <c r="BF42" s="3653">
        <f>IFERROR(BE42/BE14,0)</f>
        <v>0</v>
      </c>
    </row>
    <row r="43" s="1168" customFormat="1" ht="15" customHeight="1">
      <c r="A43" s="101" t="n"/>
      <c r="B43" s="1185" t="n"/>
      <c r="E43" s="3583" t="n"/>
      <c r="F43" s="1172" t="n"/>
      <c r="H43" s="3654" t="n"/>
      <c r="I43" s="1402" t="n"/>
      <c r="J43" s="3655" t="n"/>
      <c r="K43" s="1172" t="n"/>
      <c r="L43" s="3656" t="n"/>
      <c r="M43" s="1405" t="n"/>
      <c r="N43" s="1402" t="n"/>
      <c r="P43" s="3657" t="n"/>
      <c r="Q43" s="1402" t="n"/>
      <c r="R43" s="3658" t="n"/>
      <c r="T43" s="3657" t="n"/>
      <c r="U43" s="1405" t="n"/>
      <c r="V43" s="3658" t="n"/>
      <c r="X43" s="3657" t="n"/>
      <c r="Y43" s="1405" t="n"/>
      <c r="Z43" s="3658" t="n"/>
      <c r="AB43" s="3657" t="n"/>
      <c r="AC43" s="1405" t="n"/>
      <c r="AD43" s="3658" t="n"/>
      <c r="AF43" s="3657" t="n"/>
      <c r="AG43" s="1405" t="n"/>
      <c r="AH43" s="3658" t="n"/>
      <c r="AJ43" s="3657" t="n"/>
      <c r="AK43" s="1405" t="n"/>
      <c r="AL43" s="3658" t="n"/>
      <c r="AN43" s="3657" t="n"/>
      <c r="AO43" s="1405" t="n"/>
      <c r="AP43" s="3658" t="n"/>
      <c r="AR43" s="3657" t="n"/>
      <c r="AS43" s="1405" t="n"/>
      <c r="AT43" s="3658" t="n"/>
      <c r="AV43" s="3657" t="n"/>
      <c r="AW43" s="1405" t="n"/>
      <c r="AX43" s="3658" t="n"/>
      <c r="AZ43" s="3657" t="n"/>
      <c r="BA43" s="1405" t="n"/>
      <c r="BB43" s="3658" t="n"/>
      <c r="BD43" s="3657" t="n"/>
      <c r="BE43" s="1405" t="n"/>
      <c r="BF43" s="3658" t="n"/>
    </row>
    <row r="44" s="1168" customFormat="1" ht="13.5" customHeight="1">
      <c r="A44" s="101" t="n"/>
      <c r="B44" s="1185" t="n"/>
      <c r="E44" s="3583" t="n"/>
      <c r="F44" s="1172" t="n"/>
      <c r="G44" s="1344" t="inlineStr">
        <is>
          <t xml:space="preserve">Total Revenue</t>
        </is>
      </c>
      <c r="H44" s="3615">
        <f>SUM(H42,H31,H27)</f>
        <v>1485550</v>
      </c>
      <c r="I44" s="1346">
        <f>SUM(I27+I31+I42)</f>
        <v>1</v>
      </c>
      <c r="J44" s="1408">
        <f>IFERROR(H44/I14,0)</f>
        <v>74</v>
      </c>
      <c r="K44" s="1172" t="n"/>
      <c r="L44" s="3617">
        <f>SUM(L42,L31,L27)</f>
        <v>1790763</v>
      </c>
      <c r="M44" s="1349">
        <f>SUM(M27+M31+M42)</f>
        <v>1</v>
      </c>
      <c r="N44" s="3619">
        <f>IFERROR(L44/M14,0)</f>
        <v>75.48</v>
      </c>
      <c r="P44" s="3618">
        <f>SUM(P42,P31,P27)</f>
        <v>2023286.688</v>
      </c>
      <c r="Q44" s="1349">
        <f>SUM(Q27+Q31+Q42)</f>
        <v>1</v>
      </c>
      <c r="R44" s="3619">
        <f>IFERROR(P44/Q14,0)</f>
        <v>76.9896</v>
      </c>
      <c r="T44" s="3618">
        <f>SUM(T42,T31,T27)</f>
        <v>2063752.42176</v>
      </c>
      <c r="U44" s="1349">
        <f>SUM(U27+U31+U42)</f>
        <v>1</v>
      </c>
      <c r="V44" s="3619">
        <f>IFERROR(T44/U14,0)</f>
        <v>78.529392</v>
      </c>
      <c r="X44" s="3618">
        <f>SUM(X42,X31,X27)</f>
        <v>2105027.4702</v>
      </c>
      <c r="Y44" s="1349">
        <f>SUM(Y27+Y31+Y42)</f>
        <v>1</v>
      </c>
      <c r="Z44" s="3619">
        <f>IFERROR(X44/Y14,0)</f>
        <v>80.09997984</v>
      </c>
      <c r="AB44" s="3618">
        <f>SUM(AB42,AB31,AB27)</f>
        <v>2147128.0196</v>
      </c>
      <c r="AC44" s="1349">
        <f>SUM(AC27+AC31+AC42)</f>
        <v>1</v>
      </c>
      <c r="AD44" s="3619">
        <f>IFERROR(AB44/AC14,0)</f>
        <v>81.7019794368</v>
      </c>
      <c r="AF44" s="3618">
        <f>SUM(AF42,AF31,AF27)</f>
        <v>2190070.57999</v>
      </c>
      <c r="AG44" s="1349">
        <f>SUM(AG27+AG31+AG42)</f>
        <v>1</v>
      </c>
      <c r="AH44" s="3619">
        <f>IFERROR(AF44/AG14,0)</f>
        <v>83.3360190255</v>
      </c>
      <c r="AJ44" s="3618">
        <f>SUM(AJ42,AJ31,AJ27)</f>
        <v>2233871.99159</v>
      </c>
      <c r="AK44" s="1349">
        <f>SUM(AK27+AK31+AK42)</f>
        <v>1</v>
      </c>
      <c r="AL44" s="3619">
        <f>IFERROR(AJ44/AK14,0)</f>
        <v>85.002739406</v>
      </c>
      <c r="AN44" s="3618">
        <f>SUM(AN42,AN31,AN27)</f>
        <v>2278549.43142</v>
      </c>
      <c r="AO44" s="1349">
        <f>SUM(AO27+AO31+AO42)</f>
        <v>1</v>
      </c>
      <c r="AP44" s="3619">
        <f>IFERROR(AN44/AO14,0)</f>
        <v>86.7027941942</v>
      </c>
      <c r="AR44" s="3618">
        <f>SUM(AR42,AR31,AR27)</f>
        <v>2324120.42005</v>
      </c>
      <c r="AS44" s="1349">
        <f>SUM(AS27+AS31+AS42)</f>
        <v>1</v>
      </c>
      <c r="AT44" s="3619">
        <f>IFERROR(AR44/AS14,0)</f>
        <v>88.4368500781</v>
      </c>
      <c r="AV44" s="3618">
        <f>SUM(AV42,AV31,AV27)</f>
        <v>2324120.42005</v>
      </c>
      <c r="AW44" s="1349">
        <f>SUM(AW27+AW31+AW42)</f>
        <v>1</v>
      </c>
      <c r="AX44" s="3619">
        <f>IFERROR(AV44/AW14,0)</f>
        <v>88.4368500781</v>
      </c>
      <c r="AZ44" s="3618">
        <f>SUM(AZ42,AZ31,AZ27)</f>
        <v>2324120.42005</v>
      </c>
      <c r="BA44" s="3659">
        <f>SUM(BA27+BA31+BA42)</f>
        <v>1</v>
      </c>
      <c r="BB44" s="3619">
        <f>IFERROR(AZ44/BA14,0)</f>
        <v>88.4368500781</v>
      </c>
      <c r="BD44" s="3618" t="n">
        <f t="array" ref="BD44">IFERROR($H44/12,0)</f>
        <v>123795.83333333333</v>
      </c>
      <c r="BE44" s="1349">
        <f>H44+L44+P44+T44+X44+AB44+AF44+AJ44+AN44+AR44+AV44+AZ44</f>
        <v>25290360.8627</v>
      </c>
      <c r="BF44" s="3619">
        <f>IFERROR(BE44/BE14,0)</f>
        <v>82.4864998784</v>
      </c>
    </row>
    <row r="45" s="1168" customFormat="1" ht="15.75" customHeight="1">
      <c r="E45" s="3583" t="n"/>
      <c r="F45" s="1172" t="n"/>
      <c r="H45" s="3563" t="n"/>
      <c r="I45" s="3564" t="n"/>
      <c r="J45" s="3565" t="n"/>
      <c r="K45" s="1172" t="n"/>
      <c r="L45" s="3566" t="n"/>
      <c r="M45" s="3567" t="n"/>
      <c r="N45" s="3564" t="n"/>
      <c r="P45" s="3571" t="n"/>
      <c r="Q45" s="3564" t="n"/>
      <c r="R45" s="3570" t="n"/>
      <c r="T45" s="3571" t="n"/>
      <c r="U45" s="3567" t="n"/>
      <c r="V45" s="3570" t="n"/>
      <c r="X45" s="3571" t="n"/>
      <c r="Y45" s="3567" t="n"/>
      <c r="Z45" s="3570" t="n"/>
      <c r="AB45" s="3571" t="n"/>
      <c r="AC45" s="3567" t="n"/>
      <c r="AD45" s="3570" t="n"/>
      <c r="AF45" s="3571" t="n"/>
      <c r="AG45" s="3567" t="n"/>
      <c r="AH45" s="3570" t="n"/>
      <c r="AJ45" s="3571" t="n"/>
      <c r="AK45" s="3567" t="n"/>
      <c r="AL45" s="3570" t="n"/>
      <c r="AN45" s="3571" t="n"/>
      <c r="AO45" s="3567" t="n"/>
      <c r="AP45" s="3570" t="n"/>
      <c r="AR45" s="3571" t="n"/>
      <c r="AS45" s="1269" t="n"/>
      <c r="AT45" s="3570" t="n"/>
      <c r="AV45" s="3571" t="n"/>
      <c r="AW45" s="3567" t="n"/>
      <c r="AX45" s="3570" t="n"/>
      <c r="AZ45" s="3571" t="n"/>
      <c r="BA45" s="3567" t="n"/>
      <c r="BB45" s="3570" t="n"/>
      <c r="BD45" s="3571" t="n"/>
      <c r="BE45" s="3567" t="n"/>
      <c r="BF45" s="3570" t="n"/>
    </row>
    <row r="46" s="1168" customFormat="1" ht="13.5" customHeight="1">
      <c r="A46" s="3445" t="n"/>
      <c r="B46" s="3538" t="n"/>
      <c r="C46" s="643" t="n"/>
      <c r="E46" s="3583" t="n"/>
      <c r="F46" s="1410" t="n"/>
      <c r="H46" s="1411">
        <f>H16</f>
      </c>
      <c r="I46" s="3424" t="n"/>
      <c r="J46" s="3425" t="n"/>
      <c r="K46" s="1172" t="n"/>
      <c r="L46" s="3660">
        <f>L16</f>
      </c>
      <c r="M46" s="3424" t="n"/>
      <c r="N46" s="3425" t="n"/>
      <c r="O46" s="1410" t="n"/>
      <c r="P46" s="3660">
        <f>P16</f>
      </c>
      <c r="Q46" s="3424" t="n"/>
      <c r="R46" s="3425" t="n"/>
      <c r="S46" s="1410" t="n"/>
      <c r="T46" s="3660">
        <f>T16</f>
      </c>
      <c r="U46" s="3424" t="n"/>
      <c r="V46" s="3425" t="n"/>
      <c r="W46" s="1410" t="n"/>
      <c r="X46" s="3660">
        <f>X16</f>
      </c>
      <c r="Y46" s="3424" t="n"/>
      <c r="Z46" s="3425" t="n"/>
      <c r="AA46" s="1410" t="n"/>
      <c r="AB46" s="3660">
        <f>AB16</f>
      </c>
      <c r="AC46" s="3424" t="n"/>
      <c r="AD46" s="3425" t="n"/>
      <c r="AE46" s="1410" t="n"/>
      <c r="AF46" s="3660">
        <f>AF16</f>
      </c>
      <c r="AG46" s="3424" t="n"/>
      <c r="AH46" s="3425" t="n"/>
      <c r="AI46" s="1410" t="n"/>
      <c r="AJ46" s="3660">
        <f>AJ16</f>
      </c>
      <c r="AK46" s="3424" t="n"/>
      <c r="AL46" s="3425" t="n"/>
      <c r="AM46" s="1410" t="n"/>
      <c r="AN46" s="3660">
        <f>AN16</f>
      </c>
      <c r="AO46" s="3424" t="n"/>
      <c r="AP46" s="3425" t="n"/>
      <c r="AQ46" s="1410" t="n"/>
      <c r="AR46" s="3660">
        <f>AR16</f>
      </c>
      <c r="AS46" s="3424" t="n"/>
      <c r="AT46" s="3425" t="n"/>
      <c r="AU46" s="1410" t="n"/>
      <c r="AV46" s="3660">
        <f>AV16</f>
      </c>
      <c r="AW46" s="3424" t="n"/>
      <c r="AX46" s="3425" t="n"/>
      <c r="AY46" s="1410" t="n"/>
      <c r="AZ46" s="3660">
        <f>AZ16</f>
      </c>
      <c r="BA46" s="3424" t="n"/>
      <c r="BB46" s="3425" t="n"/>
      <c r="BC46" s="1413" t="n"/>
      <c r="BD46" s="3660" t="n">
        <f t="array" ref="BD46">IFERROR($H46/12,0)</f>
        <v>0</v>
      </c>
      <c r="BE46" s="3424" t="n"/>
      <c r="BF46" s="3425" t="n"/>
      <c r="BG46" s="1414" t="n"/>
    </row>
    <row r="47" s="1168" customFormat="1" ht="15.75" customHeight="1">
      <c r="E47" s="3583" t="n"/>
      <c r="F47" s="1172" t="n"/>
      <c r="G47" s="1415" t="inlineStr">
        <is>
          <t xml:space="preserve">OPERATING EXPENSES</t>
        </is>
      </c>
      <c r="H47" s="3563" t="n"/>
      <c r="I47" s="3564" t="n"/>
      <c r="J47" s="3565" t="n"/>
      <c r="K47" s="1172" t="n"/>
      <c r="L47" s="3566" t="n"/>
      <c r="M47" s="3567" t="n"/>
      <c r="N47" s="3564" t="n"/>
      <c r="P47" s="3571" t="n"/>
      <c r="Q47" s="3564" t="n"/>
      <c r="R47" s="3570" t="n"/>
      <c r="T47" s="3571" t="n"/>
      <c r="U47" s="3567" t="n"/>
      <c r="V47" s="3570" t="n"/>
      <c r="X47" s="3571" t="n"/>
      <c r="Y47" s="3567" t="n"/>
      <c r="Z47" s="3570" t="n"/>
      <c r="AB47" s="3571" t="n"/>
      <c r="AC47" s="3567" t="n"/>
      <c r="AD47" s="3570" t="n"/>
      <c r="AF47" s="3571" t="n"/>
      <c r="AG47" s="3567" t="n"/>
      <c r="AH47" s="3570" t="n"/>
      <c r="AJ47" s="3571" t="n"/>
      <c r="AK47" s="3567" t="n"/>
      <c r="AL47" s="3570" t="n"/>
      <c r="AN47" s="3571" t="n"/>
      <c r="AO47" s="3567" t="n"/>
      <c r="AP47" s="3570" t="n"/>
      <c r="AR47" s="3571" t="n"/>
      <c r="AS47" s="1269" t="n"/>
      <c r="AT47" s="3570" t="n"/>
      <c r="AV47" s="3571" t="n"/>
      <c r="AW47" s="3567" t="n"/>
      <c r="AX47" s="3570" t="n"/>
      <c r="AZ47" s="3571" t="n"/>
      <c r="BA47" s="3567" t="n"/>
      <c r="BB47" s="3570" t="n"/>
      <c r="BD47" s="3571" t="n"/>
      <c r="BE47" s="3567" t="n"/>
      <c r="BF47" s="3570" t="n"/>
    </row>
    <row r="48" s="1168" customFormat="1" ht="15" customHeight="1">
      <c r="B48" s="3661" t="n"/>
      <c r="C48" s="1417" t="n">
        <v>12</v>
      </c>
      <c r="D48" s="1417" t="n">
        <v>30</v>
      </c>
      <c r="E48" s="1418" t="n">
        <f t="array" ref="E48">I14/365</f>
        <v>55</v>
      </c>
      <c r="F48" s="1172" t="n"/>
      <c r="G48" s="1272" t="inlineStr">
        <is>
          <t xml:space="preserve">Room Expenses</t>
        </is>
      </c>
      <c r="H48" s="3572" t="n"/>
      <c r="I48" s="923" t="inlineStr">
        <is>
          <t xml:space="preserve">%</t>
        </is>
      </c>
      <c r="J48" s="1419" t="str">
        <f t="array" ref="J48">J44</f>
        <v>CPOR</v>
      </c>
      <c r="K48" s="1172" t="n"/>
      <c r="L48" s="3575" t="n"/>
      <c r="M48" s="1420" t="inlineStr">
        <is>
          <t xml:space="preserve">%</t>
        </is>
      </c>
      <c r="N48" s="1421" t="str">
        <f t="array" ref="N48">J44</f>
        <v>CPOR</v>
      </c>
      <c r="P48" s="3575" t="n"/>
      <c r="Q48" s="1420" t="inlineStr">
        <is>
          <t xml:space="preserve">%</t>
        </is>
      </c>
      <c r="R48" s="3463" t="n">
        <f t="array" ref="R48">N44</f>
        <v>75.02777777777777</v>
      </c>
      <c r="T48" s="3575" t="n"/>
      <c r="U48" s="1420" t="inlineStr">
        <is>
          <t xml:space="preserve">%</t>
        </is>
      </c>
      <c r="V48" s="3463" t="n">
        <f t="array" ref="V48">R44</f>
        <v>75.02777777777777</v>
      </c>
      <c r="X48" s="3575" t="n"/>
      <c r="Y48" s="1420" t="inlineStr">
        <is>
          <t xml:space="preserve">%</t>
        </is>
      </c>
      <c r="Z48" s="3463" t="n">
        <f t="array" ref="Z48">V44</f>
        <v>75.02777777777777</v>
      </c>
      <c r="AB48" s="3575" t="n"/>
      <c r="AC48" s="1420" t="inlineStr">
        <is>
          <t xml:space="preserve">%</t>
        </is>
      </c>
      <c r="AD48" s="3463" t="n">
        <f t="array" ref="AD48">Z44</f>
        <v>75.02777777777777</v>
      </c>
      <c r="AF48" s="3575" t="n"/>
      <c r="AG48" s="1420" t="inlineStr">
        <is>
          <t xml:space="preserve">%</t>
        </is>
      </c>
      <c r="AH48" s="3463" t="n">
        <f t="array" ref="AH48">AD44</f>
        <v>75.02777777777777</v>
      </c>
      <c r="AJ48" s="3575" t="n"/>
      <c r="AK48" s="1420" t="inlineStr">
        <is>
          <t xml:space="preserve">%</t>
        </is>
      </c>
      <c r="AL48" s="3463" t="n">
        <f t="array" ref="AL48">AH44</f>
        <v>75.02777777777777</v>
      </c>
      <c r="AN48" s="3575" t="n"/>
      <c r="AO48" s="1420" t="inlineStr">
        <is>
          <t xml:space="preserve">%</t>
        </is>
      </c>
      <c r="AP48" s="3463" t="n">
        <f t="array" ref="AP48">AL44</f>
        <v>75.02777777777777</v>
      </c>
      <c r="AR48" s="3575" t="n"/>
      <c r="AS48" s="1420" t="inlineStr">
        <is>
          <t xml:space="preserve">%</t>
        </is>
      </c>
      <c r="AT48" s="3463" t="n">
        <f t="array" ref="AT48">AP44</f>
        <v>75.02777777777777</v>
      </c>
      <c r="AV48" s="3575" t="n"/>
      <c r="AW48" s="1420" t="inlineStr">
        <is>
          <t xml:space="preserve">%</t>
        </is>
      </c>
      <c r="AX48" s="3463" t="n">
        <f t="array" ref="AX48">AT44</f>
        <v>75.02777777777777</v>
      </c>
      <c r="AZ48" s="3575" t="n"/>
      <c r="BA48" s="1420" t="inlineStr">
        <is>
          <t xml:space="preserve">%</t>
        </is>
      </c>
      <c r="BB48" s="3463" t="n">
        <f t="array" ref="BB48">AX44</f>
        <v>75.02777777777777</v>
      </c>
      <c r="BD48" s="3575" t="n"/>
      <c r="BE48" s="1420" t="inlineStr">
        <is>
          <t xml:space="preserve">%</t>
        </is>
      </c>
      <c r="BF48" s="3463" t="n">
        <f t="array" ref="BF48">BB44</f>
        <v>75.02777777777777</v>
      </c>
    </row>
    <row r="49" s="1168" customFormat="1" ht="15" customHeight="1">
      <c r="B49" s="3661" t="n">
        <f t="array" ref="B49">H49</f>
        <v>40109.85</v>
      </c>
      <c r="C49" s="3661" t="n">
        <f t="array" ref="C49">B49/C48</f>
        <v>3342.4874999999997</v>
      </c>
      <c r="D49" s="3661" t="n">
        <f t="array" ref="D49">C49/D48</f>
        <v>111.41624999999999</v>
      </c>
      <c r="E49" s="3662" t="n">
        <f t="array" ref="E49">D49/E48</f>
        <v>2.02575</v>
      </c>
      <c r="F49" s="1172" t="n"/>
      <c r="G49" s="1283" t="inlineStr">
        <is>
          <t xml:space="preserve">Breakfast Supplies</t>
        </is>
      </c>
      <c r="H49" s="3586">
        <f>J49*$I$14</f>
        <v>40109.85</v>
      </c>
      <c r="I49" s="1171">
        <f>IFERROR(H49/$H$44,0)</f>
        <v>0.027</v>
      </c>
      <c r="J49" s="3662">
        <v>1.998</v>
      </c>
      <c r="K49" s="1172" t="n"/>
      <c r="L49" s="3663">
        <f>N49*$M$14</f>
        <v>47876.5755</v>
      </c>
      <c r="M49" s="1424">
        <f>IFERROR(L49/$L$44,0)</f>
        <v>0.0267352941176</v>
      </c>
      <c r="N49" s="3664">
        <f>J49*(1+$L$6)</f>
        <v>2.01798</v>
      </c>
      <c r="P49" s="3585">
        <f>R49*$Q$14</f>
        <v>53562.839544</v>
      </c>
      <c r="Q49" s="1289">
        <f>IFERROR(P49/$P$44,0)</f>
        <v>0.026473183391</v>
      </c>
      <c r="R49" s="3587">
        <f>N49*(1+$L$6)</f>
        <v>2.0381598</v>
      </c>
      <c r="T49" s="3585">
        <f>V49*$U$14</f>
        <v>54098.4679394</v>
      </c>
      <c r="U49" s="1289">
        <f>IFERROR(T49/$T$44,0)</f>
        <v>0.0262136423774</v>
      </c>
      <c r="V49" s="3587">
        <f>R49*(1+$L$6)</f>
        <v>2.058541398</v>
      </c>
      <c r="X49" s="3585">
        <f>Z49*$Y$14</f>
        <v>54639.4526188</v>
      </c>
      <c r="Y49" s="1289">
        <f>IFERROR(X49/$X$44,0)</f>
        <v>0.0259566458835</v>
      </c>
      <c r="Z49" s="3587">
        <f>V49*(1+$L$6)</f>
        <v>2.07912681198</v>
      </c>
      <c r="AB49" s="3585">
        <f>AD49*$AC$14</f>
        <v>55185.847145</v>
      </c>
      <c r="AC49" s="1289">
        <f>IFERROR(AB49/$AB$44,0)</f>
        <v>0.025702168963</v>
      </c>
      <c r="AD49" s="3587">
        <f>Z49*(1+$L$6)</f>
        <v>2.0999180801</v>
      </c>
      <c r="AF49" s="3585">
        <f>AH49*$AG$14</f>
        <v>55737.7056165</v>
      </c>
      <c r="AG49" s="1289">
        <f>IFERROR(AF49/$AF$44,0)</f>
        <v>0.0254501869144</v>
      </c>
      <c r="AH49" s="3587">
        <f>AD49*(1+$L$6)</f>
        <v>2.1209172609</v>
      </c>
      <c r="AJ49" s="3585">
        <f>AL49*$AK$14</f>
        <v>56295.0826726</v>
      </c>
      <c r="AK49" s="1289">
        <f>IFERROR(AJ49/$AJ$44,0)</f>
        <v>0.025200675278</v>
      </c>
      <c r="AL49" s="3587">
        <f>AH49*(1+$L$6)</f>
        <v>2.14212643351</v>
      </c>
      <c r="AN49" s="3585">
        <f>AP49*$AO$14</f>
        <v>56858.0334994</v>
      </c>
      <c r="AO49" s="1289">
        <f>IFERROR(AN49/$AN$44,0)</f>
        <v>0.0249536098341</v>
      </c>
      <c r="AP49" s="3587">
        <f>AL49*(1+$L$6)</f>
        <v>2.16354769784</v>
      </c>
      <c r="AR49" s="3585">
        <f>AT49*$AS$14</f>
        <v>57426.6138344</v>
      </c>
      <c r="AS49" s="1289">
        <f>IFERROR(AR49/$AR$44,0)</f>
        <v>0.0247089666004</v>
      </c>
      <c r="AT49" s="3587">
        <f>AP49*(1+$L$6)</f>
        <v>2.18518317482</v>
      </c>
      <c r="AV49" s="3585">
        <f>AX49*$AW$14</f>
        <v>58000.8799727</v>
      </c>
      <c r="AW49" s="1289">
        <f>IFERROR(AV49/$AV$44,0)</f>
        <v>0.0249560562664</v>
      </c>
      <c r="AX49" s="3587">
        <f>AT49*(1+$L$6)</f>
        <v>2.20703500657</v>
      </c>
      <c r="AZ49" s="3585">
        <f>BB49*$BA$14</f>
        <v>58580.8887724</v>
      </c>
      <c r="BA49" s="1289">
        <f>IFERROR(AZ49/$AZ$44,0)</f>
        <v>0.0252056168291</v>
      </c>
      <c r="BB49" s="3587">
        <f>AX49*(1+$L$6)</f>
        <v>2.22910535664</v>
      </c>
      <c r="BC49" s="1426" t="n"/>
      <c r="BD49" s="3585" t="n">
        <f t="array" ref="BD49">IFERROR($H49/12,0)</f>
        <v>3342.4874999999997</v>
      </c>
      <c r="BE49" s="1289" t="n">
        <f t="array" ref="BE49">IFERROR($H49/$H$44,0)</f>
        <v>0.027</v>
      </c>
      <c r="BF49" s="3587" t="n">
        <f t="array" ref="BF49">IFERROR(($H49/12)/1650,0)</f>
        <v>2.02575</v>
      </c>
    </row>
    <row r="50" s="1168" customFormat="1" ht="15" customHeight="1">
      <c r="B50" s="3538" t="n"/>
      <c r="C50" s="643" t="n"/>
      <c r="D50" s="643" t="n"/>
      <c r="E50" s="3583" t="n">
        <f t="array" ref="E50">H50/$C$48/$D$48/$E$48</f>
        <v>0.37513888888888886</v>
      </c>
      <c r="F50" s="1172" t="n"/>
      <c r="G50" s="1283" t="inlineStr">
        <is>
          <t xml:space="preserve">Cleaning Supplies</t>
        </is>
      </c>
      <c r="H50" s="3586">
        <f>J50*$I$14</f>
        <v>7427.75</v>
      </c>
      <c r="I50" s="1171">
        <f>IFERROR(H50/$H$44,0)</f>
        <v>0.005</v>
      </c>
      <c r="J50" s="3662">
        <v>0.37</v>
      </c>
      <c r="K50" s="1172" t="n"/>
      <c r="L50" s="3585">
        <f>N50*$M$14</f>
        <v>8866.0325</v>
      </c>
      <c r="M50" s="1289">
        <f>IFERROR(L50/$L$44,0)</f>
        <v>0.00495098039216</v>
      </c>
      <c r="N50" s="3587">
        <f>J50*(1+$L$6)</f>
        <v>0.3737</v>
      </c>
      <c r="P50" s="3585">
        <f>R50*$Q$14</f>
        <v>9919.04436</v>
      </c>
      <c r="Q50" s="1289">
        <f>IFERROR(P50/$P$44,0)</f>
        <v>0.0049024413687</v>
      </c>
      <c r="R50" s="3587">
        <f>N50*(1+$L$6)</f>
        <v>0.377437</v>
      </c>
      <c r="T50" s="3585">
        <f>V50*$U$14</f>
        <v>10018.2348036</v>
      </c>
      <c r="U50" s="1289">
        <f>IFERROR(T50/$T$44,0)</f>
        <v>0.00485437821803</v>
      </c>
      <c r="V50" s="3587">
        <f>R50*(1+$L$6)</f>
        <v>0.38121137</v>
      </c>
      <c r="X50" s="3585">
        <f>Z50*$Y$14</f>
        <v>10118.4171516</v>
      </c>
      <c r="Y50" s="1289">
        <f>IFERROR(X50/$X$44,0)</f>
        <v>0.00480678627472</v>
      </c>
      <c r="Z50" s="3587">
        <f>V50*(1+$L$6)</f>
        <v>0.3850234837</v>
      </c>
      <c r="AB50" s="3585">
        <f>AD50*$AC$14</f>
        <v>10219.6013232</v>
      </c>
      <c r="AC50" s="1289">
        <f>IFERROR(AB50/$AB$44,0)</f>
        <v>0.00475966091908</v>
      </c>
      <c r="AD50" s="3587">
        <f>Z50*(1+$L$6)</f>
        <v>0.388873718537</v>
      </c>
      <c r="AF50" s="3585">
        <f>AH50*$AG$14</f>
        <v>10321.7973364</v>
      </c>
      <c r="AG50" s="1289">
        <f>IFERROR(AF50/$AF$44,0)</f>
        <v>0.00471299757674</v>
      </c>
      <c r="AH50" s="3587">
        <f>AD50*(1+$L$6)</f>
        <v>0.392762455722</v>
      </c>
      <c r="AJ50" s="3585">
        <f>AL50*$AK$14</f>
        <v>10425.0153097</v>
      </c>
      <c r="AK50" s="1289">
        <f>IFERROR(AJ50/$AJ$44,0)</f>
        <v>0.00466679171814</v>
      </c>
      <c r="AL50" s="3587">
        <f>AH50*(1+$L$6)</f>
        <v>0.39669008028</v>
      </c>
      <c r="AN50" s="3585">
        <f>AP50*$AO$14</f>
        <v>10529.2654628</v>
      </c>
      <c r="AO50" s="1289">
        <f>IFERROR(AN50/$AN$44,0)</f>
        <v>0.00462103885816</v>
      </c>
      <c r="AP50" s="3587">
        <f>AL50*(1+$L$6)</f>
        <v>0.400656981082</v>
      </c>
      <c r="AR50" s="3585">
        <f>AT50*$AS$14</f>
        <v>10634.5581175</v>
      </c>
      <c r="AS50" s="1289">
        <f>IFERROR(AR50/$AR$44,0)</f>
        <v>0.00457573455563</v>
      </c>
      <c r="AT50" s="3587">
        <f>AP50*(1+$L$6)</f>
        <v>0.404663550893</v>
      </c>
      <c r="AV50" s="3585">
        <f>AX50*$AW$14</f>
        <v>10740.9036986</v>
      </c>
      <c r="AW50" s="1289">
        <f>IFERROR(AV50/$AV$44,0)</f>
        <v>0.00462149190119</v>
      </c>
      <c r="AX50" s="3587">
        <f>AT50*(1+$L$6)</f>
        <v>0.408710186402</v>
      </c>
      <c r="AZ50" s="3585">
        <f>BB50*$BA$14</f>
        <v>10848.3127356</v>
      </c>
      <c r="BA50" s="1289">
        <f>IFERROR(AZ50/$AZ$44,0)</f>
        <v>0.0046677068202</v>
      </c>
      <c r="BB50" s="3587">
        <f>AX50*(1+$L$6)</f>
        <v>0.412797288266</v>
      </c>
      <c r="BC50" s="1426" t="n"/>
      <c r="BD50" s="3585" t="n">
        <f t="array" ref="BD50">IFERROR($H50/12,0)</f>
        <v>618.9791666666666</v>
      </c>
      <c r="BE50" s="1289" t="n">
        <f t="array" ref="BE50">IFERROR($H50/$H$44,0)</f>
        <v>0.005</v>
      </c>
      <c r="BF50" s="3587" t="n">
        <f t="array" ref="BF50">IFERROR(($H50/12)/1650,0)</f>
        <v>0.37513888888888886</v>
      </c>
    </row>
    <row r="51" s="1168" customFormat="1" ht="15.75" customHeight="1">
      <c r="B51" s="3538" t="n"/>
      <c r="C51" s="643" t="n"/>
      <c r="D51" s="871" t="n"/>
      <c r="E51" s="3583" t="n">
        <f t="array" ref="E51">H51/$C$48/$D$48/$E$48</f>
        <v>0.5627083333333334</v>
      </c>
      <c r="F51" s="1172" t="n"/>
      <c r="G51" s="1283" t="inlineStr">
        <is>
          <t xml:space="preserve">Guest &amp; Room Supplies</t>
        </is>
      </c>
      <c r="H51" s="3586">
        <f>J51*$I$14</f>
        <v>11141.625</v>
      </c>
      <c r="I51" s="1171">
        <f>IFERROR(H51/$H$44,0)</f>
        <v>0.0075</v>
      </c>
      <c r="J51" s="3662">
        <v>0.555</v>
      </c>
      <c r="K51" s="1172" t="n"/>
      <c r="L51" s="3585">
        <f>N51*$M$14</f>
        <v>13299.04875</v>
      </c>
      <c r="M51" s="1289">
        <f>IFERROR(L51/$L$44,0)</f>
        <v>0.00742647058824</v>
      </c>
      <c r="N51" s="3587">
        <f>J51*(1+$L$6)</f>
        <v>0.56055</v>
      </c>
      <c r="P51" s="3585">
        <f>R51*$Q$14</f>
        <v>14878.56654</v>
      </c>
      <c r="Q51" s="1289">
        <f>IFERROR(P51/$P$44,0)</f>
        <v>0.00735366205306</v>
      </c>
      <c r="R51" s="3587">
        <f>N51*(1+$L$6)</f>
        <v>0.5661555</v>
      </c>
      <c r="T51" s="3585">
        <f>V51*$U$14</f>
        <v>15027.3522054</v>
      </c>
      <c r="U51" s="1289">
        <f>IFERROR(T51/$T$44,0)</f>
        <v>0.00728156732705</v>
      </c>
      <c r="V51" s="3587">
        <f>R51*(1+$L$6)</f>
        <v>0.571817055</v>
      </c>
      <c r="X51" s="3585">
        <f>Z51*$Y$14</f>
        <v>15177.6257275</v>
      </c>
      <c r="Y51" s="1289">
        <f>IFERROR(X51/$X$44,0)</f>
        <v>0.00721017941208</v>
      </c>
      <c r="Z51" s="3587">
        <f>V51*(1+$L$6)</f>
        <v>0.57753522555</v>
      </c>
      <c r="AB51" s="3585">
        <f>AD51*$AC$14</f>
        <v>15329.4019847</v>
      </c>
      <c r="AC51" s="1289">
        <f>IFERROR(AB51/$AB$44,0)</f>
        <v>0.00713949137862</v>
      </c>
      <c r="AD51" s="3587">
        <f>Z51*(1+$L$6)</f>
        <v>0.583310577806</v>
      </c>
      <c r="AF51" s="3585">
        <f>AH51*$AG$14</f>
        <v>15482.6960046</v>
      </c>
      <c r="AG51" s="1289">
        <f>IFERROR(AF51/$AF$44,0)</f>
        <v>0.00706949636511</v>
      </c>
      <c r="AH51" s="3587">
        <f>AD51*(1+$L$6)</f>
        <v>0.589143683584</v>
      </c>
      <c r="AJ51" s="3585">
        <f>AL51*$AK$14</f>
        <v>15637.5229646</v>
      </c>
      <c r="AK51" s="1289">
        <f>IFERROR(AJ51/$AJ$44,0)</f>
        <v>0.00700018757721</v>
      </c>
      <c r="AL51" s="3587">
        <f>AH51*(1+$L$6)</f>
        <v>0.595035120419</v>
      </c>
      <c r="AN51" s="3585">
        <f>AP51*$AO$14</f>
        <v>15793.8981943</v>
      </c>
      <c r="AO51" s="1289">
        <f>IFERROR(AN51/$AN$44,0)</f>
        <v>0.00693155828724</v>
      </c>
      <c r="AP51" s="3587">
        <f>AL51*(1+$L$6)</f>
        <v>0.600985471624</v>
      </c>
      <c r="AR51" s="3585">
        <f>AT51*$AS$14</f>
        <v>15951.8371762</v>
      </c>
      <c r="AS51" s="1289">
        <f>IFERROR(AR51/$AR$44,0)</f>
        <v>0.00686360183345</v>
      </c>
      <c r="AT51" s="3587">
        <f>AP51*(1+$L$6)</f>
        <v>0.60699532634</v>
      </c>
      <c r="AV51" s="3585">
        <f>AX51*$AW$14</f>
        <v>16111.355548</v>
      </c>
      <c r="AW51" s="1289">
        <f>IFERROR(AV51/$AV$44,0)</f>
        <v>0.00693223785178</v>
      </c>
      <c r="AX51" s="3587">
        <f>AT51*(1+$L$6)</f>
        <v>0.613065279603</v>
      </c>
      <c r="AZ51" s="3585">
        <f>BB51*$BA$14</f>
        <v>16272.4691035</v>
      </c>
      <c r="BA51" s="1289">
        <f>IFERROR(AZ51/$AZ$44,0)</f>
        <v>0.0070015602303</v>
      </c>
      <c r="BB51" s="3587">
        <f>AX51*(1+$L$6)</f>
        <v>0.619195932399</v>
      </c>
      <c r="BC51" s="1426" t="n"/>
      <c r="BD51" s="3585" t="n">
        <f t="array" ref="BD51">IFERROR($H51/12,0)</f>
        <v>928.46875</v>
      </c>
      <c r="BE51" s="1289" t="n">
        <f t="array" ref="BE51">IFERROR($H51/$H$44,0)</f>
        <v>0.0075</v>
      </c>
      <c r="BF51" s="3587" t="n">
        <f t="array" ref="BF51">IFERROR(($H51/12)/1650,0)</f>
        <v>0.5627083333333334</v>
      </c>
    </row>
    <row r="52" s="1168" customFormat="1" ht="15" customHeight="1">
      <c r="B52" s="3538" t="n"/>
      <c r="C52" s="886" t="n"/>
      <c r="D52" s="3665" t="n">
        <f t="array" ref="D52">SUM(E52:E54)</f>
        <v>1.1254166666666665</v>
      </c>
      <c r="E52" s="3666" t="n">
        <f t="array" ref="E52">H52/$C$48/$D$48/$E$48</f>
        <v>0.37513888888888886</v>
      </c>
      <c r="F52" s="1172" t="n"/>
      <c r="G52" s="1283" t="inlineStr">
        <is>
          <t xml:space="preserve">Linen Replacement- Other</t>
        </is>
      </c>
      <c r="H52" s="3586">
        <f>J52*$I$14</f>
        <v>7427.75</v>
      </c>
      <c r="I52" s="1171">
        <f>IFERROR(H52/$H$44,0)</f>
        <v>0.005</v>
      </c>
      <c r="J52" s="3662">
        <v>0.37</v>
      </c>
      <c r="K52" s="1172" t="n"/>
      <c r="L52" s="3585">
        <f>N52*$M$14</f>
        <v>8866.0325</v>
      </c>
      <c r="M52" s="1289">
        <f>IFERROR(L52/$L$44,0)</f>
        <v>0.00495098039216</v>
      </c>
      <c r="N52" s="3587">
        <f>J52*(1+$L$6)</f>
        <v>0.3737</v>
      </c>
      <c r="P52" s="3585">
        <f>R52*$Q$14</f>
        <v>9919.04436</v>
      </c>
      <c r="Q52" s="1289">
        <f>IFERROR(P52/$P$44,0)</f>
        <v>0.0049024413687</v>
      </c>
      <c r="R52" s="3587">
        <f>N52*(1+$L$6)</f>
        <v>0.377437</v>
      </c>
      <c r="T52" s="3585">
        <f>V52*$U$14</f>
        <v>10018.2348036</v>
      </c>
      <c r="U52" s="1289">
        <f>IFERROR(T52/$T$44,0)</f>
        <v>0.00485437821803</v>
      </c>
      <c r="V52" s="3587">
        <f>R52*(1+$L$6)</f>
        <v>0.38121137</v>
      </c>
      <c r="X52" s="3585">
        <f>Z52*$Y$14</f>
        <v>10118.4171516</v>
      </c>
      <c r="Y52" s="1289">
        <f>IFERROR(X52/$X$44,0)</f>
        <v>0.00480678627472</v>
      </c>
      <c r="Z52" s="3587">
        <f>V52*(1+$L$6)</f>
        <v>0.3850234837</v>
      </c>
      <c r="AB52" s="3585">
        <f>AD52*$AC$14</f>
        <v>10219.6013232</v>
      </c>
      <c r="AC52" s="1289">
        <f>IFERROR(AB52/$AB$44,0)</f>
        <v>0.00475966091908</v>
      </c>
      <c r="AD52" s="3587">
        <f>Z52*(1+$L$6)</f>
        <v>0.388873718537</v>
      </c>
      <c r="AF52" s="3585">
        <f>AH52*$AG$14</f>
        <v>10321.7973364</v>
      </c>
      <c r="AG52" s="1289">
        <f>IFERROR(AF52/$AF$44,0)</f>
        <v>0.00471299757674</v>
      </c>
      <c r="AH52" s="3587">
        <f>AD52*(1+$L$6)</f>
        <v>0.392762455722</v>
      </c>
      <c r="AJ52" s="3585">
        <f>AL52*$AK$14</f>
        <v>10425.0153097</v>
      </c>
      <c r="AK52" s="1289">
        <f>IFERROR(AJ52/$AJ$44,0)</f>
        <v>0.00466679171814</v>
      </c>
      <c r="AL52" s="3587">
        <f>AH52*(1+$L$6)</f>
        <v>0.39669008028</v>
      </c>
      <c r="AN52" s="3585">
        <f>AP52*$AO$14</f>
        <v>10529.2654628</v>
      </c>
      <c r="AO52" s="1289">
        <f>IFERROR(AN52/$AN$44,0)</f>
        <v>0.00462103885816</v>
      </c>
      <c r="AP52" s="3587">
        <f>AL52*(1+$L$6)</f>
        <v>0.400656981082</v>
      </c>
      <c r="AR52" s="3585">
        <f>AT52*$AS$14</f>
        <v>10634.5581175</v>
      </c>
      <c r="AS52" s="1289">
        <f>IFERROR(AR52/$AR$44,0)</f>
        <v>0.00457573455563</v>
      </c>
      <c r="AT52" s="3587">
        <f>AP52*(1+$L$6)</f>
        <v>0.404663550893</v>
      </c>
      <c r="AV52" s="3585">
        <f>AX52*$AW$14</f>
        <v>10740.9036986</v>
      </c>
      <c r="AW52" s="1289">
        <f>IFERROR(AV52/$AV$44,0)</f>
        <v>0.00462149190119</v>
      </c>
      <c r="AX52" s="3587">
        <f>AT52*(1+$L$6)</f>
        <v>0.408710186402</v>
      </c>
      <c r="AZ52" s="3585">
        <f>BB52*$BA$14</f>
        <v>10848.3127356</v>
      </c>
      <c r="BA52" s="1289">
        <f>IFERROR(AZ52/$AZ$44,0)</f>
        <v>0.0046677068202</v>
      </c>
      <c r="BB52" s="3587">
        <f>AX52*(1+$L$6)</f>
        <v>0.412797288266</v>
      </c>
      <c r="BC52" s="1426" t="n"/>
      <c r="BD52" s="3585" t="n">
        <f t="array" ref="BD52">IFERROR($H52/12,0)</f>
        <v>618.9791666666666</v>
      </c>
      <c r="BE52" s="1289" t="n">
        <f t="array" ref="BE52">IFERROR($H52/$H$44,0)</f>
        <v>0.005</v>
      </c>
      <c r="BF52" s="3587" t="n">
        <f t="array" ref="BF52">IFERROR(($H52/12)/1650,0)</f>
        <v>0.37513888888888886</v>
      </c>
    </row>
    <row r="53" s="1168" customFormat="1" ht="15" customHeight="1">
      <c r="B53" s="3538" t="n"/>
      <c r="C53" s="886" t="n"/>
      <c r="D53" s="3545" t="n"/>
      <c r="E53" s="3666" t="n">
        <f t="array" ref="E53">H53/$C$48/$D$48/$E$48</f>
        <v>0.37513888888888886</v>
      </c>
      <c r="F53" s="1172" t="n"/>
      <c r="G53" s="1283" t="inlineStr">
        <is>
          <t xml:space="preserve">Linen Replacements- Bath</t>
        </is>
      </c>
      <c r="H53" s="3586">
        <f>J53*$I$14</f>
        <v>7427.75</v>
      </c>
      <c r="I53" s="1171">
        <f>IFERROR(H53/$H$44,0)</f>
        <v>0.005</v>
      </c>
      <c r="J53" s="3662">
        <v>0.37</v>
      </c>
      <c r="K53" s="1172" t="n"/>
      <c r="L53" s="3585">
        <f>N53*$M$14</f>
        <v>8866.0325</v>
      </c>
      <c r="M53" s="1289">
        <f>IFERROR(L53/$L$44,0)</f>
        <v>0.00495098039216</v>
      </c>
      <c r="N53" s="3587">
        <f>J53*(1+$L$6)</f>
        <v>0.3737</v>
      </c>
      <c r="P53" s="3585">
        <f>R53*$Q$14</f>
        <v>9919.04436</v>
      </c>
      <c r="Q53" s="1289">
        <f>IFERROR(P53/$P$44,0)</f>
        <v>0.0049024413687</v>
      </c>
      <c r="R53" s="3587">
        <f>N53*(1+$L$6)</f>
        <v>0.377437</v>
      </c>
      <c r="T53" s="3585">
        <f>V53*$U$14</f>
        <v>10018.2348036</v>
      </c>
      <c r="U53" s="1289">
        <f>IFERROR(T53/$T$44,0)</f>
        <v>0.00485437821803</v>
      </c>
      <c r="V53" s="3587">
        <f>R53*(1+$L$6)</f>
        <v>0.38121137</v>
      </c>
      <c r="X53" s="3585">
        <f>Z53*$Y$14</f>
        <v>10118.4171516</v>
      </c>
      <c r="Y53" s="1289">
        <f>IFERROR(X53/$X$44,0)</f>
        <v>0.00480678627472</v>
      </c>
      <c r="Z53" s="3587">
        <f>V53*(1+$L$6)</f>
        <v>0.3850234837</v>
      </c>
      <c r="AB53" s="3585">
        <f>AD53*$AC$14</f>
        <v>10219.6013232</v>
      </c>
      <c r="AC53" s="1289">
        <f>IFERROR(AB53/$AB$44,0)</f>
        <v>0.00475966091908</v>
      </c>
      <c r="AD53" s="3587">
        <f>Z53*(1+$L$6)</f>
        <v>0.388873718537</v>
      </c>
      <c r="AF53" s="3585">
        <f>AH53*$AG$14</f>
        <v>10321.7973364</v>
      </c>
      <c r="AG53" s="1289">
        <f>IFERROR(AF53/$AF$44,0)</f>
        <v>0.00471299757674</v>
      </c>
      <c r="AH53" s="3587">
        <f>AD53*(1+$L$6)</f>
        <v>0.392762455722</v>
      </c>
      <c r="AJ53" s="3585">
        <f>AL53*$AK$14</f>
        <v>10425.0153097</v>
      </c>
      <c r="AK53" s="1289">
        <f>IFERROR(AJ53/$AJ$44,0)</f>
        <v>0.00466679171814</v>
      </c>
      <c r="AL53" s="3587">
        <f>AH53*(1+$L$6)</f>
        <v>0.39669008028</v>
      </c>
      <c r="AN53" s="3585">
        <f>AP53*$AO$14</f>
        <v>10529.2654628</v>
      </c>
      <c r="AO53" s="1289">
        <f>IFERROR(AN53/$AN$44,0)</f>
        <v>0.00462103885816</v>
      </c>
      <c r="AP53" s="3587">
        <f>AL53*(1+$L$6)</f>
        <v>0.400656981082</v>
      </c>
      <c r="AR53" s="3585">
        <f>AT53*$AS$14</f>
        <v>10634.5581175</v>
      </c>
      <c r="AS53" s="1289">
        <f>IFERROR(AR53/$AR$44,0)</f>
        <v>0.00457573455563</v>
      </c>
      <c r="AT53" s="3587">
        <f>AP53*(1+$L$6)</f>
        <v>0.404663550893</v>
      </c>
      <c r="AV53" s="3585">
        <f>AX53*$AW$14</f>
        <v>10740.9036986</v>
      </c>
      <c r="AW53" s="1289">
        <f>IFERROR(AV53/$AV$44,0)</f>
        <v>0.00462149190119</v>
      </c>
      <c r="AX53" s="3587">
        <f>AT53*(1+$L$6)</f>
        <v>0.408710186402</v>
      </c>
      <c r="AZ53" s="3585">
        <f>BB53*$BA$14</f>
        <v>10848.3127356</v>
      </c>
      <c r="BA53" s="1289">
        <f>IFERROR(AZ53/$AZ$44,0)</f>
        <v>0.0046677068202</v>
      </c>
      <c r="BB53" s="3587">
        <f>AX53*(1+$L$6)</f>
        <v>0.412797288266</v>
      </c>
      <c r="BC53" s="1426" t="n"/>
      <c r="BD53" s="3585" t="n">
        <f t="array" ref="BD53">IFERROR($H53/12,0)</f>
        <v>618.9791666666666</v>
      </c>
      <c r="BE53" s="1289" t="n">
        <f t="array" ref="BE53">IFERROR($H53/$H$44,0)</f>
        <v>0.005</v>
      </c>
      <c r="BF53" s="3587" t="n">
        <f t="array" ref="BF53">IFERROR(($H53/12)/1650,0)</f>
        <v>0.37513888888888886</v>
      </c>
    </row>
    <row r="54" s="1168" customFormat="1" ht="15.75" customHeight="1">
      <c r="B54" s="3538" t="n"/>
      <c r="C54" s="886" t="n"/>
      <c r="D54" s="3472" t="n"/>
      <c r="E54" s="3666" t="n">
        <f t="array" ref="E54">H54/$C$48/$D$48/$E$48</f>
        <v>0.37513888888888886</v>
      </c>
      <c r="F54" s="1172" t="n"/>
      <c r="G54" s="1283" t="inlineStr">
        <is>
          <t xml:space="preserve">Linen Replacements- Bed</t>
        </is>
      </c>
      <c r="H54" s="3586">
        <f>J54*$I$14</f>
        <v>7427.75</v>
      </c>
      <c r="I54" s="1171">
        <f>IFERROR(H54/$H$44,0)</f>
        <v>0.005</v>
      </c>
      <c r="J54" s="3662">
        <v>0.37</v>
      </c>
      <c r="K54" s="1410" t="n"/>
      <c r="L54" s="3585">
        <f>N54*$M$14</f>
        <v>8866.0325</v>
      </c>
      <c r="M54" s="1289">
        <f>IFERROR(L54/$L$44,0)</f>
        <v>0.00495098039216</v>
      </c>
      <c r="N54" s="3587">
        <f>J54*(1+$L$6)</f>
        <v>0.3737</v>
      </c>
      <c r="P54" s="3585">
        <f>R54*$Q$14</f>
        <v>9919.04436</v>
      </c>
      <c r="Q54" s="1289">
        <f>IFERROR(P54/$P$44,0)</f>
        <v>0.0049024413687</v>
      </c>
      <c r="R54" s="3587">
        <f>N54*(1+$L$6)</f>
        <v>0.377437</v>
      </c>
      <c r="T54" s="3585">
        <f>V54*$U$14</f>
        <v>10018.2348036</v>
      </c>
      <c r="U54" s="1289">
        <f>IFERROR(T54/$T$44,0)</f>
        <v>0.00485437821803</v>
      </c>
      <c r="V54" s="3587">
        <f>R54*(1+$L$6)</f>
        <v>0.38121137</v>
      </c>
      <c r="X54" s="3585">
        <f>Z54*$Y$14</f>
        <v>10118.4171516</v>
      </c>
      <c r="Y54" s="1289">
        <f>IFERROR(X54/$X$44,0)</f>
        <v>0.00480678627472</v>
      </c>
      <c r="Z54" s="3587">
        <f>V54*(1+$L$6)</f>
        <v>0.3850234837</v>
      </c>
      <c r="AB54" s="3585">
        <f>AD54*$AC$14</f>
        <v>10219.6013232</v>
      </c>
      <c r="AC54" s="1289">
        <f>IFERROR(AB54/$AB$44,0)</f>
        <v>0.00475966091908</v>
      </c>
      <c r="AD54" s="3587">
        <f>Z54*(1+$L$6)</f>
        <v>0.388873718537</v>
      </c>
      <c r="AF54" s="3585">
        <f>AH54*$AG$14</f>
        <v>10321.7973364</v>
      </c>
      <c r="AG54" s="1289">
        <f>IFERROR(AF54/$AF$44,0)</f>
        <v>0.00471299757674</v>
      </c>
      <c r="AH54" s="3587">
        <f>AD54*(1+$L$6)</f>
        <v>0.392762455722</v>
      </c>
      <c r="AJ54" s="3585">
        <f>AL54*$AK$14</f>
        <v>10425.0153097</v>
      </c>
      <c r="AK54" s="1289">
        <f>IFERROR(AJ54/$AJ$44,0)</f>
        <v>0.00466679171814</v>
      </c>
      <c r="AL54" s="3587">
        <f>AH54*(1+$L$6)</f>
        <v>0.39669008028</v>
      </c>
      <c r="AN54" s="3585">
        <f>AP54*$AO$14</f>
        <v>10529.2654628</v>
      </c>
      <c r="AO54" s="1289">
        <f>IFERROR(AN54/$AN$44,0)</f>
        <v>0.00462103885816</v>
      </c>
      <c r="AP54" s="3587">
        <f>AL54*(1+$L$6)</f>
        <v>0.400656981082</v>
      </c>
      <c r="AR54" s="3585">
        <f>AT54*$AS$14</f>
        <v>10634.5581175</v>
      </c>
      <c r="AS54" s="1289">
        <f>IFERROR(AR54/$AR$44,0)</f>
        <v>0.00457573455563</v>
      </c>
      <c r="AT54" s="3587">
        <f>AP54*(1+$L$6)</f>
        <v>0.404663550893</v>
      </c>
      <c r="AV54" s="3585">
        <f>AX54*$AW$14</f>
        <v>10740.9036986</v>
      </c>
      <c r="AW54" s="1289">
        <f>IFERROR(AV54/$AV$44,0)</f>
        <v>0.00462149190119</v>
      </c>
      <c r="AX54" s="3587">
        <f>AT54*(1+$L$6)</f>
        <v>0.408710186402</v>
      </c>
      <c r="AZ54" s="3585">
        <f>BB54*$BA$14</f>
        <v>10848.3127356</v>
      </c>
      <c r="BA54" s="1289">
        <f>IFERROR(AZ54/$AZ$44,0)</f>
        <v>0.0046677068202</v>
      </c>
      <c r="BB54" s="3587">
        <f>AX54*(1+$L$6)</f>
        <v>0.412797288266</v>
      </c>
      <c r="BC54" s="1426" t="n"/>
      <c r="BD54" s="3585" t="n">
        <f t="array" ref="BD54">IFERROR($H54/12,0)</f>
        <v>618.9791666666666</v>
      </c>
      <c r="BE54" s="1289" t="n">
        <f t="array" ref="BE54">IFERROR($H54/$H$44,0)</f>
        <v>0.005</v>
      </c>
      <c r="BF54" s="3587" t="n">
        <f t="array" ref="BF54">IFERROR(($H54/12)/1650,0)</f>
        <v>0.37513888888888886</v>
      </c>
    </row>
    <row r="55" s="1168" customFormat="1" ht="15" customHeight="1">
      <c r="B55" s="3538" t="n"/>
      <c r="C55" s="643" t="n"/>
      <c r="D55" s="828" t="n"/>
      <c r="E55" s="3583" t="n"/>
      <c r="F55" s="1172" t="n"/>
      <c r="G55" s="1283" t="inlineStr">
        <is>
          <t xml:space="preserve">Uniforms</t>
        </is>
      </c>
      <c r="H55" s="3586">
        <f>J55*$I$14</f>
        <v>3713.875</v>
      </c>
      <c r="I55" s="1171">
        <f>IFERROR(H55/$H$44,0)</f>
        <v>0.0025</v>
      </c>
      <c r="J55" s="3662">
        <v>0.185</v>
      </c>
      <c r="K55" s="1172" t="n"/>
      <c r="L55" s="3585">
        <f>N55*$M$14</f>
        <v>4433.01625</v>
      </c>
      <c r="M55" s="1289">
        <f>IFERROR(L55/$L$44,0)</f>
        <v>0.00247549019608</v>
      </c>
      <c r="N55" s="3587">
        <f>J55*(1+$L$6)</f>
        <v>0.18685</v>
      </c>
      <c r="P55" s="3585">
        <f>R55*$Q$14</f>
        <v>4959.52218</v>
      </c>
      <c r="Q55" s="1289">
        <f>IFERROR(P55/$P$44,0)</f>
        <v>0.00245122068435</v>
      </c>
      <c r="R55" s="3587">
        <f>N55*(1+$L$6)</f>
        <v>0.1887185</v>
      </c>
      <c r="T55" s="3585">
        <f>V55*$U$14</f>
        <v>5009.1174018</v>
      </c>
      <c r="U55" s="1289">
        <f>IFERROR(T55/$T$44,0)</f>
        <v>0.00242718910902</v>
      </c>
      <c r="V55" s="3587">
        <f>R55*(1+$L$6)</f>
        <v>0.190605685</v>
      </c>
      <c r="X55" s="3585">
        <f>Z55*$Y$14</f>
        <v>5059.20857582</v>
      </c>
      <c r="Y55" s="1289">
        <f>IFERROR(X55/$X$44,0)</f>
        <v>0.00240339313736</v>
      </c>
      <c r="Z55" s="3587">
        <f>V55*(1+$L$6)</f>
        <v>0.19251174185</v>
      </c>
      <c r="AB55" s="3585">
        <f>AD55*$AC$14</f>
        <v>5109.80066158</v>
      </c>
      <c r="AC55" s="1289">
        <f>IFERROR(AB55/$AB$44,0)</f>
        <v>0.00237983045954</v>
      </c>
      <c r="AD55" s="3587">
        <f>Z55*(1+$L$6)</f>
        <v>0.194436859269</v>
      </c>
      <c r="AF55" s="3585">
        <f>AH55*$AG$14</f>
        <v>5160.89866819</v>
      </c>
      <c r="AG55" s="1289">
        <f>IFERROR(AF55/$AF$44,0)</f>
        <v>0.00235649878837</v>
      </c>
      <c r="AH55" s="3587">
        <f>AD55*(1+$L$6)</f>
        <v>0.196381227861</v>
      </c>
      <c r="AJ55" s="3585">
        <f>AL55*$AK$14</f>
        <v>5212.50765487</v>
      </c>
      <c r="AK55" s="1289">
        <f>IFERROR(AJ55/$AJ$44,0)</f>
        <v>0.00233339585907</v>
      </c>
      <c r="AL55" s="3587">
        <f>AH55*(1+$L$6)</f>
        <v>0.19834504014</v>
      </c>
      <c r="AN55" s="3585">
        <f>AP55*$AO$14</f>
        <v>5264.63273142</v>
      </c>
      <c r="AO55" s="1289">
        <f>IFERROR(AN55/$AN$44,0)</f>
        <v>0.00231051942908</v>
      </c>
      <c r="AP55" s="3587">
        <f>AL55*(1+$L$6)</f>
        <v>0.200328490541</v>
      </c>
      <c r="AR55" s="3585">
        <f>AT55*$AS$14</f>
        <v>5317.27905874</v>
      </c>
      <c r="AS55" s="1289">
        <f>IFERROR(AR55/$AR$44,0)</f>
        <v>0.00228786727782</v>
      </c>
      <c r="AT55" s="3587">
        <f>AP55*(1+$L$6)</f>
        <v>0.202331775447</v>
      </c>
      <c r="AV55" s="3585">
        <f>AX55*$AW$14</f>
        <v>5370.45184932</v>
      </c>
      <c r="AW55" s="1289">
        <f>IFERROR(AV55/$AV$44,0)</f>
        <v>0.00231074595059</v>
      </c>
      <c r="AX55" s="3587">
        <f>AT55*(1+$L$6)</f>
        <v>0.204355093201</v>
      </c>
      <c r="AZ55" s="3585">
        <f>BB55*$BA$14</f>
        <v>5424.15636782</v>
      </c>
      <c r="BA55" s="1289">
        <f>IFERROR(AZ55/$AZ$44,0)</f>
        <v>0.0023338534101</v>
      </c>
      <c r="BB55" s="3587">
        <f>AX55*(1+$L$6)</f>
        <v>0.206398644133</v>
      </c>
      <c r="BC55" s="1426" t="n"/>
      <c r="BD55" s="3585" t="n">
        <f t="array" ref="BD55">IFERROR($H55/12,0)</f>
        <v>309.4895833333333</v>
      </c>
      <c r="BE55" s="1289" t="n">
        <f t="array" ref="BE55">IFERROR($H55/$H$44,0)</f>
        <v>0.0025</v>
      </c>
      <c r="BF55" s="3587" t="n">
        <f t="array" ref="BF55">IFERROR(($H55/12)/1650,0)</f>
        <v>0.18756944444444443</v>
      </c>
    </row>
    <row r="56" s="1168" customFormat="1" ht="15" customHeight="1">
      <c r="B56" s="3538" t="n"/>
      <c r="C56" s="643" t="n"/>
      <c r="D56" s="643" t="n"/>
      <c r="E56" s="3583" t="n"/>
      <c r="F56" s="1172" t="n"/>
      <c r="G56" s="1283" t="inlineStr">
        <is>
          <t xml:space="preserve">Decorations</t>
        </is>
      </c>
      <c r="H56" s="3586">
        <f>J56*$I$14</f>
        <v>2228.325</v>
      </c>
      <c r="I56" s="1171">
        <f>IFERROR(H56/$H$44,0)</f>
        <v>0.0015</v>
      </c>
      <c r="J56" s="3662">
        <v>0.111</v>
      </c>
      <c r="K56" s="1172" t="n"/>
      <c r="L56" s="3585">
        <f>N56*$M$14</f>
        <v>2659.80975</v>
      </c>
      <c r="M56" s="1289">
        <f>IFERROR(L56/$L$44,0)</f>
        <v>0.00148529411765</v>
      </c>
      <c r="N56" s="3587">
        <f>J56*(1+$L$6)</f>
        <v>0.11211</v>
      </c>
      <c r="P56" s="3585">
        <f>R56*$Q$14</f>
        <v>2975.713308</v>
      </c>
      <c r="Q56" s="1289">
        <f>IFERROR(P56/$P$44,0)</f>
        <v>0.00147073241061</v>
      </c>
      <c r="R56" s="3587">
        <f>N56*(1+$L$6)</f>
        <v>0.1132311</v>
      </c>
      <c r="T56" s="3585">
        <f>V56*$U$14</f>
        <v>3005.47044108</v>
      </c>
      <c r="U56" s="1289">
        <f>IFERROR(T56/$T$44,0)</f>
        <v>0.00145631346541</v>
      </c>
      <c r="V56" s="3587">
        <f>R56*(1+$L$6)</f>
        <v>0.114363411</v>
      </c>
      <c r="X56" s="3585">
        <f>Z56*$Y$14</f>
        <v>3035.52514549</v>
      </c>
      <c r="Y56" s="1289">
        <f>IFERROR(X56/$X$44,0)</f>
        <v>0.00144203588242</v>
      </c>
      <c r="Z56" s="3587">
        <f>V56*(1+$L$6)</f>
        <v>0.11550704511</v>
      </c>
      <c r="AB56" s="3585">
        <f>AD56*$AC$14</f>
        <v>3065.88039695</v>
      </c>
      <c r="AC56" s="1289">
        <f>IFERROR(AB56/$AB$44,0)</f>
        <v>0.00142789827572</v>
      </c>
      <c r="AD56" s="3587">
        <f>Z56*(1+$L$6)</f>
        <v>0.116662115561</v>
      </c>
      <c r="AF56" s="3585">
        <f>AH56*$AG$14</f>
        <v>3096.53920092</v>
      </c>
      <c r="AG56" s="1289">
        <f>IFERROR(AF56/$AF$44,0)</f>
        <v>0.00141389927302</v>
      </c>
      <c r="AH56" s="3587">
        <f>AD56*(1+$L$6)</f>
        <v>0.117828736717</v>
      </c>
      <c r="AJ56" s="3585">
        <f>AL56*$AK$14</f>
        <v>3127.50459292</v>
      </c>
      <c r="AK56" s="1289">
        <f>IFERROR(AJ56/$AJ$44,0)</f>
        <v>0.00140003751544</v>
      </c>
      <c r="AL56" s="3587">
        <f>AH56*(1+$L$6)</f>
        <v>0.119007024084</v>
      </c>
      <c r="AN56" s="3585">
        <f>AP56*$AO$14</f>
        <v>3158.77963885</v>
      </c>
      <c r="AO56" s="1289">
        <f>IFERROR(AN56/$AN$44,0)</f>
        <v>0.00138631165745</v>
      </c>
      <c r="AP56" s="3587">
        <f>AL56*(1+$L$6)</f>
        <v>0.120197094325</v>
      </c>
      <c r="AR56" s="3585">
        <f>AT56*$AS$14</f>
        <v>3190.36743524</v>
      </c>
      <c r="AS56" s="1289">
        <f>IFERROR(AR56/$AR$44,0)</f>
        <v>0.00137272036669</v>
      </c>
      <c r="AT56" s="3587">
        <f>AP56*(1+$L$6)</f>
        <v>0.121399065268</v>
      </c>
      <c r="AV56" s="3585">
        <f>AX56*$AW$14</f>
        <v>3222.27110959</v>
      </c>
      <c r="AW56" s="1289">
        <f>IFERROR(AV56/$AV$44,0)</f>
        <v>0.00138644757036</v>
      </c>
      <c r="AX56" s="3587">
        <f>AT56*(1+$L$6)</f>
        <v>0.122613055921</v>
      </c>
      <c r="AZ56" s="3585">
        <f>BB56*$BA$14</f>
        <v>3254.49382069</v>
      </c>
      <c r="BA56" s="1289">
        <f>IFERROR(AZ56/$AZ$44,0)</f>
        <v>0.00140031204606</v>
      </c>
      <c r="BB56" s="3587">
        <f>AX56*(1+$L$6)</f>
        <v>0.12383918648</v>
      </c>
      <c r="BC56" s="1426" t="n"/>
      <c r="BD56" s="3585" t="n">
        <f t="array" ref="BD56">IFERROR($H56/12,0)</f>
        <v>185.69375000000002</v>
      </c>
      <c r="BE56" s="1289" t="n">
        <f t="array" ref="BE56">IFERROR($H56/$H$44,0)</f>
        <v>0.0015000000000000002</v>
      </c>
      <c r="BF56" s="3587" t="n">
        <f t="array" ref="BF56">IFERROR(($H56/12)/1650,0)</f>
        <v>0.11254166666666668</v>
      </c>
    </row>
    <row r="57" s="1168" customFormat="1" ht="15" customHeight="1">
      <c r="B57" s="3538" t="n"/>
      <c r="C57" s="643" t="n"/>
      <c r="D57" s="643" t="n"/>
      <c r="E57" s="3623" t="n"/>
      <c r="F57" s="1172" t="n"/>
      <c r="G57" s="1325" t="inlineStr">
        <is>
          <t xml:space="preserve">Printing &amp; Stationary</t>
        </is>
      </c>
      <c r="H57" s="3620">
        <f>J57*$I$14</f>
        <v>1485.55</v>
      </c>
      <c r="I57" s="1429">
        <f>IFERROR(H57/$H$44,0)</f>
        <v>0.001</v>
      </c>
      <c r="J57" s="3667">
        <v>0.074</v>
      </c>
      <c r="K57" s="1172" t="n"/>
      <c r="L57" s="3608">
        <f>N57*$M$14</f>
        <v>1773.2065</v>
      </c>
      <c r="M57" s="1330">
        <f>IFERROR(L57/$L$44,0)</f>
        <v>0.000990196078431</v>
      </c>
      <c r="N57" s="3622">
        <f>J57*(1+$L$6)</f>
        <v>0.07474</v>
      </c>
      <c r="P57" s="3608">
        <f>R57*$Q$14</f>
        <v>1983.808872</v>
      </c>
      <c r="Q57" s="1330">
        <f>IFERROR(P57/$P$44,0)</f>
        <v>0.000980488273741</v>
      </c>
      <c r="R57" s="3622">
        <f>N57*(1+$L$6)</f>
        <v>0.0754874</v>
      </c>
      <c r="T57" s="3608">
        <f>V57*$U$14</f>
        <v>2003.64696072</v>
      </c>
      <c r="U57" s="1330">
        <f>IFERROR(T57/$T$44,0)</f>
        <v>0.000970875643606</v>
      </c>
      <c r="V57" s="3622">
        <f>R57*(1+$L$6)</f>
        <v>0.076242274</v>
      </c>
      <c r="X57" s="3608">
        <f>Z57*$Y$14</f>
        <v>2023.68343033</v>
      </c>
      <c r="Y57" s="1330">
        <f>IFERROR(X57/$X$44,0)</f>
        <v>0.000961357254943</v>
      </c>
      <c r="Z57" s="3622">
        <f>V57*(1+$L$6)</f>
        <v>0.07700469674</v>
      </c>
      <c r="AB57" s="3608">
        <f>AD57*$AC$14</f>
        <v>2043.92026463</v>
      </c>
      <c r="AC57" s="1330">
        <f>IFERROR(AB57/$AB$44,0)</f>
        <v>0.000951932183816</v>
      </c>
      <c r="AD57" s="3622">
        <f>Z57*(1+$L$6)</f>
        <v>0.0777747437074</v>
      </c>
      <c r="AF57" s="3608">
        <f>AH57*$AG$14</f>
        <v>2064.35946728</v>
      </c>
      <c r="AG57" s="1330">
        <f>IFERROR(AF57/$AF$44,0)</f>
        <v>0.000942599515348</v>
      </c>
      <c r="AH57" s="3622">
        <f>AD57*(1+$L$6)</f>
        <v>0.0785524911445</v>
      </c>
      <c r="AJ57" s="3608">
        <f>AL57*$AK$14</f>
        <v>2085.00306195</v>
      </c>
      <c r="AK57" s="1330">
        <f>IFERROR(AJ57/$AJ$44,0)</f>
        <v>0.000933358343629</v>
      </c>
      <c r="AL57" s="3622">
        <f>AH57*(1+$L$6)</f>
        <v>0.0793380160559</v>
      </c>
      <c r="AN57" s="3608">
        <f>AP57*$AO$14</f>
        <v>2105.85309257</v>
      </c>
      <c r="AO57" s="1330">
        <f>IFERROR(AN57/$AN$44,0)</f>
        <v>0.000924207771632</v>
      </c>
      <c r="AP57" s="3622">
        <f>AL57*(1+$L$6)</f>
        <v>0.0801313962165</v>
      </c>
      <c r="AR57" s="3608">
        <f>AT57*$AS$14</f>
        <v>2126.91162349</v>
      </c>
      <c r="AS57" s="1330">
        <f>IFERROR(AR57/$AR$44,0)</f>
        <v>0.000915146911126</v>
      </c>
      <c r="AT57" s="3622">
        <f>AP57*(1+$L$6)</f>
        <v>0.0809327101786</v>
      </c>
      <c r="AV57" s="3608">
        <f>AX57*$AW$14</f>
        <v>2148.18073973</v>
      </c>
      <c r="AW57" s="1330">
        <f>IFERROR(AV57/$AV$44,0)</f>
        <v>0.000924298380237</v>
      </c>
      <c r="AX57" s="3622">
        <f>AT57*(1+$L$6)</f>
        <v>0.0817420372804</v>
      </c>
      <c r="AZ57" s="3608">
        <f>BB57*$BA$14</f>
        <v>2169.66254713</v>
      </c>
      <c r="BA57" s="1330">
        <f>IFERROR(AZ57/$AZ$44,0)</f>
        <v>0.00093354136404</v>
      </c>
      <c r="BB57" s="3622">
        <f>AX57*(1+$L$6)</f>
        <v>0.0825594576532</v>
      </c>
      <c r="BC57" s="1426" t="n"/>
      <c r="BD57" s="3608" t="n">
        <f t="array" ref="BD57">IFERROR($H57/12,0)</f>
        <v>123.79583333333333</v>
      </c>
      <c r="BE57" s="1330" t="n">
        <f t="array" ref="BE57">IFERROR($H57/$H$44,0)</f>
        <v>0.001</v>
      </c>
      <c r="BF57" s="3622" t="n">
        <f t="array" ref="BF57">IFERROR(($H57/12)/1650,0)</f>
        <v>0.07502777777777778</v>
      </c>
    </row>
    <row r="58" s="1168" customFormat="1" ht="15" customHeight="1">
      <c r="B58" s="3538" t="n"/>
      <c r="C58" s="643" t="n"/>
      <c r="D58" s="1431" t="n"/>
      <c r="E58" s="3668" t="n">
        <v>750</v>
      </c>
      <c r="F58" s="1172" t="n"/>
      <c r="G58" s="1433" t="inlineStr">
        <is>
          <t xml:space="preserve">Cable Television - </t>
        </is>
      </c>
      <c r="H58" s="3638">
        <f>J58*$I$14</f>
        <v>0</v>
      </c>
      <c r="I58" s="1434">
        <f>IFERROR(H58/$H$44,0)</f>
        <v>0</v>
      </c>
      <c r="J58" s="3669">
        <v>0</v>
      </c>
      <c r="K58" s="1172" t="n"/>
      <c r="L58" s="3670">
        <f>N58*$M$14</f>
        <v>0</v>
      </c>
      <c r="M58" s="1381">
        <f>IFERROR(L58/$L$44,0)</f>
        <v>0</v>
      </c>
      <c r="N58" s="3671">
        <f>J58*(1+$L$6)</f>
        <v>0</v>
      </c>
      <c r="P58" s="3670">
        <f>R58*$Q$14</f>
        <v>0</v>
      </c>
      <c r="Q58" s="1381">
        <f>IFERROR(P58/$P$44,0)</f>
        <v>0</v>
      </c>
      <c r="R58" s="3671">
        <f>N58*(1+$L$6)</f>
        <v>0</v>
      </c>
      <c r="T58" s="3670">
        <f>V58*$U$14</f>
        <v>0</v>
      </c>
      <c r="U58" s="1381">
        <f>IFERROR(T58/$T$44,0)</f>
        <v>0</v>
      </c>
      <c r="V58" s="3671">
        <f>R58*(1+$L$6)</f>
        <v>0</v>
      </c>
      <c r="X58" s="3670">
        <f>Z58*$Y$14</f>
        <v>0</v>
      </c>
      <c r="Y58" s="1381">
        <f>IFERROR(X58/$X$44,0)</f>
        <v>0</v>
      </c>
      <c r="Z58" s="3671">
        <f>V58*(1+$L$6)</f>
        <v>0</v>
      </c>
      <c r="AB58" s="3670">
        <f>AD58*$AC$14</f>
        <v>0</v>
      </c>
      <c r="AC58" s="1381">
        <f>IFERROR(AB58/$AB$44,0)</f>
        <v>0</v>
      </c>
      <c r="AD58" s="3671">
        <f>Z58*(1+$L$6)</f>
        <v>0</v>
      </c>
      <c r="AF58" s="3670">
        <f>AH58*$AG$14</f>
        <v>0</v>
      </c>
      <c r="AG58" s="1381">
        <f>IFERROR(AF58/$AF$44,0)</f>
        <v>0</v>
      </c>
      <c r="AH58" s="3671">
        <f>AD58*(1+$L$6)</f>
        <v>0</v>
      </c>
      <c r="AJ58" s="3670">
        <f>AL58*$AK$14</f>
        <v>0</v>
      </c>
      <c r="AK58" s="1381">
        <f>IFERROR(AJ58/$AJ$44,0)</f>
        <v>0</v>
      </c>
      <c r="AL58" s="3671">
        <f>AH58*(1+$L$6)</f>
        <v>0</v>
      </c>
      <c r="AN58" s="3670">
        <f>AP58*$AO$14</f>
        <v>0</v>
      </c>
      <c r="AO58" s="1381">
        <f>IFERROR(AN58/$AN$44,0)</f>
        <v>0</v>
      </c>
      <c r="AP58" s="3671">
        <f>AL58*(1+$L$6)</f>
        <v>0</v>
      </c>
      <c r="AR58" s="3670">
        <f>AT58*$AS$14</f>
        <v>0</v>
      </c>
      <c r="AS58" s="1381">
        <f>IFERROR(AR58/$AR$44,0)</f>
        <v>0</v>
      </c>
      <c r="AT58" s="3671">
        <f>AP58*(1+$L$6)</f>
        <v>0</v>
      </c>
      <c r="AV58" s="3670">
        <f>AX58*$AW$14</f>
        <v>0</v>
      </c>
      <c r="AW58" s="1381">
        <f>IFERROR(AV58/$AV$44,0)</f>
        <v>0</v>
      </c>
      <c r="AX58" s="3671">
        <f>AT58*(1+$L$6)</f>
        <v>0</v>
      </c>
      <c r="AZ58" s="3670">
        <f>BB58*$BA$14</f>
        <v>0</v>
      </c>
      <c r="BA58" s="1381">
        <f>IFERROR(AZ58/$AZ$44,0)</f>
        <v>0</v>
      </c>
      <c r="BB58" s="3671">
        <f>AX58*(1+$L$6)</f>
        <v>0</v>
      </c>
      <c r="BC58" s="1426" t="n"/>
      <c r="BD58" s="3670" t="n">
        <f t="array" ref="BD58">IFERROR($H58/12,0)</f>
        <v>0</v>
      </c>
      <c r="BE58" s="1381" t="n">
        <f t="array" ref="BE58">IFERROR($H58/$H$44,0)</f>
        <v>0</v>
      </c>
      <c r="BF58" s="3671" t="n">
        <f t="array" ref="BF58">IFERROR(($H58/12)/1650,0)</f>
        <v>0</v>
      </c>
    </row>
    <row r="59" s="1168" customFormat="1" ht="15" customHeight="1">
      <c r="B59" s="3538" t="n"/>
      <c r="C59" s="643" t="n"/>
      <c r="D59" s="643" t="n"/>
      <c r="E59" s="3672" t="n"/>
      <c r="F59" s="1172" t="n"/>
      <c r="G59" s="1439" t="inlineStr">
        <is>
          <t xml:space="preserve">Equipment Rentals</t>
        </is>
      </c>
      <c r="H59" s="3673">
        <f>J59*$I$14</f>
        <v>2228.325</v>
      </c>
      <c r="I59" s="1441">
        <f>IFERROR(H59/$H$44,0)</f>
        <v>0.0015</v>
      </c>
      <c r="J59" s="3674">
        <v>0.111</v>
      </c>
      <c r="K59" s="1172" t="n"/>
      <c r="L59" s="3675">
        <f>N59*$M$14</f>
        <v>2659.80975</v>
      </c>
      <c r="M59" s="1444">
        <f>IFERROR(L59/$L$44,0)</f>
        <v>0.00148529411765</v>
      </c>
      <c r="N59" s="3676">
        <f>J59*(1+$L$6)</f>
        <v>0.11211</v>
      </c>
      <c r="P59" s="3675">
        <f>R59*$Q$14</f>
        <v>2975.713308</v>
      </c>
      <c r="Q59" s="1444">
        <f>IFERROR(P59/$P$44,0)</f>
        <v>0.00147073241061</v>
      </c>
      <c r="R59" s="3676">
        <f>N59*(1+$L$6)</f>
        <v>0.1132311</v>
      </c>
      <c r="T59" s="3675">
        <f>V59*$U$14</f>
        <v>3005.47044108</v>
      </c>
      <c r="U59" s="1444">
        <f>IFERROR(T59/$T$44,0)</f>
        <v>0.00145631346541</v>
      </c>
      <c r="V59" s="3676">
        <f>R59*(1+$L$6)</f>
        <v>0.114363411</v>
      </c>
      <c r="X59" s="3675">
        <f>Z59*$Y$14</f>
        <v>3035.52514549</v>
      </c>
      <c r="Y59" s="1444">
        <f>IFERROR(X59/$X$44,0)</f>
        <v>0.00144203588242</v>
      </c>
      <c r="Z59" s="3676">
        <f>V59*(1+$L$6)</f>
        <v>0.11550704511</v>
      </c>
      <c r="AB59" s="3675">
        <f>AD59*$AC$14</f>
        <v>3065.88039695</v>
      </c>
      <c r="AC59" s="1444">
        <f>IFERROR(AB59/$AB$44,0)</f>
        <v>0.00142789827572</v>
      </c>
      <c r="AD59" s="3676">
        <f>Z59*(1+$L$6)</f>
        <v>0.116662115561</v>
      </c>
      <c r="AF59" s="3675">
        <f>AH59*$AG$14</f>
        <v>3096.53920092</v>
      </c>
      <c r="AG59" s="1444">
        <f>IFERROR(AF59/$AF$44,0)</f>
        <v>0.00141389927302</v>
      </c>
      <c r="AH59" s="3676">
        <f>AD59*(1+$L$6)</f>
        <v>0.117828736717</v>
      </c>
      <c r="AJ59" s="3675">
        <f>AL59*$AK$14</f>
        <v>3127.50459292</v>
      </c>
      <c r="AK59" s="1444">
        <f>IFERROR(AJ59/$AJ$44,0)</f>
        <v>0.00140003751544</v>
      </c>
      <c r="AL59" s="3676">
        <f>AH59*(1+$L$6)</f>
        <v>0.119007024084</v>
      </c>
      <c r="AN59" s="3675">
        <f>AP59*$AO$14</f>
        <v>3158.77963885</v>
      </c>
      <c r="AO59" s="1444">
        <f>IFERROR(AN59/$AN$44,0)</f>
        <v>0.00138631165745</v>
      </c>
      <c r="AP59" s="3676">
        <f>AL59*(1+$L$6)</f>
        <v>0.120197094325</v>
      </c>
      <c r="AR59" s="3675">
        <f>AT59*$AS$14</f>
        <v>3190.36743524</v>
      </c>
      <c r="AS59" s="1444">
        <f>IFERROR(AR59/$AR$44,0)</f>
        <v>0.00137272036669</v>
      </c>
      <c r="AT59" s="3676">
        <f>AP59*(1+$L$6)</f>
        <v>0.121399065268</v>
      </c>
      <c r="AV59" s="3675">
        <f>AX59*$AW$14</f>
        <v>3222.27110959</v>
      </c>
      <c r="AW59" s="1444">
        <f>IFERROR(AV59/$AV$44,0)</f>
        <v>0.00138644757036</v>
      </c>
      <c r="AX59" s="3676">
        <f>AT59*(1+$L$6)</f>
        <v>0.122613055921</v>
      </c>
      <c r="AZ59" s="3675">
        <f>BB59*$BA$14</f>
        <v>3254.49382069</v>
      </c>
      <c r="BA59" s="1444">
        <f>IFERROR(AZ59/$AZ$44,0)</f>
        <v>0.00140031204606</v>
      </c>
      <c r="BB59" s="3676">
        <f>AX59*(1+$L$6)</f>
        <v>0.12383918648</v>
      </c>
      <c r="BC59" s="1426" t="n"/>
      <c r="BD59" s="3675" t="n">
        <f t="array" ref="BD59">IFERROR($H59/12,0)</f>
        <v>185.69375000000002</v>
      </c>
      <c r="BE59" s="1444" t="n">
        <f t="array" ref="BE59">IFERROR($H59/$H$44,0)</f>
        <v>0.0015000000000000002</v>
      </c>
      <c r="BF59" s="3676" t="n">
        <f t="array" ref="BF59">IFERROR(($H59/12)/1650,0)</f>
        <v>0.11254166666666668</v>
      </c>
    </row>
    <row r="60" s="1168" customFormat="1" ht="15" customHeight="1">
      <c r="B60" s="3538" t="n"/>
      <c r="C60" s="643" t="n"/>
      <c r="D60" s="1431" t="n"/>
      <c r="E60" s="3668" t="n">
        <v>300</v>
      </c>
      <c r="F60" s="1172" t="n"/>
      <c r="G60" s="1433" t="inlineStr">
        <is>
          <t xml:space="preserve">Extermination</t>
        </is>
      </c>
      <c r="H60" s="3638">
        <f>J60*$I$14</f>
        <v>6000</v>
      </c>
      <c r="I60" s="1434">
        <f>IFERROR(H60/$H$44,0)</f>
        <v>0.0040389081485</v>
      </c>
      <c r="J60" s="3669">
        <v>0.298879202989</v>
      </c>
      <c r="K60" s="1172" t="n"/>
      <c r="L60" s="3670">
        <f>N60*$M$14</f>
        <v>7161.81818182</v>
      </c>
      <c r="M60" s="1381">
        <f>IFERROR(L60/$L$44,0)</f>
        <v>0.00399931100979</v>
      </c>
      <c r="N60" s="3671">
        <f>J60*(1+$L$6)</f>
        <v>0.301867995019</v>
      </c>
      <c r="P60" s="3670">
        <f>R60*$Q$14</f>
        <v>8012.42181818</v>
      </c>
      <c r="Q60" s="1381">
        <f>IFERROR(P60/$P$44,0)</f>
        <v>0.00396010207832</v>
      </c>
      <c r="R60" s="3671">
        <f>N60*(1+$L$6)</f>
        <v>0.304886674969</v>
      </c>
      <c r="T60" s="3670">
        <f>V60*$U$14</f>
        <v>8092.54603636</v>
      </c>
      <c r="U60" s="1381">
        <f>IFERROR(T60/$T$44,0)</f>
        <v>0.00392127754814</v>
      </c>
      <c r="V60" s="3671">
        <f>R60*(1+$L$6)</f>
        <v>0.307935541719</v>
      </c>
      <c r="X60" s="3670">
        <f>Z60*$Y$14</f>
        <v>8173.47149673</v>
      </c>
      <c r="Y60" s="1381">
        <f>IFERROR(X60/$X$44,0)</f>
        <v>0.00388283365061</v>
      </c>
      <c r="Z60" s="3671">
        <f>V60*(1+$L$6)</f>
        <v>0.311014897136</v>
      </c>
      <c r="AB60" s="3670">
        <f>AD60*$AC$14</f>
        <v>8255.20621169</v>
      </c>
      <c r="AC60" s="1381">
        <f>IFERROR(AB60/$AB$44,0)</f>
        <v>0.00384476665403</v>
      </c>
      <c r="AD60" s="3671">
        <f>Z60*(1+$L$6)</f>
        <v>0.314125046107</v>
      </c>
      <c r="AF60" s="3670">
        <f>AH60*$AG$14</f>
        <v>8337.75827381</v>
      </c>
      <c r="AG60" s="1381">
        <f>IFERROR(AF60/$AF$44,0)</f>
        <v>0.00380707286331</v>
      </c>
      <c r="AH60" s="3671">
        <f>AD60*(1+$L$6)</f>
        <v>0.317266296568</v>
      </c>
      <c r="AJ60" s="3670">
        <f>AL60*$AK$14</f>
        <v>8421.13585655</v>
      </c>
      <c r="AK60" s="1381">
        <f>IFERROR(AJ60/$AJ$44,0)</f>
        <v>0.00376974861955</v>
      </c>
      <c r="AL60" s="3671">
        <f>AH60*(1+$L$6)</f>
        <v>0.320438959534</v>
      </c>
      <c r="AN60" s="3670">
        <f>AP60*$AO$14</f>
        <v>8505.34721512</v>
      </c>
      <c r="AO60" s="1381">
        <f>IFERROR(AN60/$AN$44,0)</f>
        <v>0.00373279029975</v>
      </c>
      <c r="AP60" s="3671">
        <f>AL60*(1+$L$6)</f>
        <v>0.323643349129</v>
      </c>
      <c r="AR60" s="3670">
        <f>AT60*$AS$14</f>
        <v>8590.40068727</v>
      </c>
      <c r="AS60" s="1381">
        <f>IFERROR(AR60/$AR$44,0)</f>
        <v>0.00369619431642</v>
      </c>
      <c r="AT60" s="3671">
        <f>AP60*(1+$L$6)</f>
        <v>0.32687978262</v>
      </c>
      <c r="AV60" s="3670">
        <f>AX60*$AW$14</f>
        <v>8676.30469414</v>
      </c>
      <c r="AW60" s="1381">
        <f>IFERROR(AV60/$AV$44,0)</f>
        <v>0.00373315625958</v>
      </c>
      <c r="AX60" s="3671">
        <f>AT60*(1+$L$6)</f>
        <v>0.330148580447</v>
      </c>
      <c r="AZ60" s="3670">
        <f>BB60*$BA$14</f>
        <v>8763.06774108</v>
      </c>
      <c r="BA60" s="1381">
        <f>IFERROR(AZ60/$AZ$44,0)</f>
        <v>0.00377048782218</v>
      </c>
      <c r="BB60" s="3671">
        <f>AX60*(1+$L$6)</f>
        <v>0.333450066251</v>
      </c>
      <c r="BC60" s="1426" t="n"/>
      <c r="BD60" s="3670" t="n">
        <f t="array" ref="BD60">IFERROR($H60/12,0)</f>
        <v>500</v>
      </c>
      <c r="BE60" s="1381" t="n">
        <f t="array" ref="BE60">IFERROR($H60/$H$44,0)</f>
        <v>0.004038908148497189</v>
      </c>
      <c r="BF60" s="3671" t="n">
        <f t="array" ref="BF60">IFERROR(($H60/12)/1650,0)</f>
        <v>0.30303030303030304</v>
      </c>
    </row>
    <row r="61" s="1168" customFormat="1" ht="15" customHeight="1">
      <c r="A61" s="101" t="n"/>
      <c r="B61" s="1185" t="n"/>
      <c r="C61" s="643" t="n"/>
      <c r="D61" s="643" t="n"/>
      <c r="E61" s="3677" t="n"/>
      <c r="F61" s="1172" t="n"/>
      <c r="G61" s="1376" t="inlineStr">
        <is>
          <t xml:space="preserve">Travel Agent Commissions</t>
        </is>
      </c>
      <c r="H61" s="3678">
        <f>J61*$I$14</f>
        <v>66849.75</v>
      </c>
      <c r="I61" s="1448">
        <f>IFERROR(H61/$H$44,0)</f>
        <v>0.045</v>
      </c>
      <c r="J61" s="3562">
        <v>3.33</v>
      </c>
      <c r="K61" s="1172" t="n"/>
      <c r="L61" s="3679">
        <f>N61*$M$14</f>
        <v>79794.2925</v>
      </c>
      <c r="M61" s="1450">
        <f>IFERROR(L61/$L$44,0)</f>
        <v>0.0445588235294</v>
      </c>
      <c r="N61" s="3680">
        <f>J61*(1+$L$6)</f>
        <v>3.3633</v>
      </c>
      <c r="P61" s="3679">
        <f>R61*$Q$14</f>
        <v>89271.39924</v>
      </c>
      <c r="Q61" s="1450">
        <f>IFERROR(P61/$P$44,0)</f>
        <v>0.0441219723183</v>
      </c>
      <c r="R61" s="3680">
        <f>N61*(1+$L$6)</f>
        <v>3.396933</v>
      </c>
      <c r="T61" s="3679">
        <f>V61*$U$14</f>
        <v>90164.1132324</v>
      </c>
      <c r="U61" s="1450">
        <f>IFERROR(T61/$T$44,0)</f>
        <v>0.0436894039623</v>
      </c>
      <c r="V61" s="3680">
        <f>R61*(1+$L$6)</f>
        <v>3.43090233</v>
      </c>
      <c r="X61" s="3679">
        <f>Z61*$Y$14</f>
        <v>91065.7543647</v>
      </c>
      <c r="Y61" s="1450">
        <f>IFERROR(X61/$X$44,0)</f>
        <v>0.0432610764725</v>
      </c>
      <c r="Z61" s="3680">
        <f>V61*(1+$L$6)</f>
        <v>3.4652113533</v>
      </c>
      <c r="AB61" s="3679">
        <f>AD61*$AC$14</f>
        <v>91976.4119084</v>
      </c>
      <c r="AC61" s="1450">
        <f>IFERROR(AB61/$AB$44,0)</f>
        <v>0.0428369482717</v>
      </c>
      <c r="AD61" s="3680">
        <f>Z61*(1+$L$6)</f>
        <v>3.49986346683</v>
      </c>
      <c r="AF61" s="3679">
        <f>AH61*$AG$14</f>
        <v>92896.1760275</v>
      </c>
      <c r="AG61" s="1450">
        <f>IFERROR(AF61/$AF$44,0)</f>
        <v>0.0424169781906</v>
      </c>
      <c r="AH61" s="3680">
        <f>AD61*(1+$L$6)</f>
        <v>3.5348621015</v>
      </c>
      <c r="AJ61" s="3679">
        <f>AL61*$AK$14</f>
        <v>93825.1377877</v>
      </c>
      <c r="AK61" s="1450">
        <f>IFERROR(AJ61/$AJ$44,0)</f>
        <v>0.0420011254633</v>
      </c>
      <c r="AL61" s="3680">
        <f>AH61*(1+$L$6)</f>
        <v>3.57021072252</v>
      </c>
      <c r="AN61" s="3679">
        <f>AP61*$AO$14</f>
        <v>94763.3891656</v>
      </c>
      <c r="AO61" s="1450">
        <f>IFERROR(AN61/$AN$44,0)</f>
        <v>0.0415893497234</v>
      </c>
      <c r="AP61" s="3680">
        <f>AL61*(1+$L$6)</f>
        <v>3.60591282974</v>
      </c>
      <c r="AR61" s="3679">
        <f>AT61*$AS$14</f>
        <v>95711.0230573</v>
      </c>
      <c r="AS61" s="1450">
        <f>IFERROR(AR61/$AR$44,0)</f>
        <v>0.0411816110007</v>
      </c>
      <c r="AT61" s="3680">
        <f>AP61*(1+$L$6)</f>
        <v>3.64197195804</v>
      </c>
      <c r="AV61" s="3679">
        <f>AX61*$AW$14</f>
        <v>96668.1332878</v>
      </c>
      <c r="AW61" s="1450">
        <f>IFERROR(AV61/$AV$44,0)</f>
        <v>0.0415934271107</v>
      </c>
      <c r="AX61" s="3680">
        <f>AT61*(1+$L$6)</f>
        <v>3.67839167762</v>
      </c>
      <c r="AZ61" s="3679">
        <f>BB61*$BA$14</f>
        <v>97634.8146207</v>
      </c>
      <c r="BA61" s="1450">
        <f>IFERROR(AZ61/$AZ$44,0)</f>
        <v>0.0420093613818</v>
      </c>
      <c r="BB61" s="3680">
        <f>AX61*(1+$L$6)</f>
        <v>3.7151755944</v>
      </c>
      <c r="BC61" s="1426" t="n"/>
      <c r="BD61" s="3679" t="n">
        <f t="array" ref="BD61">IFERROR($H61/12,0)</f>
        <v>5570.8125</v>
      </c>
      <c r="BE61" s="1450" t="n">
        <f t="array" ref="BE61">IFERROR($H61/$H$44,0)</f>
        <v>0.045</v>
      </c>
      <c r="BF61" s="3680" t="n">
        <f t="array" ref="BF61">IFERROR(($H61/12)/1650,0)</f>
        <v>3.37625</v>
      </c>
    </row>
    <row r="62" s="1168" customFormat="1" ht="15" customHeight="1">
      <c r="A62" s="101" t="n"/>
      <c r="B62" s="1185" t="n"/>
      <c r="C62" s="643" t="n"/>
      <c r="D62" s="643" t="n"/>
      <c r="E62" s="3583" t="n"/>
      <c r="F62" s="1172" t="n"/>
      <c r="G62" s="1283" t="inlineStr">
        <is>
          <t xml:space="preserve">Contract Cleaning</t>
        </is>
      </c>
      <c r="H62" s="3586">
        <f>J62*$I$14</f>
        <v>5199.425</v>
      </c>
      <c r="I62" s="1171">
        <f>IFERROR(H62/$H$44,0)</f>
        <v>0.0035</v>
      </c>
      <c r="J62" s="3662">
        <v>0.259</v>
      </c>
      <c r="K62" s="1172" t="n"/>
      <c r="L62" s="3585">
        <f>N62*$M$14</f>
        <v>6206.22275</v>
      </c>
      <c r="M62" s="1289">
        <f>IFERROR(L62/$L$44,0)</f>
        <v>0.00346568627451</v>
      </c>
      <c r="N62" s="3587">
        <f>J62*(1+$L$6)</f>
        <v>0.26159</v>
      </c>
      <c r="P62" s="3585">
        <f>R62*$Q$14</f>
        <v>6943.331052</v>
      </c>
      <c r="Q62" s="1289">
        <f>IFERROR(P62/$P$44,0)</f>
        <v>0.00343170895809</v>
      </c>
      <c r="R62" s="3587">
        <f>N62*(1+$L$6)</f>
        <v>0.2642059</v>
      </c>
      <c r="T62" s="3585">
        <f>V62*$U$14</f>
        <v>7012.76436252</v>
      </c>
      <c r="U62" s="1289">
        <f>IFERROR(T62/$T$44,0)</f>
        <v>0.00339806475262</v>
      </c>
      <c r="V62" s="3587">
        <f>R62*(1+$L$6)</f>
        <v>0.266847959</v>
      </c>
      <c r="X62" s="3585">
        <f>Z62*$Y$14</f>
        <v>7082.89200615</v>
      </c>
      <c r="Y62" s="1289">
        <f>IFERROR(X62/$X$44,0)</f>
        <v>0.0033647503923</v>
      </c>
      <c r="Z62" s="3587">
        <f>V62*(1+$L$6)</f>
        <v>0.26951643859</v>
      </c>
      <c r="AB62" s="3585">
        <f>AD62*$AC$14</f>
        <v>7153.72092621</v>
      </c>
      <c r="AC62" s="1289">
        <f>IFERROR(AB62/$AB$44,0)</f>
        <v>0.00333176264336</v>
      </c>
      <c r="AD62" s="3587">
        <f>Z62*(1+$L$6)</f>
        <v>0.272211602976</v>
      </c>
      <c r="AF62" s="3585">
        <f>AH62*$AG$14</f>
        <v>7225.25813547</v>
      </c>
      <c r="AG62" s="1289">
        <f>IFERROR(AF62/$AF$44,0)</f>
        <v>0.00329909830372</v>
      </c>
      <c r="AH62" s="3587">
        <f>AD62*(1+$L$6)</f>
        <v>0.274933719006</v>
      </c>
      <c r="AJ62" s="3585">
        <f>AL62*$AK$14</f>
        <v>7297.51071682</v>
      </c>
      <c r="AK62" s="1289">
        <f>IFERROR(AJ62/$AJ$44,0)</f>
        <v>0.0032667542027</v>
      </c>
      <c r="AL62" s="3587">
        <f>AH62*(1+$L$6)</f>
        <v>0.277683056196</v>
      </c>
      <c r="AN62" s="3585">
        <f>AP62*$AO$14</f>
        <v>7370.48582399</v>
      </c>
      <c r="AO62" s="1289">
        <f>IFERROR(AN62/$AN$44,0)</f>
        <v>0.00323472720071</v>
      </c>
      <c r="AP62" s="3587">
        <f>AL62*(1+$L$6)</f>
        <v>0.280459886758</v>
      </c>
      <c r="AR62" s="3585">
        <f>AT62*$AS$14</f>
        <v>7444.19068223</v>
      </c>
      <c r="AS62" s="1289">
        <f>IFERROR(AR62/$AR$44,0)</f>
        <v>0.00320301418894</v>
      </c>
      <c r="AT62" s="3587">
        <f>AP62*(1+$L$6)</f>
        <v>0.283264485625</v>
      </c>
      <c r="AV62" s="3585">
        <f>AX62*$AW$14</f>
        <v>7518.63258905</v>
      </c>
      <c r="AW62" s="1289">
        <f>IFERROR(AV62/$AV$44,0)</f>
        <v>0.00323504433083</v>
      </c>
      <c r="AX62" s="3587">
        <f>AT62*(1+$L$6)</f>
        <v>0.286097130482</v>
      </c>
      <c r="AZ62" s="3585">
        <f>BB62*$BA$14</f>
        <v>7593.81891494</v>
      </c>
      <c r="BA62" s="1289">
        <f>IFERROR(AZ62/$AZ$44,0)</f>
        <v>0.00326739477414</v>
      </c>
      <c r="BB62" s="3587">
        <f>AX62*(1+$L$6)</f>
        <v>0.288958101786</v>
      </c>
      <c r="BC62" s="1426" t="n"/>
      <c r="BD62" s="3585" t="n">
        <f t="array" ref="BD62">IFERROR($H62/12,0)</f>
        <v>433.28541666666666</v>
      </c>
      <c r="BE62" s="1289" t="n">
        <f t="array" ref="BE62">IFERROR($H62/$H$44,0)</f>
        <v>0.0035</v>
      </c>
      <c r="BF62" s="3587" t="n">
        <f t="array" ref="BF62">IFERROR(($H62/12)/1650,0)</f>
        <v>0.2625972222222222</v>
      </c>
    </row>
    <row r="63" s="1168" customFormat="1" ht="15" customHeight="1">
      <c r="A63" s="101" t="n"/>
      <c r="B63" s="1185" t="n"/>
      <c r="C63" s="643" t="n"/>
      <c r="D63" s="643" t="n"/>
      <c r="E63" s="3623" t="n">
        <f t="array" ref="E63">H63/$C$48/$D$48/$E$48</f>
        <v>0.5627083333333334</v>
      </c>
      <c r="F63" s="1172" t="n"/>
      <c r="G63" s="1325" t="inlineStr">
        <is>
          <t xml:space="preserve">Laundry Supplies</t>
        </is>
      </c>
      <c r="H63" s="3620">
        <f>J63*$I$14</f>
        <v>11141.625</v>
      </c>
      <c r="I63" s="1429">
        <f>IFERROR(H63/$H$44,0)</f>
        <v>0.0075</v>
      </c>
      <c r="J63" s="3667">
        <v>0.555</v>
      </c>
      <c r="K63" s="1172" t="n"/>
      <c r="L63" s="3608">
        <f>N63*$M$14</f>
        <v>13299.04875</v>
      </c>
      <c r="M63" s="1330">
        <f>IFERROR(L63/$L$44,0)</f>
        <v>0.00742647058824</v>
      </c>
      <c r="N63" s="3622">
        <f>J63*(1+$L$6)</f>
        <v>0.56055</v>
      </c>
      <c r="P63" s="3608">
        <f>R63*$Q$14</f>
        <v>14878.56654</v>
      </c>
      <c r="Q63" s="1330">
        <f>IFERROR(P63/$P$44,0)</f>
        <v>0.00735366205306</v>
      </c>
      <c r="R63" s="3622">
        <f>N63*(1+$L$6)</f>
        <v>0.5661555</v>
      </c>
      <c r="T63" s="3608">
        <f>V63*$U$14</f>
        <v>15027.3522054</v>
      </c>
      <c r="U63" s="1330">
        <f>IFERROR(T63/$T$44,0)</f>
        <v>0.00728156732705</v>
      </c>
      <c r="V63" s="3622">
        <f>R63*(1+$L$6)</f>
        <v>0.571817055</v>
      </c>
      <c r="X63" s="3608">
        <f>Z63*$Y$14</f>
        <v>15177.6257275</v>
      </c>
      <c r="Y63" s="1330">
        <f>IFERROR(X63/$X$44,0)</f>
        <v>0.00721017941208</v>
      </c>
      <c r="Z63" s="3622">
        <f>V63*(1+$L$6)</f>
        <v>0.57753522555</v>
      </c>
      <c r="AB63" s="3608">
        <f>AD63*$AC$14</f>
        <v>15329.4019847</v>
      </c>
      <c r="AC63" s="1330">
        <f>IFERROR(AB63/$AB$44,0)</f>
        <v>0.00713949137862</v>
      </c>
      <c r="AD63" s="3622">
        <f>Z63*(1+$L$6)</f>
        <v>0.583310577806</v>
      </c>
      <c r="AF63" s="3608">
        <f>AH63*$AG$14</f>
        <v>15482.6960046</v>
      </c>
      <c r="AG63" s="1330">
        <f>IFERROR(AF63/$AF$44,0)</f>
        <v>0.00706949636511</v>
      </c>
      <c r="AH63" s="3622">
        <f>AD63*(1+$L$6)</f>
        <v>0.589143683584</v>
      </c>
      <c r="AJ63" s="3608">
        <f>AL63*$AK$14</f>
        <v>15637.5229646</v>
      </c>
      <c r="AK63" s="1330">
        <f>IFERROR(AJ63/$AJ$44,0)</f>
        <v>0.00700018757721</v>
      </c>
      <c r="AL63" s="3622">
        <f>AH63*(1+$L$6)</f>
        <v>0.595035120419</v>
      </c>
      <c r="AN63" s="3608">
        <f>AP63*$AO$14</f>
        <v>15793.8981943</v>
      </c>
      <c r="AO63" s="1330">
        <f>IFERROR(AN63/$AN$44,0)</f>
        <v>0.00693155828724</v>
      </c>
      <c r="AP63" s="3622">
        <f>AL63*(1+$L$6)</f>
        <v>0.600985471624</v>
      </c>
      <c r="AR63" s="3608">
        <f>AT63*$AS$14</f>
        <v>15951.8371762</v>
      </c>
      <c r="AS63" s="1330">
        <f>IFERROR(AR63/$AR$44,0)</f>
        <v>0.00686360183345</v>
      </c>
      <c r="AT63" s="3622">
        <f>AP63*(1+$L$6)</f>
        <v>0.60699532634</v>
      </c>
      <c r="AV63" s="3608">
        <f>AX63*$AW$14</f>
        <v>16111.355548</v>
      </c>
      <c r="AW63" s="1330">
        <f>IFERROR(AV63/$AV$44,0)</f>
        <v>0.00693223785178</v>
      </c>
      <c r="AX63" s="3622">
        <f>AT63*(1+$L$6)</f>
        <v>0.613065279603</v>
      </c>
      <c r="AZ63" s="3608">
        <f>BB63*$BA$14</f>
        <v>16272.4691035</v>
      </c>
      <c r="BA63" s="1330">
        <f>IFERROR(AZ63/$AZ$44,0)</f>
        <v>0.0070015602303</v>
      </c>
      <c r="BB63" s="3622">
        <f>AX63*(1+$L$6)</f>
        <v>0.619195932399</v>
      </c>
      <c r="BC63" s="1426" t="n"/>
      <c r="BD63" s="3608" t="n">
        <f t="array" ref="BD63">IFERROR($H63/12,0)</f>
        <v>928.46875</v>
      </c>
      <c r="BE63" s="1330" t="n">
        <f t="array" ref="BE63">IFERROR($H63/$H$44,0)</f>
        <v>0.0075</v>
      </c>
      <c r="BF63" s="3622" t="n">
        <f t="array" ref="BF63">IFERROR(($H63/12)/1650,0)</f>
        <v>0.5627083333333334</v>
      </c>
    </row>
    <row r="64" s="1168" customFormat="1" ht="12.75" customHeight="1">
      <c r="A64" s="101" t="n"/>
      <c r="B64" s="1185" t="n"/>
      <c r="C64" s="643" t="n"/>
      <c r="D64" s="1431" t="n"/>
      <c r="E64" s="4516" t="n">
        <v>10</v>
      </c>
      <c r="F64" s="1172" t="n"/>
      <c r="G64" s="4517" t="inlineStr">
        <is>
          <t xml:space="preserve">Outside Laundry / Valet ($10 CPOR off-site)</t>
        </is>
      </c>
      <c r="H64" s="4518">
        <f>J64*$I$14</f>
        <v>200750</v>
      </c>
      <c r="I64" s="1434">
        <f>IFERROR(H64/$H$44,0)</f>
        <v>0.135135135135</v>
      </c>
      <c r="J64" s="3669">
        <v>10</v>
      </c>
      <c r="K64" s="1172" t="n"/>
      <c r="L64" s="3670">
        <f>N64*$M$14</f>
        <v>239622.5</v>
      </c>
      <c r="M64" s="1453">
        <f>IFERROR(L64/$L$44,0)</f>
        <v>0.133810280869</v>
      </c>
      <c r="N64" s="3671">
        <f>J64*(1+$L$6)</f>
        <v>10.1</v>
      </c>
      <c r="P64" s="3670">
        <f>R64*$Q$14</f>
        <v>268082.28</v>
      </c>
      <c r="Q64" s="1453">
        <f>IFERROR(P64/$P$44,0)</f>
        <v>0.13249841537</v>
      </c>
      <c r="R64" s="3671">
        <f>N64*(1+$L$6)</f>
        <v>10.201</v>
      </c>
      <c r="T64" s="3670">
        <f>V64*$U$14</f>
        <v>270763.1028</v>
      </c>
      <c r="U64" s="1453">
        <f>IFERROR(T64/$T$44,0)</f>
        <v>0.131199411298</v>
      </c>
      <c r="V64" s="3671">
        <f>R64*(1+$L$6)</f>
        <v>10.30301</v>
      </c>
      <c r="X64" s="3670">
        <f>Z64*$Y$14</f>
        <v>273470.733828</v>
      </c>
      <c r="Y64" s="1453">
        <f>IFERROR(X64/$X$44,0)</f>
        <v>0.12991314256</v>
      </c>
      <c r="Z64" s="3671">
        <f>V64*(1+$L$6)</f>
        <v>10.4060401</v>
      </c>
      <c r="AB64" s="3670">
        <f>AD64*$AC$14</f>
        <v>276205.441166</v>
      </c>
      <c r="AC64" s="1453">
        <f>IFERROR(AB64/$AB$44,0)</f>
        <v>0.1286394843</v>
      </c>
      <c r="AD64" s="3671">
        <f>Z64*(1+$L$6)</f>
        <v>10.510100501</v>
      </c>
      <c r="AF64" s="3670">
        <f>AH64*$AG$14</f>
        <v>278967.495578</v>
      </c>
      <c r="AG64" s="1453">
        <f>IFERROR(AF64/$AF$44,0)</f>
        <v>0.127378312885</v>
      </c>
      <c r="AH64" s="3671">
        <f>AD64*(1+$L$6)</f>
        <v>10.615201506</v>
      </c>
      <c r="AJ64" s="3670">
        <f>AL64*$AK$14</f>
        <v>281757.170534</v>
      </c>
      <c r="AK64" s="1453">
        <f>IFERROR(AJ64/$AJ$44,0)</f>
        <v>0.126129505896</v>
      </c>
      <c r="AL64" s="3671">
        <f>AH64*(1+$L$6)</f>
        <v>10.7213535211</v>
      </c>
      <c r="AN64" s="3670">
        <f>AP64*$AO$14</f>
        <v>284574.742239</v>
      </c>
      <c r="AO64" s="1453">
        <f>IFERROR(AN64/$AN$44,0)</f>
        <v>0.124892942112</v>
      </c>
      <c r="AP64" s="3671">
        <f>AL64*(1+$L$6)</f>
        <v>10.8285670563</v>
      </c>
      <c r="AR64" s="3670">
        <f>AT64*$AS$14</f>
        <v>287420.489661</v>
      </c>
      <c r="AS64" s="1453">
        <f>IFERROR(AR64/$AR$44,0)</f>
        <v>0.123668501504</v>
      </c>
      <c r="AT64" s="3671">
        <f>AP64*(1+$L$6)</f>
        <v>10.9368527268</v>
      </c>
      <c r="AV64" s="3670">
        <f>AX64*$AW$14</f>
        <v>290294.694558</v>
      </c>
      <c r="AW64" s="1453">
        <f>IFERROR(AV64/$AV$44,0)</f>
        <v>0.124905186519</v>
      </c>
      <c r="AX64" s="3671">
        <f>AT64*(1+$L$6)</f>
        <v>11.0462212541</v>
      </c>
      <c r="AZ64" s="3670">
        <f>BB64*$BA$14</f>
        <v>293197.641504</v>
      </c>
      <c r="BA64" s="1453">
        <f>IFERROR(AZ64/$AZ$44,0)</f>
        <v>0.126154238384</v>
      </c>
      <c r="BB64" s="3671">
        <f>AX64*(1+$L$6)</f>
        <v>11.1566834667</v>
      </c>
      <c r="BC64" s="1426" t="n"/>
      <c r="BD64" s="3670" t="n">
        <f t="array" ref="BD64">IFERROR($H64/12,0)</f>
        <v>16729.166666666668</v>
      </c>
      <c r="BE64" s="1453" t="n">
        <f t="array" ref="BE64">IFERROR($H64/$H$44,0)</f>
        <v>0.13513513513513514</v>
      </c>
      <c r="BF64" s="3671" t="n">
        <f t="array" ref="BF64">IFERROR(($H64/12)/1650,0)</f>
        <v>10.13888888888889</v>
      </c>
    </row>
    <row r="65" s="1168" customFormat="1" ht="15" customHeight="1">
      <c r="A65" s="101" t="n"/>
      <c r="B65" s="1185" t="n"/>
      <c r="C65" s="643" t="n"/>
      <c r="D65" s="643" t="n"/>
      <c r="E65" s="3677" t="n"/>
      <c r="F65" s="1172" t="n"/>
      <c r="G65" s="1376" t="inlineStr">
        <is>
          <t xml:space="preserve">Refunds</t>
        </is>
      </c>
      <c r="H65" s="3678">
        <f>J65*$I$14</f>
        <v>148.555</v>
      </c>
      <c r="I65" s="1448">
        <f>IFERROR(H65/$H$44,0)</f>
        <v>0.0001</v>
      </c>
      <c r="J65" s="3562">
        <v>0.0074</v>
      </c>
      <c r="K65" s="1172" t="n"/>
      <c r="L65" s="3679">
        <f>N65*$M$14</f>
        <v>177.32065</v>
      </c>
      <c r="M65" s="1450">
        <f>IFERROR(L65/$L$44,0)</f>
        <v>9.90196078431e-05</v>
      </c>
      <c r="N65" s="3680">
        <f>J65*(1+$L$6)</f>
        <v>0.007474</v>
      </c>
      <c r="P65" s="3679">
        <f>R65*$Q$14</f>
        <v>198.3808872</v>
      </c>
      <c r="Q65" s="1450">
        <f>IFERROR(P65/$P$44,0)</f>
        <v>9.80488273741e-05</v>
      </c>
      <c r="R65" s="3680">
        <f>N65*(1+$L$6)</f>
        <v>0.00754874</v>
      </c>
      <c r="T65" s="3679">
        <f>V65*$U$14</f>
        <v>200.364696072</v>
      </c>
      <c r="U65" s="1450">
        <f>IFERROR(T65/$T$44,0)</f>
        <v>9.70875643606e-05</v>
      </c>
      <c r="V65" s="3680">
        <f>R65*(1+$L$6)</f>
        <v>0.0076242274</v>
      </c>
      <c r="X65" s="3679">
        <f>Z65*$Y$14</f>
        <v>202.368343033</v>
      </c>
      <c r="Y65" s="1450">
        <f>IFERROR(X65/$X$44,0)</f>
        <v>9.61357254943e-05</v>
      </c>
      <c r="Z65" s="3680">
        <f>V65*(1+$L$6)</f>
        <v>0.007700469674</v>
      </c>
      <c r="AB65" s="3679">
        <f>AD65*$AC$14</f>
        <v>204.392026463</v>
      </c>
      <c r="AC65" s="1450">
        <f>IFERROR(AB65/$AB$44,0)</f>
        <v>9.51932183816e-05</v>
      </c>
      <c r="AD65" s="3680">
        <f>Z65*(1+$L$6)</f>
        <v>0.00777747437074</v>
      </c>
      <c r="AF65" s="3679">
        <f>AH65*$AG$14</f>
        <v>206.435946728</v>
      </c>
      <c r="AG65" s="1450">
        <f>IFERROR(AF65/$AF$44,0)</f>
        <v>9.42599515348e-05</v>
      </c>
      <c r="AH65" s="3680">
        <f>AD65*(1+$L$6)</f>
        <v>0.00785524911445</v>
      </c>
      <c r="AJ65" s="3679">
        <f>AL65*$AK$14</f>
        <v>208.500306195</v>
      </c>
      <c r="AK65" s="1450">
        <f>IFERROR(AJ65/$AJ$44,0)</f>
        <v>9.33358343629e-05</v>
      </c>
      <c r="AL65" s="3680">
        <f>AH65*(1+$L$6)</f>
        <v>0.00793380160559</v>
      </c>
      <c r="AN65" s="3679">
        <f>AP65*$AO$14</f>
        <v>210.585309257</v>
      </c>
      <c r="AO65" s="1450">
        <f>IFERROR(AN65/$AN$44,0)</f>
        <v>9.24207771632e-05</v>
      </c>
      <c r="AP65" s="3680">
        <f>AL65*(1+$L$6)</f>
        <v>0.00801313962165</v>
      </c>
      <c r="AR65" s="3679">
        <f>AT65*$AS$14</f>
        <v>212.691162349</v>
      </c>
      <c r="AS65" s="1450">
        <f>IFERROR(AR65/$AR$44,0)</f>
        <v>9.15146911126e-05</v>
      </c>
      <c r="AT65" s="3680">
        <f>AP65*(1+$L$6)</f>
        <v>0.00809327101786</v>
      </c>
      <c r="AV65" s="3679">
        <f>AX65*$AW$14</f>
        <v>214.818073973</v>
      </c>
      <c r="AW65" s="1450">
        <f>IFERROR(AV65/$AV$44,0)</f>
        <v>9.24298380237e-05</v>
      </c>
      <c r="AX65" s="3680">
        <f>AT65*(1+$L$6)</f>
        <v>0.00817420372804</v>
      </c>
      <c r="AZ65" s="3679">
        <f>BB65*$BA$14</f>
        <v>216.966254713</v>
      </c>
      <c r="BA65" s="1450">
        <f>IFERROR(AZ65/$AZ$44,0)</f>
        <v>9.3354136404e-05</v>
      </c>
      <c r="BB65" s="3680">
        <f>AX65*(1+$L$6)</f>
        <v>0.00825594576532</v>
      </c>
      <c r="BC65" s="1426" t="n"/>
      <c r="BD65" s="3679" t="n">
        <f t="array" ref="BD65">IFERROR($H65/12,0)</f>
        <v>12.379583333333334</v>
      </c>
      <c r="BE65" s="1450" t="n">
        <f t="array" ref="BE65">IFERROR($H65/$H$44,0)</f>
        <v>0.0001</v>
      </c>
      <c r="BF65" s="3680" t="n">
        <f t="array" ref="BF65">IFERROR(($H65/12)/1650,0)</f>
        <v>0.007502777777777778</v>
      </c>
    </row>
    <row r="66" s="1168" customFormat="1" ht="15" customHeight="1">
      <c r="A66" s="101" t="n"/>
      <c r="B66" s="1185" t="n"/>
      <c r="C66" s="643" t="n"/>
      <c r="D66" s="643" t="n"/>
      <c r="E66" s="3623" t="n">
        <f t="array" ref="E66">H66/$C$48/$D$48/$E$48</f>
        <v>0</v>
      </c>
      <c r="F66" s="1172" t="n"/>
      <c r="G66" s="1325" t="inlineStr">
        <is>
          <t xml:space="preserve">Coffee - In Room</t>
        </is>
      </c>
      <c r="H66" s="3620">
        <f>J66*$I$14</f>
        <v>0</v>
      </c>
      <c r="I66" s="1429">
        <f>IFERROR(H66/$H$44,0)</f>
        <v>0</v>
      </c>
      <c r="J66" s="3667">
        <v>0</v>
      </c>
      <c r="K66" s="1172" t="n"/>
      <c r="L66" s="3608">
        <f>N66*$M$14</f>
        <v>0</v>
      </c>
      <c r="M66" s="1330">
        <f>IFERROR(L66/$L$44,0)</f>
        <v>0</v>
      </c>
      <c r="N66" s="3622">
        <f>J66*(1+$L$6)</f>
        <v>0</v>
      </c>
      <c r="P66" s="3608">
        <f>R66*$Q$14</f>
        <v>0</v>
      </c>
      <c r="Q66" s="1330">
        <f>IFERROR(P66/$P$44,0)</f>
        <v>0</v>
      </c>
      <c r="R66" s="3622">
        <f>N66*(1+$L$6)</f>
        <v>0</v>
      </c>
      <c r="T66" s="3608">
        <f>V66*$U$14</f>
        <v>0</v>
      </c>
      <c r="U66" s="1330">
        <f>IFERROR(T66/$T$44,0)</f>
        <v>0</v>
      </c>
      <c r="V66" s="3622">
        <f>R66*(1+$L$6)</f>
        <v>0</v>
      </c>
      <c r="X66" s="3608">
        <f>Z66*$Y$14</f>
        <v>0</v>
      </c>
      <c r="Y66" s="1330">
        <f>IFERROR(X66/$X$44,0)</f>
        <v>0</v>
      </c>
      <c r="Z66" s="3622">
        <f>V66*(1+$L$6)</f>
        <v>0</v>
      </c>
      <c r="AB66" s="3608">
        <f>AD66*$AC$14</f>
        <v>0</v>
      </c>
      <c r="AC66" s="1330">
        <f>IFERROR(AB66/$AB$44,0)</f>
        <v>0</v>
      </c>
      <c r="AD66" s="3622">
        <f>Z66*(1+$L$6)</f>
        <v>0</v>
      </c>
      <c r="AF66" s="3608">
        <f>AH66*$AG$14</f>
        <v>0</v>
      </c>
      <c r="AG66" s="1330">
        <f>IFERROR(AF66/$AF$44,0)</f>
        <v>0</v>
      </c>
      <c r="AH66" s="3622">
        <f>AD66*(1+$L$6)</f>
        <v>0</v>
      </c>
      <c r="AJ66" s="3608">
        <f>AL66*$AK$14</f>
        <v>0</v>
      </c>
      <c r="AK66" s="1330">
        <f>IFERROR(AJ66/$AJ$44,0)</f>
        <v>0</v>
      </c>
      <c r="AL66" s="3622">
        <f>AH66*(1+$L$6)</f>
        <v>0</v>
      </c>
      <c r="AN66" s="3608">
        <f>AP66*$AO$14</f>
        <v>0</v>
      </c>
      <c r="AO66" s="1330">
        <f>IFERROR(AN66/$AN$44,0)</f>
        <v>0</v>
      </c>
      <c r="AP66" s="3622">
        <f>AL66*(1+$L$6)</f>
        <v>0</v>
      </c>
      <c r="AR66" s="3608">
        <f>AT66*$AS$14</f>
        <v>0</v>
      </c>
      <c r="AS66" s="1330">
        <f>IFERROR(AR66/$AR$44,0)</f>
        <v>0</v>
      </c>
      <c r="AT66" s="3622">
        <f>AP66*(1+$L$6)</f>
        <v>0</v>
      </c>
      <c r="AV66" s="3608">
        <f>AX66*$AW$14</f>
        <v>0</v>
      </c>
      <c r="AW66" s="1330">
        <f>IFERROR(AV66/$AV$44,0)</f>
        <v>0</v>
      </c>
      <c r="AX66" s="3622">
        <f>AT66*(1+$L$6)</f>
        <v>0</v>
      </c>
      <c r="AZ66" s="3608">
        <f>BB66*$BA$14</f>
        <v>0</v>
      </c>
      <c r="BA66" s="1330">
        <f>IFERROR(AZ66/$AZ$44,0)</f>
        <v>0</v>
      </c>
      <c r="BB66" s="3622">
        <f>AX66*(1+$L$6)</f>
        <v>0</v>
      </c>
      <c r="BC66" s="1426" t="n"/>
      <c r="BD66" s="3608" t="n">
        <f t="array" ref="BD66">IFERROR($H66/12,0)</f>
        <v>0</v>
      </c>
      <c r="BE66" s="1330" t="n">
        <f t="array" ref="BE66">IFERROR($H66/$H$44,0)</f>
        <v>0</v>
      </c>
      <c r="BF66" s="3622" t="n">
        <f t="array" ref="BF66">IFERROR(($H66/12)/1650,0)</f>
        <v>0</v>
      </c>
    </row>
    <row r="67" s="1168" customFormat="1" ht="15" customHeight="1">
      <c r="A67" s="101" t="n"/>
      <c r="B67" s="1185" t="n"/>
      <c r="C67" s="643" t="n"/>
      <c r="D67" s="1431" t="n"/>
      <c r="E67" s="3668" t="n">
        <v>300</v>
      </c>
      <c r="F67" s="1172" t="n"/>
      <c r="G67" s="1433" t="inlineStr">
        <is>
          <t xml:space="preserve">Guest Newspapers</t>
        </is>
      </c>
      <c r="H67" s="3638">
        <f>J67*$I$14</f>
        <v>0</v>
      </c>
      <c r="I67" s="1434">
        <f>IFERROR(H67/$H$44,0)</f>
        <v>0</v>
      </c>
      <c r="J67" s="3669">
        <v>0</v>
      </c>
      <c r="K67" s="1172" t="n"/>
      <c r="L67" s="3670">
        <f>N67*$M$14</f>
        <v>0</v>
      </c>
      <c r="M67" s="1381">
        <f>IFERROR(L67/$L$44,0)</f>
        <v>0</v>
      </c>
      <c r="N67" s="3671">
        <f>J67*(1+$L$6)</f>
        <v>0</v>
      </c>
      <c r="P67" s="3670">
        <f>R67*$Q$14</f>
        <v>0</v>
      </c>
      <c r="Q67" s="1381">
        <f>IFERROR(P67/$P$44,0)</f>
        <v>0</v>
      </c>
      <c r="R67" s="3671">
        <f>N67*(1+$L$6)</f>
        <v>0</v>
      </c>
      <c r="T67" s="3670">
        <f>V67*$U$14</f>
        <v>0</v>
      </c>
      <c r="U67" s="1381">
        <f>IFERROR(T67/$T$44,0)</f>
        <v>0</v>
      </c>
      <c r="V67" s="3671">
        <f>R67*(1+$L$6)</f>
        <v>0</v>
      </c>
      <c r="X67" s="3670">
        <f>Z67*$Y$14</f>
        <v>0</v>
      </c>
      <c r="Y67" s="1381">
        <f>IFERROR(X67/$X$44,0)</f>
        <v>0</v>
      </c>
      <c r="Z67" s="3671">
        <f>V67*(1+$L$6)</f>
        <v>0</v>
      </c>
      <c r="AB67" s="3670">
        <f>AD67*$AC$14</f>
        <v>0</v>
      </c>
      <c r="AC67" s="1381">
        <f>IFERROR(AB67/$AB$44,0)</f>
        <v>0</v>
      </c>
      <c r="AD67" s="3671">
        <f>Z67*(1+$L$6)</f>
        <v>0</v>
      </c>
      <c r="AF67" s="3670">
        <f>AH67*$AG$14</f>
        <v>0</v>
      </c>
      <c r="AG67" s="1381">
        <f>IFERROR(AF67/$AF$44,0)</f>
        <v>0</v>
      </c>
      <c r="AH67" s="3671">
        <f>AD67*(1+$L$6)</f>
        <v>0</v>
      </c>
      <c r="AJ67" s="3670">
        <f>AL67*$AK$14</f>
        <v>0</v>
      </c>
      <c r="AK67" s="1381">
        <f>IFERROR(AJ67/$AJ$44,0)</f>
        <v>0</v>
      </c>
      <c r="AL67" s="3671">
        <f>AH67*(1+$L$6)</f>
        <v>0</v>
      </c>
      <c r="AN67" s="3670">
        <f>AP67*$AO$14</f>
        <v>0</v>
      </c>
      <c r="AO67" s="1381">
        <f>IFERROR(AN67/$AN$44,0)</f>
        <v>0</v>
      </c>
      <c r="AP67" s="3671">
        <f>AL67*(1+$L$6)</f>
        <v>0</v>
      </c>
      <c r="AR67" s="3670">
        <f>AT67*$AS$14</f>
        <v>0</v>
      </c>
      <c r="AS67" s="1381">
        <f>IFERROR(AR67/$AR$44,0)</f>
        <v>0</v>
      </c>
      <c r="AT67" s="3671">
        <f>AP67*(1+$L$6)</f>
        <v>0</v>
      </c>
      <c r="AV67" s="3670">
        <f>AX67*$AW$14</f>
        <v>0</v>
      </c>
      <c r="AW67" s="1381">
        <f>IFERROR(AV67/$AV$44,0)</f>
        <v>0</v>
      </c>
      <c r="AX67" s="3671">
        <f>AT67*(1+$L$6)</f>
        <v>0</v>
      </c>
      <c r="AZ67" s="3670">
        <f>BB67*$BA$14</f>
        <v>0</v>
      </c>
      <c r="BA67" s="1381">
        <f>IFERROR(AZ67/$AZ$44,0)</f>
        <v>0</v>
      </c>
      <c r="BB67" s="3671">
        <f>AX67*(1+$L$6)</f>
        <v>0</v>
      </c>
      <c r="BC67" s="1426" t="n"/>
      <c r="BD67" s="3670" t="n">
        <f t="array" ref="BD67">IFERROR($H67/12,0)</f>
        <v>0</v>
      </c>
      <c r="BE67" s="1381" t="n">
        <f t="array" ref="BE67">IFERROR($H67/$H$44,0)</f>
        <v>0</v>
      </c>
      <c r="BF67" s="3671" t="n">
        <f t="array" ref="BF67">IFERROR(($H67/12)/1650,0)</f>
        <v>0</v>
      </c>
    </row>
    <row r="68" s="1168" customFormat="1" ht="15" customHeight="1">
      <c r="A68" s="101" t="n"/>
      <c r="B68" s="1185" t="n"/>
      <c r="C68" s="643" t="n"/>
      <c r="D68" s="643" t="n"/>
      <c r="E68" s="3677" t="n"/>
      <c r="F68" s="1172" t="n"/>
      <c r="G68" s="1454" t="inlineStr">
        <is>
          <t xml:space="preserve">Meal Expense</t>
        </is>
      </c>
      <c r="H68" s="3678">
        <f>J68*$I$14</f>
        <v>1188.44</v>
      </c>
      <c r="I68" s="1448">
        <f>IFERROR(H68/$H$44,0)</f>
        <v>0.0008</v>
      </c>
      <c r="J68" s="3562">
        <v>0.0592</v>
      </c>
      <c r="K68" s="1172" t="n"/>
      <c r="L68" s="3678">
        <f>N68*$M$14</f>
        <v>1418.5652</v>
      </c>
      <c r="M68" s="1448">
        <f>IFERROR(L68/$L$44,0)</f>
        <v>0.000792156862745</v>
      </c>
      <c r="N68" s="3562">
        <f>J68*(1+$L$6)</f>
        <v>0.059792</v>
      </c>
      <c r="P68" s="3678">
        <f>R68*$Q$14</f>
        <v>1587.0470976</v>
      </c>
      <c r="Q68" s="1448">
        <f>IFERROR(P68/$P$44,0)</f>
        <v>0.000784390618993</v>
      </c>
      <c r="R68" s="3562">
        <f>N68*(1+$L$6)</f>
        <v>0.06038992</v>
      </c>
      <c r="T68" s="3678">
        <f>V68*$U$14</f>
        <v>1602.91756858</v>
      </c>
      <c r="U68" s="1448">
        <f>IFERROR(T68/$T$44,0)</f>
        <v>0.000776700514885</v>
      </c>
      <c r="V68" s="3562">
        <f>R68*(1+$L$6)</f>
        <v>0.0609938192</v>
      </c>
      <c r="X68" s="3678">
        <f>Z68*$Y$14</f>
        <v>1618.94674426</v>
      </c>
      <c r="Y68" s="1448">
        <f>IFERROR(X68/$X$44,0)</f>
        <v>0.000769085803955</v>
      </c>
      <c r="Z68" s="3562">
        <f>V68*(1+$L$6)</f>
        <v>0.061603757392</v>
      </c>
      <c r="AB68" s="3678">
        <f>AD68*$AC$14</f>
        <v>1635.1362117</v>
      </c>
      <c r="AC68" s="1448">
        <f>IFERROR(AB68/$AB$44,0)</f>
        <v>0.000761545747053</v>
      </c>
      <c r="AD68" s="3562">
        <f>Z68*(1+$L$6)</f>
        <v>0.0622197949659</v>
      </c>
      <c r="AF68" s="3678">
        <f>AH68*$AG$14</f>
        <v>1651.48757382</v>
      </c>
      <c r="AG68" s="1448">
        <f>IFERROR(AF68/$AF$44,0)</f>
        <v>0.000754079612278</v>
      </c>
      <c r="AH68" s="3562">
        <f>AD68*(1+$L$6)</f>
        <v>0.0628419929156</v>
      </c>
      <c r="AJ68" s="3678">
        <f>AL68*$AK$14</f>
        <v>1668.00244956</v>
      </c>
      <c r="AK68" s="1448">
        <f>IFERROR(AJ68/$AJ$44,0)</f>
        <v>0.000746686674903</v>
      </c>
      <c r="AL68" s="3562">
        <f>AH68*(1+$L$6)</f>
        <v>0.0634704128447</v>
      </c>
      <c r="AN68" s="3678">
        <f>AP68*$AO$14</f>
        <v>1684.68247406</v>
      </c>
      <c r="AO68" s="1448">
        <f>IFERROR(AN68/$AN$44,0)</f>
        <v>0.000739366217306</v>
      </c>
      <c r="AP68" s="3562">
        <f>AL68*(1+$L$6)</f>
        <v>0.0641051169732</v>
      </c>
      <c r="AR68" s="3678">
        <f>AT68*$AS$14</f>
        <v>1701.5292988</v>
      </c>
      <c r="AS68" s="1448">
        <f>IFERROR(AR68/$AR$44,0)</f>
        <v>0.000732117528901</v>
      </c>
      <c r="AT68" s="3562">
        <f>AP68*(1+$L$6)</f>
        <v>0.0647461681429</v>
      </c>
      <c r="AV68" s="3678">
        <f>AX68*$AW$14</f>
        <v>1718.54459178</v>
      </c>
      <c r="AW68" s="1448">
        <f>IFERROR(AV68/$AV$44,0)</f>
        <v>0.00073943870419</v>
      </c>
      <c r="AX68" s="3562">
        <f>AT68*(1+$L$6)</f>
        <v>0.0653936298243</v>
      </c>
      <c r="AZ68" s="3678">
        <f>BB68*$BA$14</f>
        <v>1735.7300377</v>
      </c>
      <c r="BA68" s="1448">
        <f>IFERROR(AZ68/$AZ$44,0)</f>
        <v>0.000746833091232</v>
      </c>
      <c r="BB68" s="3562">
        <f>AX68*(1+$L$6)</f>
        <v>0.0660475661226</v>
      </c>
      <c r="BC68" s="1426" t="n"/>
      <c r="BD68" s="3678" t="n">
        <f t="array" ref="BD68">IFERROR($H68/12,0)</f>
        <v>99.03666666666668</v>
      </c>
      <c r="BE68" s="1448" t="n">
        <f t="array" ref="BE68">IFERROR($H68/$H$44,0)</f>
        <v>0.0008</v>
      </c>
      <c r="BF68" s="3562" t="n">
        <f t="array" ref="BF68">IFERROR(($H68/12)/1650,0)</f>
        <v>0.06002222222222223</v>
      </c>
    </row>
    <row r="69" s="1168" customFormat="1" ht="15" customHeight="1">
      <c r="A69" s="101" t="n"/>
      <c r="B69" s="1185" t="n"/>
      <c r="C69" s="643" t="n"/>
      <c r="D69" s="643" t="n"/>
      <c r="E69" s="3583" t="n"/>
      <c r="F69" s="1172" t="n"/>
      <c r="G69" s="1283" t="inlineStr">
        <is>
          <t xml:space="preserve">Miscellaneous Expense</t>
        </is>
      </c>
      <c r="H69" s="3586">
        <f>J69*$I$14</f>
        <v>3713.875</v>
      </c>
      <c r="I69" s="1171">
        <f>IFERROR(H69/$H$44,0)</f>
        <v>0.0025</v>
      </c>
      <c r="J69" s="3662">
        <v>0.185</v>
      </c>
      <c r="K69" s="1172" t="n"/>
      <c r="L69" s="3585">
        <f>N69*$M$14</f>
        <v>4433.01625</v>
      </c>
      <c r="M69" s="1289">
        <f>IFERROR(L69/$L$44,0)</f>
        <v>0.00247549019608</v>
      </c>
      <c r="N69" s="3587">
        <f>J69*(1+$L$6)</f>
        <v>0.18685</v>
      </c>
      <c r="P69" s="3585">
        <f>R69*$Q$14</f>
        <v>4959.52218</v>
      </c>
      <c r="Q69" s="1289">
        <f>IFERROR(P69/$P$44,0)</f>
        <v>0.00245122068435</v>
      </c>
      <c r="R69" s="3587">
        <f>N69*(1+$L$6)</f>
        <v>0.1887185</v>
      </c>
      <c r="T69" s="3585">
        <f>V69*$U$14</f>
        <v>5009.1174018</v>
      </c>
      <c r="U69" s="1289">
        <f>IFERROR(T69/$T$44,0)</f>
        <v>0.00242718910902</v>
      </c>
      <c r="V69" s="3587">
        <f>R69*(1+$L$6)</f>
        <v>0.190605685</v>
      </c>
      <c r="X69" s="3585">
        <f>Z69*$Y$14</f>
        <v>5059.20857582</v>
      </c>
      <c r="Y69" s="1289">
        <f>IFERROR(X69/$X$44,0)</f>
        <v>0.00240339313736</v>
      </c>
      <c r="Z69" s="3587">
        <f>V69*(1+$L$6)</f>
        <v>0.19251174185</v>
      </c>
      <c r="AB69" s="3585">
        <f>AD69*$AC$14</f>
        <v>5109.80066158</v>
      </c>
      <c r="AC69" s="1289">
        <f>IFERROR(AB69/$AB$44,0)</f>
        <v>0.00237983045954</v>
      </c>
      <c r="AD69" s="3587">
        <f>Z69*(1+$L$6)</f>
        <v>0.194436859269</v>
      </c>
      <c r="AF69" s="3585">
        <f>AH69*$AG$14</f>
        <v>5160.89866819</v>
      </c>
      <c r="AG69" s="1289">
        <f>IFERROR(AF69/$AF$44,0)</f>
        <v>0.00235649878837</v>
      </c>
      <c r="AH69" s="3587">
        <f>AD69*(1+$L$6)</f>
        <v>0.196381227861</v>
      </c>
      <c r="AJ69" s="3585">
        <f>AL69*$AK$14</f>
        <v>5212.50765487</v>
      </c>
      <c r="AK69" s="1289">
        <f>IFERROR(AJ69/$AJ$44,0)</f>
        <v>0.00233339585907</v>
      </c>
      <c r="AL69" s="3587">
        <f>AH69*(1+$L$6)</f>
        <v>0.19834504014</v>
      </c>
      <c r="AN69" s="3585">
        <f>AP69*$AO$14</f>
        <v>5264.63273142</v>
      </c>
      <c r="AO69" s="1289">
        <f>IFERROR(AN69/$AN$44,0)</f>
        <v>0.00231051942908</v>
      </c>
      <c r="AP69" s="3587">
        <f>AL69*(1+$L$6)</f>
        <v>0.200328490541</v>
      </c>
      <c r="AR69" s="3585">
        <f>AT69*$AS$14</f>
        <v>5317.27905874</v>
      </c>
      <c r="AS69" s="1289">
        <f>IFERROR(AR69/$AR$44,0)</f>
        <v>0.00228786727782</v>
      </c>
      <c r="AT69" s="3587">
        <f>AP69*(1+$L$6)</f>
        <v>0.202331775447</v>
      </c>
      <c r="AV69" s="3585">
        <f>AX69*$AW$14</f>
        <v>5370.45184932</v>
      </c>
      <c r="AW69" s="1289">
        <f>IFERROR(AV69/$AV$44,0)</f>
        <v>0.00231074595059</v>
      </c>
      <c r="AX69" s="3587">
        <f>AT69*(1+$L$6)</f>
        <v>0.204355093201</v>
      </c>
      <c r="AZ69" s="3585">
        <f>BB69*$BA$14</f>
        <v>5424.15636782</v>
      </c>
      <c r="BA69" s="1289">
        <f>IFERROR(AZ69/$AZ$44,0)</f>
        <v>0.0023338534101</v>
      </c>
      <c r="BB69" s="3587">
        <f>AX69*(1+$L$6)</f>
        <v>0.206398644133</v>
      </c>
      <c r="BC69" s="1426" t="n"/>
      <c r="BD69" s="3585" t="n">
        <f t="array" ref="BD69">IFERROR($H69/12,0)</f>
        <v>309.4895833333333</v>
      </c>
      <c r="BE69" s="1289" t="n">
        <f t="array" ref="BE69">IFERROR($H69/$H$44,0)</f>
        <v>0.0025</v>
      </c>
      <c r="BF69" s="3587" t="n">
        <f t="array" ref="BF69">IFERROR(($H69/12)/1650,0)</f>
        <v>0.18756944444444443</v>
      </c>
    </row>
    <row r="70" s="1168" customFormat="1" ht="15" customHeight="1">
      <c r="A70" s="101" t="n"/>
      <c r="B70" s="1185" t="n"/>
      <c r="C70" s="643" t="n"/>
      <c r="D70" s="643" t="n"/>
      <c r="E70" s="3583" t="n"/>
      <c r="F70" s="1172" t="n"/>
      <c r="G70" s="1283" t="inlineStr">
        <is>
          <t xml:space="preserve">TBA Expense</t>
        </is>
      </c>
      <c r="H70" s="3586">
        <f>J70*$I$14</f>
        <v>0</v>
      </c>
      <c r="I70" s="1171">
        <f>IFERROR(H70/$H$44,0)</f>
        <v>0</v>
      </c>
      <c r="J70" s="3662">
        <v>0</v>
      </c>
      <c r="K70" s="1172" t="n"/>
      <c r="L70" s="3585">
        <f>N70*$M$14</f>
        <v>0</v>
      </c>
      <c r="M70" s="1289">
        <f>IFERROR(L70/$L$44,0)</f>
        <v>0</v>
      </c>
      <c r="N70" s="3587">
        <f>J70*(1+$L$6)</f>
        <v>0</v>
      </c>
      <c r="P70" s="3585">
        <f>R70*$Q$14</f>
        <v>0</v>
      </c>
      <c r="Q70" s="1289">
        <f>IFERROR(P70/$P$44,0)</f>
        <v>0</v>
      </c>
      <c r="R70" s="3587">
        <f>N70*(1+$L$6)</f>
        <v>0</v>
      </c>
      <c r="T70" s="3585">
        <f>V70*$U$14</f>
        <v>0</v>
      </c>
      <c r="U70" s="1289">
        <f>IFERROR(T70/$T$44,0)</f>
        <v>0</v>
      </c>
      <c r="V70" s="3587">
        <f>R70*(1+$L$6)</f>
        <v>0</v>
      </c>
      <c r="X70" s="3585">
        <f>Z70*$Y$14</f>
        <v>0</v>
      </c>
      <c r="Y70" s="1289">
        <f>IFERROR(X70/$X$44,0)</f>
        <v>0</v>
      </c>
      <c r="Z70" s="3587">
        <f>V70*(1+$L$6)</f>
        <v>0</v>
      </c>
      <c r="AB70" s="3585">
        <f>AD70*$AC$14</f>
        <v>0</v>
      </c>
      <c r="AC70" s="1289">
        <f>IFERROR(AB70/$AB$44,0)</f>
        <v>0</v>
      </c>
      <c r="AD70" s="3587">
        <f>Z70*(1+$L$6)</f>
        <v>0</v>
      </c>
      <c r="AF70" s="3585">
        <f>AH70*$AG$14</f>
        <v>0</v>
      </c>
      <c r="AG70" s="1289">
        <f>IFERROR(AF70/$AF$44,0)</f>
        <v>0</v>
      </c>
      <c r="AH70" s="3587">
        <f>AD70*(1+$L$6)</f>
        <v>0</v>
      </c>
      <c r="AJ70" s="3585">
        <f>AL70*$AK$14</f>
        <v>0</v>
      </c>
      <c r="AK70" s="1289">
        <f>IFERROR(AJ70/$AJ$44,0)</f>
        <v>0</v>
      </c>
      <c r="AL70" s="3587">
        <f>AH70*(1+$L$6)</f>
        <v>0</v>
      </c>
      <c r="AN70" s="3585">
        <f>AP70*$AO$14</f>
        <v>0</v>
      </c>
      <c r="AO70" s="1289">
        <f>IFERROR(AN70/$AN$44,0)</f>
        <v>0</v>
      </c>
      <c r="AP70" s="3587">
        <f>AL70*(1+$L$6)</f>
        <v>0</v>
      </c>
      <c r="AR70" s="3585">
        <f>AT70*$AS$14</f>
        <v>0</v>
      </c>
      <c r="AS70" s="1289">
        <f>IFERROR(AR70/$AR$44,0)</f>
        <v>0</v>
      </c>
      <c r="AT70" s="3587">
        <f>AP70*(1+$L$6)</f>
        <v>0</v>
      </c>
      <c r="AV70" s="3585">
        <f>AX70*$AW$14</f>
        <v>0</v>
      </c>
      <c r="AW70" s="1289">
        <f>IFERROR(AV70/$AV$44,0)</f>
        <v>0</v>
      </c>
      <c r="AX70" s="3587">
        <f>AT70*(1+$L$6)</f>
        <v>0</v>
      </c>
      <c r="AZ70" s="3585">
        <f>BB70*$BA$14</f>
        <v>0</v>
      </c>
      <c r="BA70" s="1289">
        <f>IFERROR(AZ70/$AZ$44,0)</f>
        <v>0</v>
      </c>
      <c r="BB70" s="3587">
        <f>AX70*(1+$L$6)</f>
        <v>0</v>
      </c>
      <c r="BD70" s="3585" t="n">
        <f t="array" ref="BD70">IFERROR($H70/12,0)</f>
        <v>0</v>
      </c>
      <c r="BE70" s="1289" t="n">
        <f t="array" ref="BE70">IFERROR($H70/$H$44,0)</f>
        <v>0</v>
      </c>
      <c r="BF70" s="3587" t="n">
        <f t="array" ref="BF70">IFERROR(($H70/12)/1650,0)</f>
        <v>0</v>
      </c>
    </row>
    <row r="71" s="1168" customFormat="1" ht="15" customHeight="1">
      <c r="A71" s="101" t="n"/>
      <c r="B71" s="1185" t="n"/>
      <c r="C71" s="643" t="n"/>
      <c r="D71" s="643" t="n"/>
      <c r="E71" s="3583" t="n"/>
      <c r="F71" s="1172" t="n"/>
      <c r="G71" s="1283" t="inlineStr">
        <is>
          <t xml:space="preserve">TBA Expense</t>
        </is>
      </c>
      <c r="H71" s="3586">
        <f>J71*$I$14</f>
        <v>0</v>
      </c>
      <c r="I71" s="1171">
        <f>IFERROR(H71/$H$44,0)</f>
        <v>0</v>
      </c>
      <c r="J71" s="3662">
        <v>0</v>
      </c>
      <c r="K71" s="1172" t="n"/>
      <c r="L71" s="3585">
        <f>N71*$M$14</f>
        <v>0</v>
      </c>
      <c r="M71" s="1289">
        <f>IFERROR(L71/$L$44,0)</f>
        <v>0</v>
      </c>
      <c r="N71" s="3587">
        <f>J71*(1+$L$6)</f>
        <v>0</v>
      </c>
      <c r="P71" s="3585">
        <f>R71*$Q$14</f>
        <v>0</v>
      </c>
      <c r="Q71" s="1289">
        <f>IFERROR(P71/$P$44,0)</f>
        <v>0</v>
      </c>
      <c r="R71" s="3587">
        <f>N71*(1+$L$6)</f>
        <v>0</v>
      </c>
      <c r="T71" s="3585">
        <f>V71*$U$14</f>
        <v>0</v>
      </c>
      <c r="U71" s="1289">
        <f>IFERROR(T71/$T$44,0)</f>
        <v>0</v>
      </c>
      <c r="V71" s="3587">
        <f>R71*(1+$L$6)</f>
        <v>0</v>
      </c>
      <c r="X71" s="3585">
        <f>Z71*$Y$14</f>
        <v>0</v>
      </c>
      <c r="Y71" s="1289">
        <f>IFERROR(X71/$X$44,0)</f>
        <v>0</v>
      </c>
      <c r="Z71" s="3587">
        <f>V71*(1+$L$6)</f>
        <v>0</v>
      </c>
      <c r="AB71" s="3585">
        <f>AD71*$AC$14</f>
        <v>0</v>
      </c>
      <c r="AC71" s="1289">
        <f>IFERROR(AB71/$AB$44,0)</f>
        <v>0</v>
      </c>
      <c r="AD71" s="3587">
        <f>Z71*(1+$L$6)</f>
        <v>0</v>
      </c>
      <c r="AF71" s="3585">
        <f>AH71*$AG$14</f>
        <v>0</v>
      </c>
      <c r="AG71" s="1289">
        <f>IFERROR(AF71/$AF$44,0)</f>
        <v>0</v>
      </c>
      <c r="AH71" s="3587">
        <f>AD71*(1+$L$6)</f>
        <v>0</v>
      </c>
      <c r="AJ71" s="3585">
        <f>AL71*$AK$14</f>
        <v>0</v>
      </c>
      <c r="AK71" s="1289">
        <f>IFERROR(AJ71/$AJ$44,0)</f>
        <v>0</v>
      </c>
      <c r="AL71" s="3587">
        <f>AH71*(1+$L$6)</f>
        <v>0</v>
      </c>
      <c r="AN71" s="3585">
        <f>AP71*$AO$14</f>
        <v>0</v>
      </c>
      <c r="AO71" s="1289">
        <f>IFERROR(AN71/$AN$44,0)</f>
        <v>0</v>
      </c>
      <c r="AP71" s="3587">
        <f>AL71*(1+$L$6)</f>
        <v>0</v>
      </c>
      <c r="AR71" s="3585">
        <f>AT71*$AS$14</f>
        <v>0</v>
      </c>
      <c r="AS71" s="1289">
        <f>IFERROR(AR71/$AR$44,0)</f>
        <v>0</v>
      </c>
      <c r="AT71" s="3587">
        <f>AP71*(1+$L$6)</f>
        <v>0</v>
      </c>
      <c r="AV71" s="3585">
        <f>AX71*$AW$14</f>
        <v>0</v>
      </c>
      <c r="AW71" s="1289">
        <f>IFERROR(AV71/$AV$44,0)</f>
        <v>0</v>
      </c>
      <c r="AX71" s="3587">
        <f>AT71*(1+$L$6)</f>
        <v>0</v>
      </c>
      <c r="AZ71" s="3585">
        <f>BB71*$BA$14</f>
        <v>0</v>
      </c>
      <c r="BA71" s="1289">
        <f>IFERROR(AZ71/$AZ$44,0)</f>
        <v>0</v>
      </c>
      <c r="BB71" s="3587">
        <f>AX71*(1+$L$6)</f>
        <v>0</v>
      </c>
      <c r="BD71" s="3585" t="n">
        <f t="array" ref="BD71">IFERROR($H71/12,0)</f>
        <v>0</v>
      </c>
      <c r="BE71" s="1289" t="n">
        <f t="array" ref="BE71">IFERROR($H71/$H$44,0)</f>
        <v>0</v>
      </c>
      <c r="BF71" s="3587" t="n">
        <f t="array" ref="BF71">IFERROR(($H71/12)/1650,0)</f>
        <v>0</v>
      </c>
    </row>
    <row r="72" s="1168" customFormat="1" ht="15.75" customHeight="1">
      <c r="A72" s="101" t="n"/>
      <c r="B72" s="1185" t="n"/>
      <c r="C72" s="643" t="n"/>
      <c r="D72" s="643" t="n"/>
      <c r="E72" s="3583" t="n"/>
      <c r="F72" s="1172" t="n"/>
      <c r="G72" s="1415" t="inlineStr">
        <is>
          <t xml:space="preserve">TBA Expense</t>
        </is>
      </c>
      <c r="H72" s="3681">
        <f>J72*$I$14</f>
        <v>0</v>
      </c>
      <c r="I72" s="1456">
        <f>IFERROR(H72/$H$44,0)</f>
        <v>0</v>
      </c>
      <c r="J72" s="3595">
        <v>0</v>
      </c>
      <c r="K72" s="1172" t="n"/>
      <c r="L72" s="3682">
        <f>N72*$M$14</f>
        <v>0</v>
      </c>
      <c r="M72" s="1307">
        <f>IFERROR(L72/$L$44,0)</f>
        <v>0</v>
      </c>
      <c r="N72" s="3598">
        <f>J72*(1+$L$6)</f>
        <v>0</v>
      </c>
      <c r="P72" s="3682">
        <f>R72*$Q$14</f>
        <v>0</v>
      </c>
      <c r="Q72" s="1307">
        <f>IFERROR(P72/$P$44,0)</f>
        <v>0</v>
      </c>
      <c r="R72" s="3598">
        <f>N72*(1+$L$6)</f>
        <v>0</v>
      </c>
      <c r="T72" s="3682">
        <f>V72*$U$14</f>
        <v>0</v>
      </c>
      <c r="U72" s="1307">
        <f>IFERROR(T72/$T$44,0)</f>
        <v>0</v>
      </c>
      <c r="V72" s="3598">
        <f>R72*(1+$L$6)</f>
        <v>0</v>
      </c>
      <c r="X72" s="3682">
        <f>Z72*$Y$14</f>
        <v>0</v>
      </c>
      <c r="Y72" s="1307">
        <f>IFERROR(X72/$X$44,0)</f>
        <v>0</v>
      </c>
      <c r="Z72" s="3598">
        <f>V72*(1+$L$6)</f>
        <v>0</v>
      </c>
      <c r="AB72" s="3682">
        <f>AD72*$AC$14</f>
        <v>0</v>
      </c>
      <c r="AC72" s="1307">
        <f>IFERROR(AB72/$AB$44,0)</f>
        <v>0</v>
      </c>
      <c r="AD72" s="3598">
        <f>Z72*(1+$L$6)</f>
        <v>0</v>
      </c>
      <c r="AF72" s="3682">
        <f>AH72*$AG$14</f>
        <v>0</v>
      </c>
      <c r="AG72" s="1307">
        <f>IFERROR(AF72/$AF$44,0)</f>
        <v>0</v>
      </c>
      <c r="AH72" s="3598">
        <f>AD72*(1+$L$6)</f>
        <v>0</v>
      </c>
      <c r="AJ72" s="3682">
        <f>AL72*$AK$14</f>
        <v>0</v>
      </c>
      <c r="AK72" s="1307">
        <f>IFERROR(AJ72/$AJ$44,0)</f>
        <v>0</v>
      </c>
      <c r="AL72" s="3598">
        <f>AH72*(1+$L$6)</f>
        <v>0</v>
      </c>
      <c r="AN72" s="3682">
        <f>AP72*$AO$14</f>
        <v>0</v>
      </c>
      <c r="AO72" s="1307">
        <f>IFERROR(AN72/$AN$44,0)</f>
        <v>0</v>
      </c>
      <c r="AP72" s="3598">
        <f>AL72*(1+$L$6)</f>
        <v>0</v>
      </c>
      <c r="AR72" s="3682">
        <f>AT72*$AS$14</f>
        <v>0</v>
      </c>
      <c r="AS72" s="1307">
        <f>IFERROR(AR72/$AR$44,0)</f>
        <v>0</v>
      </c>
      <c r="AT72" s="3598">
        <f>AP72*(1+$L$6)</f>
        <v>0</v>
      </c>
      <c r="AV72" s="3682">
        <f>AX72*$AW$14</f>
        <v>0</v>
      </c>
      <c r="AW72" s="1307">
        <f>IFERROR(AV72/$AV$44,0)</f>
        <v>0</v>
      </c>
      <c r="AX72" s="3598">
        <f>AT72*(1+$L$6)</f>
        <v>0</v>
      </c>
      <c r="AZ72" s="3682">
        <f>BB72*$BA$14</f>
        <v>0</v>
      </c>
      <c r="BA72" s="1307">
        <f>IFERROR(AZ72/$AZ$44,0)</f>
        <v>0</v>
      </c>
      <c r="BB72" s="3598">
        <f>AX72*(1+$L$6)</f>
        <v>0</v>
      </c>
      <c r="BD72" s="3682" t="n">
        <f t="array" ref="BD72">IFERROR($H72/12,0)</f>
        <v>0</v>
      </c>
      <c r="BE72" s="1307" t="n">
        <f t="array" ref="BE72">IFERROR($H72/$H$44,0)</f>
        <v>0</v>
      </c>
      <c r="BF72" s="3598" t="n">
        <f t="array" ref="BF72">IFERROR(($H72/12)/1650,0)</f>
        <v>0</v>
      </c>
    </row>
    <row r="73" s="1168" customFormat="1" ht="13.5" customHeight="1">
      <c r="A73" s="101" t="n"/>
      <c r="B73" s="1185" t="n"/>
      <c r="E73" s="3583" t="n"/>
      <c r="F73" s="1172" t="n"/>
      <c r="G73" s="1458" t="inlineStr">
        <is>
          <t xml:space="preserve">Total Room Expenses</t>
        </is>
      </c>
      <c r="H73" s="3601">
        <f>SUM(H49:H72)</f>
        <v>385610.22</v>
      </c>
      <c r="I73" s="1316">
        <f>SUM(I49:I72)</f>
        <v>0.259574043284</v>
      </c>
      <c r="J73" s="3602">
        <f>SUM(J49:J72)</f>
        <v>19.208479203</v>
      </c>
      <c r="K73" s="1172" t="n"/>
      <c r="L73" s="3603">
        <f>SUM(L49:L72)</f>
        <v>460278.380782</v>
      </c>
      <c r="M73" s="1319">
        <f>SUM(M49:M72)</f>
        <v>0.257029199722</v>
      </c>
      <c r="N73" s="3683">
        <f>SUM(N49:N72)</f>
        <v>19.400563995</v>
      </c>
      <c r="P73" s="3603">
        <f>SUM(P49:P72)</f>
        <v>514945.290007</v>
      </c>
      <c r="Q73" s="1319">
        <f>SUM(Q49:Q72)</f>
        <v>0.254509305607</v>
      </c>
      <c r="R73" s="3683">
        <f>SUM(R49:R72)</f>
        <v>19.594569635</v>
      </c>
      <c r="T73" s="3603">
        <f>SUM(T49:T72)</f>
        <v>520094.742907</v>
      </c>
      <c r="U73" s="1319">
        <f>SUM(U49:U72)</f>
        <v>0.252014116336</v>
      </c>
      <c r="V73" s="3683">
        <f>SUM(V49:V72)</f>
        <v>19.7905153313</v>
      </c>
      <c r="X73" s="3603">
        <f>SUM(X49:X72)</f>
        <v>525295.690336</v>
      </c>
      <c r="Y73" s="1319">
        <f>SUM(Y49:Y72)</f>
        <v>0.249543389706</v>
      </c>
      <c r="Z73" s="3683">
        <f>SUM(Z49:Z72)</f>
        <v>19.9884204846</v>
      </c>
      <c r="AB73" s="3603">
        <f>SUM(AB49:AB72)</f>
        <v>530548.647239</v>
      </c>
      <c r="AC73" s="1319">
        <f>SUM(AC49:AC72)</f>
        <v>0.247096885885</v>
      </c>
      <c r="AD73" s="3683">
        <f>SUM(AD49:AD72)</f>
        <v>20.1883046895</v>
      </c>
      <c r="AF73" s="3603">
        <f>SUM(AF49:AF72)</f>
        <v>535854.133712</v>
      </c>
      <c r="AG73" s="1319">
        <f>SUM(AG49:AG72)</f>
        <v>0.244674367396</v>
      </c>
      <c r="AH73" s="3683">
        <f>SUM(AH49:AH72)</f>
        <v>20.3901877364</v>
      </c>
      <c r="AJ73" s="3603">
        <f>SUM(AJ49:AJ72)</f>
        <v>541212.675049</v>
      </c>
      <c r="AK73" s="1319">
        <f>SUM(AK49:AK72)</f>
        <v>0.242275599088</v>
      </c>
      <c r="AL73" s="3683">
        <f>SUM(AL49:AL72)</f>
        <v>20.5940896137</v>
      </c>
      <c r="AN73" s="3603">
        <f>SUM(AN49:AN72)</f>
        <v>546624.801799</v>
      </c>
      <c r="AO73" s="1319">
        <f>SUM(AO49:AO72)</f>
        <v>0.239900348117</v>
      </c>
      <c r="AP73" s="3683">
        <f>SUM(AP49:AP72)</f>
        <v>20.8000305099</v>
      </c>
      <c r="AR73" s="3603">
        <f>SUM(AR49:AR72)</f>
        <v>552091.049817</v>
      </c>
      <c r="AS73" s="1319">
        <f>SUM(AS49:AS72)</f>
        <v>0.23754838392</v>
      </c>
      <c r="AT73" s="3683">
        <f>SUM(AT49:AT72)</f>
        <v>21.008030815</v>
      </c>
      <c r="AV73" s="3603">
        <f>SUM(AV49:AV72)</f>
        <v>557611.960316</v>
      </c>
      <c r="AW73" s="1319">
        <f>SUM(AW49:AW72)</f>
        <v>0.239923867759</v>
      </c>
      <c r="AX73" s="3683">
        <f>SUM(AX49:AX72)</f>
        <v>21.2181111231</v>
      </c>
      <c r="AZ73" s="3603">
        <f>SUM(AZ49:AZ72)</f>
        <v>563188.079919</v>
      </c>
      <c r="BA73" s="1319">
        <f>SUM(BA49:BA72)</f>
        <v>0.242323106436</v>
      </c>
      <c r="BB73" s="3683">
        <f>SUM(BB49:BB72)</f>
        <v>21.4302922344</v>
      </c>
      <c r="BD73" s="3603" t="n">
        <f t="array" ref="BD73">IFERROR($H73/12,0)</f>
        <v>32134.184999999998</v>
      </c>
      <c r="BE73" s="1319">
        <f>H73+L73+P73+T73+X73+AB73+AF73+AJ73+AN73+AR73+AV73+AZ73</f>
        <v>6233355.67188</v>
      </c>
      <c r="BF73" s="3683">
        <f>IFERROR(BE73/BE14,0)</f>
        <v>20.3305794908</v>
      </c>
    </row>
    <row r="74" s="1168" customFormat="1" ht="15.75" customHeight="1">
      <c r="A74" s="101" t="n"/>
      <c r="B74" s="1185" t="n"/>
      <c r="E74" s="3583" t="n"/>
      <c r="F74" s="1172" t="n"/>
      <c r="H74" s="3571" t="n"/>
      <c r="I74" s="1460" t="n"/>
      <c r="J74" s="3565" t="n"/>
      <c r="K74" s="1172" t="n"/>
      <c r="L74" s="3566" t="n"/>
      <c r="M74" s="1269" t="n"/>
      <c r="N74" s="1460" t="n"/>
      <c r="P74" s="3571" t="n"/>
      <c r="Q74" s="1460" t="n"/>
      <c r="R74" s="3570" t="n"/>
      <c r="T74" s="3571" t="n"/>
      <c r="U74" s="1269" t="n"/>
      <c r="V74" s="3570" t="n"/>
      <c r="X74" s="3571" t="n"/>
      <c r="Y74" s="1269" t="n"/>
      <c r="Z74" s="3570" t="n"/>
      <c r="AB74" s="3571" t="n"/>
      <c r="AC74" s="1269" t="n"/>
      <c r="AD74" s="3570" t="n"/>
      <c r="AF74" s="3571" t="n"/>
      <c r="AG74" s="1269" t="n"/>
      <c r="AH74" s="3570" t="n"/>
      <c r="AJ74" s="3571" t="n"/>
      <c r="AK74" s="1269" t="n"/>
      <c r="AL74" s="3570" t="n"/>
      <c r="AN74" s="3571" t="n"/>
      <c r="AO74" s="1269" t="n"/>
      <c r="AP74" s="3570" t="n"/>
      <c r="AR74" s="3571" t="n"/>
      <c r="AS74" s="1269" t="n"/>
      <c r="AT74" s="3570" t="n"/>
      <c r="AV74" s="3571" t="n"/>
      <c r="AW74" s="1269" t="n"/>
      <c r="AX74" s="3570" t="n"/>
      <c r="AZ74" s="3571" t="n"/>
      <c r="BA74" s="1269" t="n"/>
      <c r="BB74" s="3570" t="n"/>
      <c r="BD74" s="3571" t="n"/>
      <c r="BE74" s="1269" t="n"/>
      <c r="BF74" s="3570" t="n"/>
    </row>
    <row r="75" s="1168" customFormat="1" ht="15" customHeight="1">
      <c r="A75" s="101" t="n"/>
      <c r="B75" s="1185" t="n"/>
      <c r="E75" s="3583" t="n"/>
      <c r="F75" s="1172" t="n"/>
      <c r="G75" s="1272" t="inlineStr">
        <is>
          <t xml:space="preserve">Telephone Expense</t>
        </is>
      </c>
      <c r="H75" s="3572" t="n"/>
      <c r="I75" s="1323" t="n"/>
      <c r="J75" s="3574" t="n"/>
      <c r="K75" s="1172" t="n"/>
      <c r="L75" s="3572" t="n"/>
      <c r="M75" s="1323" t="n"/>
      <c r="N75" s="3574" t="n"/>
      <c r="P75" s="3572" t="n"/>
      <c r="Q75" s="1323" t="n"/>
      <c r="R75" s="3574" t="n"/>
      <c r="T75" s="3572" t="n"/>
      <c r="U75" s="1323" t="n"/>
      <c r="V75" s="3574" t="n"/>
      <c r="X75" s="3572" t="n"/>
      <c r="Y75" s="1323" t="n"/>
      <c r="Z75" s="3574" t="n"/>
      <c r="AB75" s="3572" t="n"/>
      <c r="AC75" s="1323" t="n"/>
      <c r="AD75" s="3574" t="n"/>
      <c r="AF75" s="3572" t="n"/>
      <c r="AG75" s="1323" t="n"/>
      <c r="AH75" s="3574" t="n"/>
      <c r="AJ75" s="3572" t="n"/>
      <c r="AK75" s="1323" t="n"/>
      <c r="AL75" s="3574" t="n"/>
      <c r="AN75" s="3572" t="n"/>
      <c r="AO75" s="1323" t="n"/>
      <c r="AP75" s="3574" t="n"/>
      <c r="AR75" s="3572" t="n"/>
      <c r="AS75" s="1323" t="n"/>
      <c r="AT75" s="3574" t="n"/>
      <c r="AV75" s="3572" t="n"/>
      <c r="AW75" s="1323" t="n"/>
      <c r="AX75" s="3574" t="n"/>
      <c r="AZ75" s="3572" t="n"/>
      <c r="BA75" s="1323" t="n"/>
      <c r="BB75" s="3684" t="n"/>
      <c r="BD75" s="3580" t="n"/>
      <c r="BE75" s="1323" t="n"/>
      <c r="BF75" s="3574" t="n"/>
    </row>
    <row r="76" s="1168" customFormat="1" ht="15" customHeight="1">
      <c r="A76" s="101" t="n"/>
      <c r="B76" s="1185" t="n"/>
      <c r="E76" s="3623" t="n"/>
      <c r="F76" s="1172" t="n"/>
      <c r="G76" s="1325" t="inlineStr">
        <is>
          <t xml:space="preserve">Telephone Expense - Other</t>
        </is>
      </c>
      <c r="H76" s="3620">
        <f>J76*$I$14</f>
        <v>0</v>
      </c>
      <c r="I76" s="1429">
        <f>IFERROR(H76/$H$44,0)</f>
        <v>0</v>
      </c>
      <c r="J76" s="3667">
        <v>0</v>
      </c>
      <c r="K76" s="1172" t="n"/>
      <c r="L76" s="3620">
        <f>N76*$M$14</f>
        <v>0</v>
      </c>
      <c r="M76" s="1429">
        <f>IFERROR(L76/$L$44,0)</f>
        <v>0</v>
      </c>
      <c r="N76" s="3667">
        <f>J76*(1+$L$6)</f>
        <v>0</v>
      </c>
      <c r="P76" s="3620">
        <f>R76*$Q$14</f>
        <v>0</v>
      </c>
      <c r="Q76" s="1429">
        <f>IFERROR(P76/$P$44,0)</f>
        <v>0</v>
      </c>
      <c r="R76" s="3667">
        <f>N76*(1+$L$6)</f>
        <v>0</v>
      </c>
      <c r="T76" s="3620">
        <f>V76*$U$14</f>
        <v>0</v>
      </c>
      <c r="U76" s="1429">
        <f>IFERROR(T76/$T$44,0)</f>
        <v>0</v>
      </c>
      <c r="V76" s="3667">
        <f>R76*(1+$L$6)</f>
        <v>0</v>
      </c>
      <c r="X76" s="3620">
        <f>Z76*$Y$14</f>
        <v>0</v>
      </c>
      <c r="Y76" s="1429">
        <f>IFERROR(X76/$X$44,0)</f>
        <v>0</v>
      </c>
      <c r="Z76" s="3667">
        <f>V76*(1+$L$6)</f>
        <v>0</v>
      </c>
      <c r="AB76" s="3620">
        <f>AD76*$AC$14</f>
        <v>0</v>
      </c>
      <c r="AC76" s="1429">
        <f>IFERROR(AB76/$AB$44,0)</f>
        <v>0</v>
      </c>
      <c r="AD76" s="3667">
        <f>Z76*(1+$L$6)</f>
        <v>0</v>
      </c>
      <c r="AF76" s="3620">
        <f>AH76*$AG$14</f>
        <v>0</v>
      </c>
      <c r="AG76" s="1429">
        <f>IFERROR(AF76/$AF$44,0)</f>
        <v>0</v>
      </c>
      <c r="AH76" s="3667">
        <f>AD76*(1+$L$6)</f>
        <v>0</v>
      </c>
      <c r="AJ76" s="3620">
        <f>AL76*$AK$14</f>
        <v>0</v>
      </c>
      <c r="AK76" s="1429">
        <f>IFERROR(AJ76/$AJ$44,0)</f>
        <v>0</v>
      </c>
      <c r="AL76" s="3667">
        <f>AH76*(1+$L$6)</f>
        <v>0</v>
      </c>
      <c r="AN76" s="3620">
        <f>AP76*$AO$14</f>
        <v>0</v>
      </c>
      <c r="AO76" s="1429">
        <f>IFERROR(AN76/$AN$44,0)</f>
        <v>0</v>
      </c>
      <c r="AP76" s="3667">
        <f>AL76*(1+$L$6)</f>
        <v>0</v>
      </c>
      <c r="AR76" s="3620">
        <f>AT76*$AS$14</f>
        <v>0</v>
      </c>
      <c r="AS76" s="1429">
        <f>IFERROR(AR76/$AR$44,0)</f>
        <v>0</v>
      </c>
      <c r="AT76" s="3667">
        <f>AP76*(1+$L$6)</f>
        <v>0</v>
      </c>
      <c r="AV76" s="3620">
        <f>AX76*$AW$14</f>
        <v>0</v>
      </c>
      <c r="AW76" s="1429">
        <f>IFERROR(AV76/$AV$44,0)</f>
        <v>0</v>
      </c>
      <c r="AX76" s="3667">
        <f>AT76*(1+$L$6)</f>
        <v>0</v>
      </c>
      <c r="AZ76" s="3620">
        <f>BB76*$BA$14</f>
        <v>0</v>
      </c>
      <c r="BA76" s="1429">
        <f>IFERROR(AZ76/$AZ$44,0)</f>
        <v>0</v>
      </c>
      <c r="BB76" s="3685">
        <f>AX76*(1+$L$6)</f>
        <v>0</v>
      </c>
      <c r="BD76" s="3376" t="n">
        <f t="array" ref="BD76">IFERROR($H76/12,0)</f>
        <v>0</v>
      </c>
      <c r="BE76" s="1429" t="n">
        <f t="array" ref="BE76">IFERROR($H76/$H$44,0)</f>
        <v>0</v>
      </c>
      <c r="BF76" s="3667" t="n">
        <f t="array" ref="BF76">IFERROR(($H76/12)/1650,0)</f>
        <v>0</v>
      </c>
    </row>
    <row r="77" s="1168" customFormat="1" ht="15" customHeight="1">
      <c r="E77" s="3668" t="n">
        <v>1000</v>
      </c>
      <c r="F77" s="1172" t="n"/>
      <c r="G77" s="1433" t="inlineStr">
        <is>
          <t xml:space="preserve">Cost of Internet Service</t>
        </is>
      </c>
      <c r="H77" s="3641">
        <f>J77*$I$14</f>
        <v>12000</v>
      </c>
      <c r="I77" s="1378">
        <f>IFERROR(H77/$H$44,0)</f>
        <v>0.00807781629699</v>
      </c>
      <c r="J77" s="3669">
        <v>0.597758405978</v>
      </c>
      <c r="K77" s="1172" t="n"/>
      <c r="L77" s="3641">
        <f>N77*$M$14</f>
        <v>14323.6363636</v>
      </c>
      <c r="M77" s="1378">
        <f>IFERROR(L77/$L$44,0)</f>
        <v>0.00799862201957</v>
      </c>
      <c r="N77" s="3669">
        <f>J77*(1+$L$6)</f>
        <v>0.603735990037</v>
      </c>
      <c r="P77" s="3641">
        <f>R77*$Q$14</f>
        <v>16024.8436364</v>
      </c>
      <c r="Q77" s="1378">
        <f>IFERROR(P77/$P$44,0)</f>
        <v>0.00792020415664</v>
      </c>
      <c r="R77" s="3669">
        <f>N77*(1+$L$6)</f>
        <v>0.609773349938</v>
      </c>
      <c r="T77" s="3641">
        <f>V77*$U$14</f>
        <v>16185.0920727</v>
      </c>
      <c r="U77" s="1378">
        <f>IFERROR(T77/$T$44,0)</f>
        <v>0.00784255509628</v>
      </c>
      <c r="V77" s="3669">
        <f>R77*(1+$L$6)</f>
        <v>0.615871083437</v>
      </c>
      <c r="X77" s="3641">
        <f>Z77*$Y$14</f>
        <v>16346.9429935</v>
      </c>
      <c r="Y77" s="1378">
        <f>IFERROR(X77/$X$44,0)</f>
        <v>0.00776566730122</v>
      </c>
      <c r="Z77" s="3669">
        <f>V77*(1+$L$6)</f>
        <v>0.622029794271</v>
      </c>
      <c r="AB77" s="3641">
        <f>AD77*$AC$14</f>
        <v>16510.4124234</v>
      </c>
      <c r="AC77" s="1378">
        <f>IFERROR(AB77/$AB$44,0)</f>
        <v>0.00768953330807</v>
      </c>
      <c r="AD77" s="3669">
        <f>Z77*(1+$L$6)</f>
        <v>0.628250092214</v>
      </c>
      <c r="AF77" s="3641">
        <f>AH77*$AG$14</f>
        <v>16675.5165476</v>
      </c>
      <c r="AG77" s="1378">
        <f>IFERROR(AF77/$AF$44,0)</f>
        <v>0.00761414572661</v>
      </c>
      <c r="AH77" s="3669">
        <f>AD77*(1+$L$6)</f>
        <v>0.634532593136</v>
      </c>
      <c r="AJ77" s="3641">
        <f>AL77*$AK$14</f>
        <v>16842.2717131</v>
      </c>
      <c r="AK77" s="1378">
        <f>IFERROR(AJ77/$AJ$44,0)</f>
        <v>0.0075394972391</v>
      </c>
      <c r="AL77" s="3669">
        <f>AH77*(1+$L$6)</f>
        <v>0.640877919068</v>
      </c>
      <c r="AN77" s="3641">
        <f>AP77*$AO$14</f>
        <v>17010.6944302</v>
      </c>
      <c r="AO77" s="1378">
        <f>IFERROR(AN77/$AN$44,0)</f>
        <v>0.0074655805995</v>
      </c>
      <c r="AP77" s="3669">
        <f>AL77*(1+$L$6)</f>
        <v>0.647286698258</v>
      </c>
      <c r="AR77" s="3641">
        <f>AT77*$AS$14</f>
        <v>17180.8013745</v>
      </c>
      <c r="AS77" s="1378">
        <f>IFERROR(AR77/$AR$44,0)</f>
        <v>0.00739238863284</v>
      </c>
      <c r="AT77" s="3669">
        <f>AP77*(1+$L$6)</f>
        <v>0.653759565241</v>
      </c>
      <c r="AV77" s="3641">
        <f>AX77*$AW$14</f>
        <v>17352.6093883</v>
      </c>
      <c r="AW77" s="1378">
        <f>IFERROR(AV77/$AV$44,0)</f>
        <v>0.00746631251917</v>
      </c>
      <c r="AX77" s="3669">
        <f>AT77*(1+$L$6)</f>
        <v>0.660297160893</v>
      </c>
      <c r="AZ77" s="3641">
        <f>BB77*$BA$14</f>
        <v>17526.1354822</v>
      </c>
      <c r="BA77" s="1378">
        <f>IFERROR(AZ77/$AZ$44,0)</f>
        <v>0.00754097564436</v>
      </c>
      <c r="BB77" s="3686">
        <f>AX77*(1+$L$6)</f>
        <v>0.666900132502</v>
      </c>
      <c r="BD77" s="3644" t="n">
        <f t="array" ref="BD77">IFERROR($H77/12,0)</f>
        <v>1000</v>
      </c>
      <c r="BE77" s="1378" t="n">
        <f t="array" ref="BE77">IFERROR($H77/$H$44,0)</f>
        <v>0.008077816296994379</v>
      </c>
      <c r="BF77" s="3669" t="n">
        <f t="array" ref="BF77">IFERROR(($H77/12)/1650,0)</f>
        <v>0.6060606060606061</v>
      </c>
    </row>
    <row r="78" s="1168" customFormat="1" ht="15" customHeight="1">
      <c r="E78" s="3668" t="n">
        <v>650</v>
      </c>
      <c r="F78" s="1172" t="n"/>
      <c r="G78" s="1433" t="inlineStr">
        <is>
          <t xml:space="preserve">Local /  LD Telephone Service</t>
        </is>
      </c>
      <c r="H78" s="3638">
        <f>J78*$I$14</f>
        <v>7800</v>
      </c>
      <c r="I78" s="1378">
        <f>IFERROR(H78/$H$44,0)</f>
        <v>0.00525058059305</v>
      </c>
      <c r="J78" s="3669">
        <v>0.388542963885</v>
      </c>
      <c r="K78" s="1172" t="n"/>
      <c r="L78" s="3638">
        <f>N78*$M$14</f>
        <v>9310.36363636</v>
      </c>
      <c r="M78" s="1378">
        <f>IFERROR(L78/$L$44,0)</f>
        <v>0.00519910431272</v>
      </c>
      <c r="N78" s="3669">
        <f>J78*(1+$L$6)</f>
        <v>0.392428393524</v>
      </c>
      <c r="P78" s="3638">
        <f>R78*$Q$14</f>
        <v>10416.1483636</v>
      </c>
      <c r="Q78" s="1378">
        <f>IFERROR(P78/$P$44,0)</f>
        <v>0.00514813270181</v>
      </c>
      <c r="R78" s="3669">
        <f>N78*(1+$L$6)</f>
        <v>0.39635267746</v>
      </c>
      <c r="T78" s="3638">
        <f>V78*$U$14</f>
        <v>10520.3098473</v>
      </c>
      <c r="U78" s="1378">
        <f>IFERROR(T78/$T$44,0)</f>
        <v>0.00509766081258</v>
      </c>
      <c r="V78" s="3669">
        <f>R78*(1+$L$6)</f>
        <v>0.400316204234</v>
      </c>
      <c r="X78" s="3638">
        <f>Z78*$Y$14</f>
        <v>10625.5129457</v>
      </c>
      <c r="Y78" s="1378">
        <f>IFERROR(X78/$X$44,0)</f>
        <v>0.00504768374579</v>
      </c>
      <c r="Z78" s="3669">
        <f>V78*(1+$L$6)</f>
        <v>0.404319366276</v>
      </c>
      <c r="AB78" s="3638">
        <f>AD78*$AC$14</f>
        <v>10731.7680752</v>
      </c>
      <c r="AC78" s="1378">
        <f>IFERROR(AB78/$AB$44,0)</f>
        <v>0.00499819665024</v>
      </c>
      <c r="AD78" s="3669">
        <f>Z78*(1+$L$6)</f>
        <v>0.408362559939</v>
      </c>
      <c r="AF78" s="3638">
        <f>AH78*$AG$14</f>
        <v>10839.085756</v>
      </c>
      <c r="AG78" s="1378">
        <f>IFERROR(AF78/$AF$44,0)</f>
        <v>0.0049491947223</v>
      </c>
      <c r="AH78" s="3669">
        <f>AD78*(1+$L$6)</f>
        <v>0.412446185539</v>
      </c>
      <c r="AJ78" s="3638">
        <f>AL78*$AK$14</f>
        <v>10947.4766135</v>
      </c>
      <c r="AK78" s="1378">
        <f>IFERROR(AJ78/$AJ$44,0)</f>
        <v>0.00490067320541</v>
      </c>
      <c r="AL78" s="3669">
        <f>AH78*(1+$L$6)</f>
        <v>0.416570647394</v>
      </c>
      <c r="AN78" s="3638">
        <f>AP78*$AO$14</f>
        <v>11056.9513796</v>
      </c>
      <c r="AO78" s="1378">
        <f>IFERROR(AN78/$AN$44,0)</f>
        <v>0.00485262738967</v>
      </c>
      <c r="AP78" s="3669">
        <f>AL78*(1+$L$6)</f>
        <v>0.420736353868</v>
      </c>
      <c r="AR78" s="3638">
        <f>AT78*$AS$14</f>
        <v>11167.5208934</v>
      </c>
      <c r="AS78" s="1378">
        <f>IFERROR(AR78/$AR$44,0)</f>
        <v>0.00480505261134</v>
      </c>
      <c r="AT78" s="3669">
        <f>AP78*(1+$L$6)</f>
        <v>0.424943717407</v>
      </c>
      <c r="AV78" s="3638">
        <f>AX78*$AW$14</f>
        <v>11279.1961024</v>
      </c>
      <c r="AW78" s="1378">
        <f>IFERROR(AV78/$AV$44,0)</f>
        <v>0.00485310313746</v>
      </c>
      <c r="AX78" s="3669">
        <f>AT78*(1+$L$6)</f>
        <v>0.429193154581</v>
      </c>
      <c r="AZ78" s="3638">
        <f>BB78*$BA$14</f>
        <v>11391.9880634</v>
      </c>
      <c r="BA78" s="1378">
        <f>IFERROR(AZ78/$AZ$44,0)</f>
        <v>0.00490163416883</v>
      </c>
      <c r="BB78" s="3686">
        <f>AX78*(1+$L$6)</f>
        <v>0.433485086126</v>
      </c>
      <c r="BD78" s="3687" t="n">
        <f t="array" ref="BD78">IFERROR($H78/12,0)</f>
        <v>650</v>
      </c>
      <c r="BE78" s="1378" t="n">
        <f t="array" ref="BE78">IFERROR($H78/$H$44,0)</f>
        <v>0.005250580593046347</v>
      </c>
      <c r="BF78" s="3669" t="n">
        <f t="array" ref="BF78">IFERROR(($H78/12)/1650,0)</f>
        <v>0.3939393939393939</v>
      </c>
    </row>
    <row r="79" s="1168" customFormat="1" ht="15" customHeight="1">
      <c r="E79" s="3677" t="n"/>
      <c r="F79" s="1172" t="n"/>
      <c r="G79" s="1376" t="inlineStr">
        <is>
          <t xml:space="preserve">TBA Expense</t>
        </is>
      </c>
      <c r="H79" s="3678">
        <f>J79*$I$14</f>
        <v>0</v>
      </c>
      <c r="I79" s="1465">
        <f>IFERROR(H79/$H$44,0)</f>
        <v>0</v>
      </c>
      <c r="J79" s="3562">
        <v>0</v>
      </c>
      <c r="K79" s="1172" t="n"/>
      <c r="L79" s="3678">
        <f>N79*$M$14</f>
        <v>0</v>
      </c>
      <c r="M79" s="1465">
        <f>IFERROR(L79/$L$44,0)</f>
        <v>0</v>
      </c>
      <c r="N79" s="3562">
        <f>J79*(1+$L$6)</f>
        <v>0</v>
      </c>
      <c r="P79" s="3678">
        <f>R79*$Q$14</f>
        <v>0</v>
      </c>
      <c r="Q79" s="1465">
        <f>IFERROR(P79/$P$44,0)</f>
        <v>0</v>
      </c>
      <c r="R79" s="3562">
        <f>N79*(1+$L$6)</f>
        <v>0</v>
      </c>
      <c r="T79" s="3678">
        <f>V79*$U$14</f>
        <v>0</v>
      </c>
      <c r="U79" s="1465">
        <f>IFERROR(T79/$T$44,0)</f>
        <v>0</v>
      </c>
      <c r="V79" s="3562">
        <f>R79*(1+$L$6)</f>
        <v>0</v>
      </c>
      <c r="X79" s="3678">
        <f>Z79*$Y$14</f>
        <v>0</v>
      </c>
      <c r="Y79" s="1465">
        <f>IFERROR(X79/$X$44,0)</f>
        <v>0</v>
      </c>
      <c r="Z79" s="3562">
        <f>V79*(1+$L$6)</f>
        <v>0</v>
      </c>
      <c r="AB79" s="3678">
        <f>AD79*$AC$14</f>
        <v>0</v>
      </c>
      <c r="AC79" s="1465">
        <f>IFERROR(AB79/$AB$44,0)</f>
        <v>0</v>
      </c>
      <c r="AD79" s="3562">
        <f>Z79*(1+$L$6)</f>
        <v>0</v>
      </c>
      <c r="AF79" s="3678">
        <f>AH79*$AG$14</f>
        <v>0</v>
      </c>
      <c r="AG79" s="1465">
        <f>IFERROR(AF79/$AF$44,0)</f>
        <v>0</v>
      </c>
      <c r="AH79" s="3562">
        <f>AD79*(1+$L$6)</f>
        <v>0</v>
      </c>
      <c r="AJ79" s="3678">
        <f>AL79*$AK$14</f>
        <v>0</v>
      </c>
      <c r="AK79" s="1465">
        <f>IFERROR(AJ79/$AJ$44,0)</f>
        <v>0</v>
      </c>
      <c r="AL79" s="3562">
        <f>AH79*(1+$L$6)</f>
        <v>0</v>
      </c>
      <c r="AN79" s="3678">
        <f>AP79*$AO$14</f>
        <v>0</v>
      </c>
      <c r="AO79" s="1465">
        <f>IFERROR(AN79/$AN$44,0)</f>
        <v>0</v>
      </c>
      <c r="AP79" s="3562">
        <f>AL79*(1+$L$6)</f>
        <v>0</v>
      </c>
      <c r="AR79" s="3678">
        <f>AT79*$AS$14</f>
        <v>0</v>
      </c>
      <c r="AS79" s="1465">
        <f>IFERROR(AR79/$AR$44,0)</f>
        <v>0</v>
      </c>
      <c r="AT79" s="3562">
        <f>AP79*(1+$L$6)</f>
        <v>0</v>
      </c>
      <c r="AV79" s="3678">
        <f>AX79*$AW$14</f>
        <v>0</v>
      </c>
      <c r="AW79" s="1465">
        <f>IFERROR(AV79/$AV$44,0)</f>
        <v>0</v>
      </c>
      <c r="AX79" s="3562">
        <f>AT79*(1+$L$6)</f>
        <v>0</v>
      </c>
      <c r="AZ79" s="3678">
        <f>BB79*$BA$14</f>
        <v>0</v>
      </c>
      <c r="BA79" s="1465">
        <f>IFERROR(AZ79/$AZ$44,0)</f>
        <v>0</v>
      </c>
      <c r="BB79" s="3688">
        <f>AX79*(1+$L$6)</f>
        <v>0</v>
      </c>
      <c r="BD79" s="3689" t="n">
        <f t="array" ref="BD79">IFERROR($H79/12,0)</f>
        <v>0</v>
      </c>
      <c r="BE79" s="1465" t="n">
        <f t="array" ref="BE79">IFERROR($H79/$H$44,0)</f>
        <v>0</v>
      </c>
      <c r="BF79" s="3562" t="n">
        <f t="array" ref="BF79">IFERROR(($H79/12)/1650,0)</f>
        <v>0</v>
      </c>
    </row>
    <row r="80" s="1168" customFormat="1" ht="15" customHeight="1">
      <c r="E80" s="3583" t="n"/>
      <c r="F80" s="1172" t="n"/>
      <c r="G80" s="1283" t="inlineStr">
        <is>
          <t xml:space="preserve">TBA Expense</t>
        </is>
      </c>
      <c r="H80" s="3586">
        <f>J80*$I$14</f>
        <v>0</v>
      </c>
      <c r="I80" s="1292">
        <f>IFERROR(H80/$H$44,0)</f>
        <v>0</v>
      </c>
      <c r="J80" s="3662">
        <v>0</v>
      </c>
      <c r="K80" s="1172" t="n"/>
      <c r="L80" s="3586">
        <f>N80*$M$14</f>
        <v>0</v>
      </c>
      <c r="M80" s="1292">
        <f>IFERROR(L80/$L$44,0)</f>
        <v>0</v>
      </c>
      <c r="N80" s="3662">
        <f>J80*(1+$L$6)</f>
        <v>0</v>
      </c>
      <c r="P80" s="3586">
        <f>R80*$Q$14</f>
        <v>0</v>
      </c>
      <c r="Q80" s="1292">
        <f>IFERROR(P80/$P$44,0)</f>
        <v>0</v>
      </c>
      <c r="R80" s="3662">
        <f>N80*(1+$L$6)</f>
        <v>0</v>
      </c>
      <c r="T80" s="3586">
        <f>V80*$U$14</f>
        <v>0</v>
      </c>
      <c r="U80" s="1292">
        <f>IFERROR(T80/$T$44,0)</f>
        <v>0</v>
      </c>
      <c r="V80" s="3662">
        <f>R80*(1+$L$6)</f>
        <v>0</v>
      </c>
      <c r="X80" s="3586">
        <f>Z80*$Y$14</f>
        <v>0</v>
      </c>
      <c r="Y80" s="1292">
        <f>IFERROR(X80/$X$44,0)</f>
        <v>0</v>
      </c>
      <c r="Z80" s="3662">
        <f>V80*(1+$L$6)</f>
        <v>0</v>
      </c>
      <c r="AB80" s="3586">
        <f>AD80*$AC$14</f>
        <v>0</v>
      </c>
      <c r="AC80" s="1292">
        <f>IFERROR(AB80/$AB$44,0)</f>
        <v>0</v>
      </c>
      <c r="AD80" s="3662">
        <f>Z80*(1+$L$6)</f>
        <v>0</v>
      </c>
      <c r="AF80" s="3586">
        <f>AH80*$AG$14</f>
        <v>0</v>
      </c>
      <c r="AG80" s="1292">
        <f>IFERROR(AF80/$AF$44,0)</f>
        <v>0</v>
      </c>
      <c r="AH80" s="3662">
        <f>AD80*(1+$L$6)</f>
        <v>0</v>
      </c>
      <c r="AJ80" s="3586">
        <f>AL80*$AK$14</f>
        <v>0</v>
      </c>
      <c r="AK80" s="1292">
        <f>IFERROR(AJ80/$AJ$44,0)</f>
        <v>0</v>
      </c>
      <c r="AL80" s="3662">
        <f>AH80*(1+$L$6)</f>
        <v>0</v>
      </c>
      <c r="AN80" s="3586">
        <f>AP80*$AO$14</f>
        <v>0</v>
      </c>
      <c r="AO80" s="1292">
        <f>IFERROR(AN80/$AN$44,0)</f>
        <v>0</v>
      </c>
      <c r="AP80" s="3662">
        <f>AL80*(1+$L$6)</f>
        <v>0</v>
      </c>
      <c r="AR80" s="3586">
        <f>AT80*$AS$14</f>
        <v>0</v>
      </c>
      <c r="AS80" s="1292">
        <f>IFERROR(AR80/$AR$44,0)</f>
        <v>0</v>
      </c>
      <c r="AT80" s="3662">
        <f>AP80*(1+$L$6)</f>
        <v>0</v>
      </c>
      <c r="AV80" s="3586">
        <f>AX80*$AW$14</f>
        <v>0</v>
      </c>
      <c r="AW80" s="1292">
        <f>IFERROR(AV80/$AV$44,0)</f>
        <v>0</v>
      </c>
      <c r="AX80" s="3662">
        <f>AT80*(1+$L$6)</f>
        <v>0</v>
      </c>
      <c r="AZ80" s="3586">
        <f>BB80*$BA$14</f>
        <v>0</v>
      </c>
      <c r="BA80" s="1292">
        <f>IFERROR(AZ80/$AZ$44,0)</f>
        <v>0</v>
      </c>
      <c r="BB80" s="3690">
        <f>AX80*(1+$L$6)</f>
        <v>0</v>
      </c>
      <c r="BD80" s="3373" t="n">
        <f t="array" ref="BD80">IFERROR($H80/12,0)</f>
        <v>0</v>
      </c>
      <c r="BE80" s="1292" t="n">
        <f t="array" ref="BE80">IFERROR($H80/$H$44,0)</f>
        <v>0</v>
      </c>
      <c r="BF80" s="3662" t="n">
        <f t="array" ref="BF80">IFERROR(($H80/12)/1650,0)</f>
        <v>0</v>
      </c>
    </row>
    <row r="81" s="1168" customFormat="1" ht="15.75" customHeight="1">
      <c r="E81" s="3583" t="n"/>
      <c r="F81" s="1172" t="n"/>
      <c r="G81" s="1415" t="inlineStr">
        <is>
          <t xml:space="preserve">TBA Expense</t>
        </is>
      </c>
      <c r="H81" s="3681">
        <f>J81*$I$14</f>
        <v>0</v>
      </c>
      <c r="I81" s="1456">
        <f>IFERROR(H81/$H$44,0)</f>
        <v>0</v>
      </c>
      <c r="J81" s="3595">
        <v>0</v>
      </c>
      <c r="K81" s="1172" t="n"/>
      <c r="L81" s="3681">
        <f>N81*$M$14</f>
        <v>0</v>
      </c>
      <c r="M81" s="1456">
        <f>IFERROR(L81/$L$44,0)</f>
        <v>0</v>
      </c>
      <c r="N81" s="3595">
        <f>J81*(1+$L$6)</f>
        <v>0</v>
      </c>
      <c r="P81" s="3681">
        <f>R81*$Q$14</f>
        <v>0</v>
      </c>
      <c r="Q81" s="1456">
        <f>IFERROR(P81/$P$44,0)</f>
        <v>0</v>
      </c>
      <c r="R81" s="3595">
        <f>N81*(1+$L$6)</f>
        <v>0</v>
      </c>
      <c r="T81" s="3681">
        <f>V81*$U$14</f>
        <v>0</v>
      </c>
      <c r="U81" s="1456">
        <f>IFERROR(T81/$T$44,0)</f>
        <v>0</v>
      </c>
      <c r="V81" s="3595">
        <f>R81*(1+$L$6)</f>
        <v>0</v>
      </c>
      <c r="X81" s="3681">
        <f>Z81*$Y$14</f>
        <v>0</v>
      </c>
      <c r="Y81" s="1456">
        <f>IFERROR(X81/$X$44,0)</f>
        <v>0</v>
      </c>
      <c r="Z81" s="3595">
        <f>V81*(1+$L$6)</f>
        <v>0</v>
      </c>
      <c r="AB81" s="3681">
        <f>AD81*$AC$14</f>
        <v>0</v>
      </c>
      <c r="AC81" s="1456">
        <f>IFERROR(AB81/$AB$44,0)</f>
        <v>0</v>
      </c>
      <c r="AD81" s="3595">
        <f>Z81*(1+$L$6)</f>
        <v>0</v>
      </c>
      <c r="AF81" s="3681">
        <f>AH81*$AG$14</f>
        <v>0</v>
      </c>
      <c r="AG81" s="1456">
        <f>IFERROR(AF81/$AF$44,0)</f>
        <v>0</v>
      </c>
      <c r="AH81" s="3595">
        <f>AD81*(1+$L$6)</f>
        <v>0</v>
      </c>
      <c r="AJ81" s="3681">
        <f>AL81*$AK$14</f>
        <v>0</v>
      </c>
      <c r="AK81" s="1456">
        <f>IFERROR(AJ81/$AJ$44,0)</f>
        <v>0</v>
      </c>
      <c r="AL81" s="3595">
        <f>AH81*(1+$L$6)</f>
        <v>0</v>
      </c>
      <c r="AN81" s="3681">
        <f>AP81*$AO$14</f>
        <v>0</v>
      </c>
      <c r="AO81" s="1456">
        <f>IFERROR(AN81/$AN$44,0)</f>
        <v>0</v>
      </c>
      <c r="AP81" s="3595">
        <f>AL81*(1+$L$6)</f>
        <v>0</v>
      </c>
      <c r="AR81" s="3681">
        <f>AT81*$AS$14</f>
        <v>0</v>
      </c>
      <c r="AS81" s="1456">
        <f>IFERROR(AR81/$AR$44,0)</f>
        <v>0</v>
      </c>
      <c r="AT81" s="3595">
        <f>AP81*(1+$L$6)</f>
        <v>0</v>
      </c>
      <c r="AV81" s="3681">
        <f>AX81*$AW$14</f>
        <v>0</v>
      </c>
      <c r="AW81" s="1456">
        <f>IFERROR(AV81/$AV$44,0)</f>
        <v>0</v>
      </c>
      <c r="AX81" s="3595">
        <f>AT81*(1+$L$6)</f>
        <v>0</v>
      </c>
      <c r="AZ81" s="3681">
        <f>BB81*$BA$14</f>
        <v>0</v>
      </c>
      <c r="BA81" s="1456">
        <f>IFERROR(AZ81/$AZ$44,0)</f>
        <v>0</v>
      </c>
      <c r="BB81" s="3540">
        <f>AX81*(1+$L$6)</f>
        <v>0</v>
      </c>
      <c r="BD81" s="3600" t="n">
        <f t="array" ref="BD81">IFERROR($H81/12,0)</f>
        <v>0</v>
      </c>
      <c r="BE81" s="1456" t="n">
        <f t="array" ref="BE81">IFERROR($H81/$H$44,0)</f>
        <v>0</v>
      </c>
      <c r="BF81" s="3595" t="n">
        <f t="array" ref="BF81">IFERROR(($H81/12)/1650,0)</f>
        <v>0</v>
      </c>
    </row>
    <row r="82" s="1168" customFormat="1" ht="13.5" customHeight="1">
      <c r="E82" s="3583" t="n"/>
      <c r="F82" s="1172" t="n"/>
      <c r="G82" s="1458" t="inlineStr">
        <is>
          <t xml:space="preserve">Total Telephone Expense</t>
        </is>
      </c>
      <c r="H82" s="3601">
        <f>SUM(H76:H81)</f>
        <v>19800</v>
      </c>
      <c r="I82" s="1316">
        <f>SUM(I76:I81)</f>
        <v>0.01332839689</v>
      </c>
      <c r="J82" s="3602">
        <f>SUM(J76:J81)</f>
        <v>0.986301369863</v>
      </c>
      <c r="K82" s="1172" t="n"/>
      <c r="L82" s="3603">
        <f>SUM(L76:L81)</f>
        <v>23634</v>
      </c>
      <c r="M82" s="1319">
        <f>SUM(M76:M81)</f>
        <v>0.0131977263323</v>
      </c>
      <c r="N82" s="3602">
        <f>SUM(N76:N81)</f>
        <v>0.996164383562</v>
      </c>
      <c r="P82" s="3603">
        <f>SUM(P76:P81)</f>
        <v>26440.992</v>
      </c>
      <c r="Q82" s="1319">
        <f>SUM(Q76:Q81)</f>
        <v>0.0130683368584</v>
      </c>
      <c r="R82" s="3602">
        <f>SUM(R76:R81)</f>
        <v>1.0061260274</v>
      </c>
      <c r="T82" s="3603">
        <f>SUM(T76:T81)</f>
        <v>26705.40192</v>
      </c>
      <c r="U82" s="1319">
        <f>SUM(U76:U81)</f>
        <v>0.0129402159089</v>
      </c>
      <c r="V82" s="3602">
        <f>SUM(V76:V81)</f>
        <v>1.01618728767</v>
      </c>
      <c r="X82" s="3603">
        <f>SUM(X76:X81)</f>
        <v>26972.4559392</v>
      </c>
      <c r="Y82" s="1319">
        <f>SUM(Y76:Y81)</f>
        <v>0.012813351047</v>
      </c>
      <c r="Z82" s="3602">
        <f>SUM(Z76:Z81)</f>
        <v>1.02634916055</v>
      </c>
      <c r="AB82" s="3603">
        <f>SUM(AB76:AB81)</f>
        <v>27242.1804986</v>
      </c>
      <c r="AC82" s="1319">
        <f>SUM(AC76:AC81)</f>
        <v>0.0126877299583</v>
      </c>
      <c r="AD82" s="3602">
        <f>SUM(AD76:AD81)</f>
        <v>1.03661265215</v>
      </c>
      <c r="AF82" s="3603">
        <f>SUM(AF76:AF81)</f>
        <v>27514.6023036</v>
      </c>
      <c r="AG82" s="1319">
        <f>SUM(AG76:AG81)</f>
        <v>0.0125633404489</v>
      </c>
      <c r="AH82" s="3602">
        <f>SUM(AH76:AH81)</f>
        <v>1.04697877867</v>
      </c>
      <c r="AJ82" s="3603">
        <f>SUM(AJ76:AJ81)</f>
        <v>27789.7483266</v>
      </c>
      <c r="AK82" s="1319">
        <f>SUM(AK76:AK81)</f>
        <v>0.0124401704445</v>
      </c>
      <c r="AL82" s="3602">
        <f>SUM(AL76:AL81)</f>
        <v>1.05744856646</v>
      </c>
      <c r="AN82" s="3603">
        <f>SUM(AN76:AN81)</f>
        <v>28067.6458099</v>
      </c>
      <c r="AO82" s="1319">
        <f>SUM(AO76:AO81)</f>
        <v>0.0123182079892</v>
      </c>
      <c r="AP82" s="3602">
        <f>SUM(AP76:AP81)</f>
        <v>1.06802305213</v>
      </c>
      <c r="AR82" s="3603">
        <f>SUM(AR76:AR81)</f>
        <v>28348.322268</v>
      </c>
      <c r="AS82" s="1319">
        <f>SUM(AS76:AS81)</f>
        <v>0.0121974412442</v>
      </c>
      <c r="AT82" s="3602">
        <f>SUM(AT76:AT81)</f>
        <v>1.07870328265</v>
      </c>
      <c r="AV82" s="3603">
        <f>SUM(AV76:AV81)</f>
        <v>28631.8054907</v>
      </c>
      <c r="AW82" s="1319">
        <f>SUM(AW76:AW81)</f>
        <v>0.0123194156566</v>
      </c>
      <c r="AX82" s="3602">
        <f>SUM(AX76:AX81)</f>
        <v>1.08949031547</v>
      </c>
      <c r="AZ82" s="3603">
        <f>SUM(AZ76:AZ81)</f>
        <v>28918.1235456</v>
      </c>
      <c r="BA82" s="1319">
        <f>SUM(BA76:BA81)</f>
        <v>0.0124426098132</v>
      </c>
      <c r="BB82" s="3691">
        <f>SUM(BB76:BB81)</f>
        <v>1.10038521863</v>
      </c>
      <c r="BD82" s="3692" t="n">
        <f t="array" ref="BD82">IFERROR($H82/12,0)</f>
        <v>1650</v>
      </c>
      <c r="BE82" s="1319">
        <f>H82+L82+P82+T82+X82+AB82+AF82+AJ82+AN82+AR82+AV82+AZ82</f>
        <v>320065.278102</v>
      </c>
      <c r="BF82" s="3602">
        <f>IFERROR(BE82/BE14,0)</f>
        <v>1.04391806296</v>
      </c>
    </row>
    <row r="83" s="1168" customFormat="1" ht="13.5" customHeight="1">
      <c r="A83" s="3445" t="str"/>
      <c r="B83" s="3538" t="n"/>
      <c r="C83" s="643" t="n"/>
      <c r="E83" s="3583" t="n"/>
      <c r="F83" s="1410" t="n"/>
      <c r="H83" s="3693" t="str">
        <f t="array" ref="H83">H46</f>
        <v>Year 1</v>
      </c>
      <c r="I83" s="3694" t="n"/>
      <c r="J83" s="3546" t="n"/>
      <c r="K83" s="1410" t="n"/>
      <c r="L83" s="3695" t="n">
        <f t="array" ref="L83">IFERROR($H83/12,0)</f>
        <v>0</v>
      </c>
      <c r="M83" s="3694" t="n"/>
      <c r="N83" s="3694" t="n"/>
      <c r="O83" s="1476" t="n"/>
      <c r="P83" s="3696" t="n">
        <f t="array" ref="P83">IFERROR($H83/12,0)</f>
        <v>0</v>
      </c>
      <c r="Q83" s="3694" t="n"/>
      <c r="R83" s="3694" t="n"/>
      <c r="S83" s="1476" t="n"/>
      <c r="T83" s="3696" t="n">
        <f t="array" ref="T83">IFERROR($H83/12,0)</f>
        <v>0</v>
      </c>
      <c r="U83" s="3694" t="n"/>
      <c r="V83" s="3694" t="n"/>
      <c r="W83" s="1476" t="n"/>
      <c r="X83" s="3696" t="n">
        <f t="array" ref="X83">IFERROR($H83/12,0)</f>
        <v>0</v>
      </c>
      <c r="Y83" s="3694" t="n"/>
      <c r="Z83" s="3694" t="n"/>
      <c r="AA83" s="1476" t="n"/>
      <c r="AB83" s="3696" t="n">
        <f t="array" ref="AB83">IFERROR($H83/12,0)</f>
        <v>0</v>
      </c>
      <c r="AC83" s="3694" t="n"/>
      <c r="AD83" s="3694" t="n"/>
      <c r="AE83" s="1476" t="n"/>
      <c r="AF83" s="3696" t="n">
        <f t="array" ref="AF83">IFERROR($H83/12,0)</f>
        <v>0</v>
      </c>
      <c r="AG83" s="3694" t="n"/>
      <c r="AH83" s="3694" t="n"/>
      <c r="AI83" s="1476" t="n"/>
      <c r="AJ83" s="3696" t="n">
        <f t="array" ref="AJ83">IFERROR($H83/12,0)</f>
        <v>0</v>
      </c>
      <c r="AK83" s="3694" t="n"/>
      <c r="AL83" s="3694" t="n"/>
      <c r="AM83" s="1476" t="n"/>
      <c r="AN83" s="3696" t="n">
        <f t="array" ref="AN83">IFERROR($H83/12,0)</f>
        <v>0</v>
      </c>
      <c r="AO83" s="3694" t="n"/>
      <c r="AP83" s="3694" t="n"/>
      <c r="AQ83" s="1476" t="n"/>
      <c r="AR83" s="3696" t="n">
        <f t="array" ref="AR83">IFERROR($H83/12,0)</f>
        <v>0</v>
      </c>
      <c r="AS83" s="3694" t="n"/>
      <c r="AT83" s="3694" t="n"/>
      <c r="AU83" s="1476" t="n"/>
      <c r="AV83" s="3696" t="n">
        <f t="array" ref="AV83">IFERROR($H83/12,0)</f>
        <v>0</v>
      </c>
      <c r="AW83" s="3694" t="n"/>
      <c r="AX83" s="3694" t="n"/>
      <c r="AY83" s="1476" t="n"/>
      <c r="AZ83" s="3697" t="n">
        <f t="array" ref="AZ83">IFERROR($H83/12,0)</f>
        <v>0</v>
      </c>
      <c r="BA83" s="3694" t="n"/>
      <c r="BB83" s="3546" t="n"/>
      <c r="BC83" s="1413" t="n"/>
      <c r="BD83" s="3698" t="n">
        <f t="array" ref="BD83">IFERROR($H83/12,0)</f>
        <v>0</v>
      </c>
      <c r="BE83" s="3694" t="n"/>
      <c r="BF83" s="3694" t="n"/>
      <c r="BG83" s="1476" t="n"/>
    </row>
    <row r="84" s="1168" customFormat="1" ht="15.75" customHeight="1">
      <c r="E84" s="3623" t="n"/>
      <c r="F84" s="1172" t="n"/>
      <c r="G84" s="1478" t="inlineStr">
        <is>
          <t xml:space="preserve">Other Department Expense</t>
        </is>
      </c>
      <c r="H84" s="3699" t="n"/>
      <c r="I84" s="1480" t="n"/>
      <c r="J84" s="3700" t="n"/>
      <c r="K84" s="1172" t="n"/>
      <c r="L84" s="3701" t="n"/>
      <c r="M84" s="1483" t="n"/>
      <c r="N84" s="1480" t="n"/>
      <c r="P84" s="3702" t="n"/>
      <c r="Q84" s="1480" t="n"/>
      <c r="R84" s="3703" t="n"/>
      <c r="T84" s="3702" t="n"/>
      <c r="U84" s="1483" t="n"/>
      <c r="V84" s="3703" t="n"/>
      <c r="X84" s="3702" t="n"/>
      <c r="Y84" s="1483" t="n"/>
      <c r="Z84" s="3703" t="n"/>
      <c r="AB84" s="3702" t="n"/>
      <c r="AC84" s="1483" t="n"/>
      <c r="AD84" s="3703" t="n"/>
      <c r="AF84" s="3702" t="n"/>
      <c r="AG84" s="1483" t="n"/>
      <c r="AH84" s="3703" t="n"/>
      <c r="AJ84" s="3702" t="n"/>
      <c r="AK84" s="1483" t="n"/>
      <c r="AL84" s="3703" t="n"/>
      <c r="AN84" s="3702" t="n"/>
      <c r="AO84" s="1483" t="n"/>
      <c r="AP84" s="3703" t="n"/>
      <c r="AR84" s="3702" t="n"/>
      <c r="AS84" s="1483" t="n"/>
      <c r="AT84" s="3703" t="n"/>
      <c r="AV84" s="3702" t="n"/>
      <c r="AW84" s="1483" t="n"/>
      <c r="AX84" s="3703" t="n"/>
      <c r="AZ84" s="3702" t="n"/>
      <c r="BA84" s="1483" t="n"/>
      <c r="BB84" s="3703" t="n"/>
      <c r="BD84" s="3702" t="n"/>
      <c r="BE84" s="1483" t="n"/>
      <c r="BF84" s="3703" t="n"/>
    </row>
    <row r="85" s="1168" customFormat="1" ht="12.75" customHeight="1">
      <c r="D85" s="1486" t="n">
        <v>2</v>
      </c>
      <c r="E85" s="3704" t="n">
        <v>0</v>
      </c>
      <c r="F85" s="1172" t="n"/>
      <c r="G85" s="1488" t="inlineStr">
        <is>
          <t xml:space="preserve">Cost of Mercahndise/ Sundry</t>
        </is>
      </c>
      <c r="H85" s="3705">
        <f>J85*$I$14</f>
        <v>0</v>
      </c>
      <c r="I85" s="1490">
        <f>IFERROR(H85/$H$44,0)</f>
        <v>0</v>
      </c>
      <c r="J85" s="3706">
        <v>0</v>
      </c>
      <c r="K85" s="1410" t="n"/>
      <c r="L85" s="3705">
        <f>N85*$M$14</f>
        <v>0</v>
      </c>
      <c r="M85" s="1490">
        <f>IFERROR(L85/$L$44,0)</f>
        <v>0</v>
      </c>
      <c r="N85" s="3706">
        <f>J85*(1+$L$6)</f>
        <v>0</v>
      </c>
      <c r="O85" s="1410" t="n"/>
      <c r="P85" s="3705">
        <f>R85*$Q$14</f>
        <v>0</v>
      </c>
      <c r="Q85" s="1490">
        <f>IFERROR(P85/$P$44,0)</f>
        <v>0</v>
      </c>
      <c r="R85" s="3706">
        <f>N85*(1+$L$6)</f>
        <v>0</v>
      </c>
      <c r="S85" s="1410" t="n"/>
      <c r="T85" s="3705">
        <f>V85*$U$14</f>
        <v>0</v>
      </c>
      <c r="U85" s="1490">
        <f>IFERROR(T85/$T$44,0)</f>
        <v>0</v>
      </c>
      <c r="V85" s="3706">
        <f>R85*(1+$L$6)</f>
        <v>0</v>
      </c>
      <c r="W85" s="1410" t="n"/>
      <c r="X85" s="3705">
        <f>Z85*$Y$14</f>
        <v>0</v>
      </c>
      <c r="Y85" s="1490">
        <f>IFERROR(X85/$X$44,0)</f>
        <v>0</v>
      </c>
      <c r="Z85" s="3706">
        <f>V85*(1+$L$6)</f>
        <v>0</v>
      </c>
      <c r="AA85" s="1410" t="n"/>
      <c r="AB85" s="3705">
        <f>AD85*$AC$14</f>
        <v>0</v>
      </c>
      <c r="AC85" s="1490">
        <f>IFERROR(AB85/$AB$44,0)</f>
        <v>0</v>
      </c>
      <c r="AD85" s="3706">
        <f>Z85*(1+$L$6)</f>
        <v>0</v>
      </c>
      <c r="AE85" s="1410" t="n"/>
      <c r="AF85" s="3705">
        <f>AH85*$AG$14</f>
        <v>0</v>
      </c>
      <c r="AG85" s="1490">
        <f>IFERROR(AF85/$AF$44,0)</f>
        <v>0</v>
      </c>
      <c r="AH85" s="3706">
        <f>AD85*(1+$L$6)</f>
        <v>0</v>
      </c>
      <c r="AI85" s="1410" t="n"/>
      <c r="AJ85" s="3705">
        <f>AL85*$AK$14</f>
        <v>0</v>
      </c>
      <c r="AK85" s="1490">
        <f>IFERROR(AJ85/$AJ$44,0)</f>
        <v>0</v>
      </c>
      <c r="AL85" s="3706">
        <f>AH85*(1+$L$6)</f>
        <v>0</v>
      </c>
      <c r="AM85" s="1410" t="n"/>
      <c r="AN85" s="3705">
        <f>AP85*$AO$14</f>
        <v>0</v>
      </c>
      <c r="AO85" s="1490">
        <f>IFERROR(AN85/$AN$44,0)</f>
        <v>0</v>
      </c>
      <c r="AP85" s="3706">
        <f>AL85*(1+$L$6)</f>
        <v>0</v>
      </c>
      <c r="AQ85" s="1410" t="n"/>
      <c r="AR85" s="3705">
        <f>AT85*$AS$14</f>
        <v>0</v>
      </c>
      <c r="AS85" s="1490">
        <f>IFERROR(AR85/$AR$44,0)</f>
        <v>0</v>
      </c>
      <c r="AT85" s="3706">
        <f>AP85*(1+$L$6)</f>
        <v>0</v>
      </c>
      <c r="AU85" s="1410" t="n"/>
      <c r="AV85" s="3705">
        <f>AX85*$AW$14</f>
        <v>0</v>
      </c>
      <c r="AW85" s="1490">
        <f>IFERROR(AV85/$AV$44,0)</f>
        <v>0</v>
      </c>
      <c r="AX85" s="3706">
        <f>AT85*(1+$L$6)</f>
        <v>0</v>
      </c>
      <c r="AY85" s="1410" t="n"/>
      <c r="AZ85" s="3705">
        <f>BB85*$BA$14</f>
        <v>0</v>
      </c>
      <c r="BA85" s="1490">
        <f>IFERROR(AZ85/$AZ$44,0)</f>
        <v>0</v>
      </c>
      <c r="BB85" s="3706">
        <f>AX85*(1+$L$6)</f>
        <v>0</v>
      </c>
      <c r="BC85" s="1413" t="n"/>
      <c r="BD85" s="3705" t="n">
        <f t="array" ref="BD85">IFERROR($H85/12,0)</f>
        <v>0</v>
      </c>
      <c r="BE85" s="1490" t="n">
        <f t="array" ref="BE85">IFERROR($H85/$H$44,0)</f>
        <v>0</v>
      </c>
      <c r="BF85" s="3706" t="n">
        <f t="array" ref="BF85">IFERROR(($H85/12)/1650,0)</f>
        <v>0</v>
      </c>
    </row>
    <row r="86" s="1168" customFormat="1" ht="12.75" customHeight="1">
      <c r="E86" s="1492" t="n">
        <v>0.8</v>
      </c>
      <c r="F86" s="1172" t="str"/>
      <c r="G86" s="1493" t="str">
        <f t="array" ref="G86">G35</f>
        <v>Guest Laundry</v>
      </c>
      <c r="H86" s="3707">
        <f>J86*$I$14</f>
        <v>0</v>
      </c>
      <c r="I86" s="1358">
        <f>IFERROR(H86/$H$44,0)</f>
        <v>0</v>
      </c>
      <c r="J86" s="3708">
        <v>0</v>
      </c>
      <c r="K86" s="1410" t="n"/>
      <c r="L86" s="3707">
        <f>N86*$M$14</f>
        <v>0</v>
      </c>
      <c r="M86" s="1358">
        <f>IFERROR(L86/$L$44,0)</f>
        <v>0</v>
      </c>
      <c r="N86" s="3708">
        <f>J86*(1+$L$6)</f>
        <v>0</v>
      </c>
      <c r="O86" s="1410" t="n"/>
      <c r="P86" s="3707">
        <f>R86*$Q$14</f>
        <v>0</v>
      </c>
      <c r="Q86" s="1358">
        <f>IFERROR(P86/$P$44,0)</f>
        <v>0</v>
      </c>
      <c r="R86" s="3708">
        <f>N86*(1+$L$6)</f>
        <v>0</v>
      </c>
      <c r="S86" s="1410" t="n"/>
      <c r="T86" s="3707">
        <f>V86*$U$14</f>
        <v>0</v>
      </c>
      <c r="U86" s="1358">
        <f>IFERROR(T86/$T$44,0)</f>
        <v>0</v>
      </c>
      <c r="V86" s="3708">
        <f>R86*(1+$L$6)</f>
        <v>0</v>
      </c>
      <c r="W86" s="1410" t="n"/>
      <c r="X86" s="3707">
        <f>Z86*$Y$14</f>
        <v>0</v>
      </c>
      <c r="Y86" s="1358">
        <f>IFERROR(X86/$X$44,0)</f>
        <v>0</v>
      </c>
      <c r="Z86" s="3708">
        <f>V86*(1+$L$6)</f>
        <v>0</v>
      </c>
      <c r="AA86" s="1410" t="n"/>
      <c r="AB86" s="3707">
        <f>AD86*$AC$14</f>
        <v>0</v>
      </c>
      <c r="AC86" s="1358">
        <f>IFERROR(AB86/$AB$44,0)</f>
        <v>0</v>
      </c>
      <c r="AD86" s="3708">
        <f>Z86*(1+$L$6)</f>
        <v>0</v>
      </c>
      <c r="AE86" s="1410" t="n"/>
      <c r="AF86" s="3707">
        <f>AH86*$AG$14</f>
        <v>0</v>
      </c>
      <c r="AG86" s="1358">
        <f>IFERROR(AF86/$AF$44,0)</f>
        <v>0</v>
      </c>
      <c r="AH86" s="3708">
        <f>AD86*(1+$L$6)</f>
        <v>0</v>
      </c>
      <c r="AI86" s="1410" t="n"/>
      <c r="AJ86" s="3707">
        <f>AL86*$AK$14</f>
        <v>0</v>
      </c>
      <c r="AK86" s="1358">
        <f>IFERROR(AJ86/$AJ$44,0)</f>
        <v>0</v>
      </c>
      <c r="AL86" s="3708">
        <f>AH86*(1+$L$6)</f>
        <v>0</v>
      </c>
      <c r="AM86" s="1410" t="n"/>
      <c r="AN86" s="3707">
        <f>AP86*$AO$14</f>
        <v>0</v>
      </c>
      <c r="AO86" s="1358">
        <f>IFERROR(AN86/$AN$44,0)</f>
        <v>0</v>
      </c>
      <c r="AP86" s="3708">
        <f>AL86*(1+$L$6)</f>
        <v>0</v>
      </c>
      <c r="AQ86" s="1410" t="n"/>
      <c r="AR86" s="3707">
        <f>AT86*$AS$14</f>
        <v>0</v>
      </c>
      <c r="AS86" s="1358">
        <f>IFERROR(AR86/$AR$44,0)</f>
        <v>0</v>
      </c>
      <c r="AT86" s="3708">
        <f>AP86*(1+$L$6)</f>
        <v>0</v>
      </c>
      <c r="AU86" s="1410" t="n"/>
      <c r="AV86" s="3707">
        <f>AX86*$AW$14</f>
        <v>0</v>
      </c>
      <c r="AW86" s="1358">
        <f>IFERROR(AV86/$AV$44,0)</f>
        <v>0</v>
      </c>
      <c r="AX86" s="3708">
        <f>AT86*(1+$L$6)</f>
        <v>0</v>
      </c>
      <c r="AY86" s="1410" t="n"/>
      <c r="AZ86" s="3707">
        <f>BB86*$BA$14</f>
        <v>0</v>
      </c>
      <c r="BA86" s="1358">
        <f>IFERROR(AZ86/$AZ$44,0)</f>
        <v>0</v>
      </c>
      <c r="BB86" s="3708">
        <f>AX86*(1+$L$6)</f>
        <v>0</v>
      </c>
      <c r="BC86" s="1413" t="n"/>
      <c r="BD86" s="3707" t="n">
        <f t="array" ref="BD86">IFERROR($H86/12,0)</f>
        <v>0</v>
      </c>
      <c r="BE86" s="1358" t="n">
        <f t="array" ref="BE86">IFERROR($H86/$H$44,0)</f>
        <v>0</v>
      </c>
      <c r="BF86" s="3708" t="n">
        <f t="array" ref="BF86">IFERROR(($H86/12)/1650,0)</f>
        <v>0</v>
      </c>
    </row>
    <row r="87" s="1168" customFormat="1" ht="12.75" customHeight="1">
      <c r="E87" s="3677" t="n"/>
      <c r="F87" s="1172" t="n"/>
      <c r="G87" s="1334" t="inlineStr">
        <is>
          <t xml:space="preserve">TBA Expense</t>
        </is>
      </c>
      <c r="H87" s="3707">
        <f>J87*$I$14</f>
        <v>0</v>
      </c>
      <c r="I87" s="1358">
        <f>IFERROR(H87/$H$44,0)</f>
        <v>0</v>
      </c>
      <c r="J87" s="3708">
        <v>0</v>
      </c>
      <c r="K87" s="1410" t="n"/>
      <c r="L87" s="3707">
        <f>N87*$M$14</f>
        <v>0</v>
      </c>
      <c r="M87" s="1358">
        <f>IFERROR(L87/$L$44,0)</f>
        <v>0</v>
      </c>
      <c r="N87" s="3708">
        <f>J87*(1+$L$6)</f>
        <v>0</v>
      </c>
      <c r="O87" s="1410" t="n"/>
      <c r="P87" s="3707">
        <f>R87*$Q$14</f>
        <v>0</v>
      </c>
      <c r="Q87" s="1358">
        <f>IFERROR(P87/$P$44,0)</f>
        <v>0</v>
      </c>
      <c r="R87" s="3708">
        <f>N87*(1+$L$6)</f>
        <v>0</v>
      </c>
      <c r="S87" s="1410" t="n"/>
      <c r="T87" s="3707">
        <f>V87*$U$14</f>
        <v>0</v>
      </c>
      <c r="U87" s="1358">
        <f>IFERROR(T87/$T$44,0)</f>
        <v>0</v>
      </c>
      <c r="V87" s="3708">
        <f>R87*(1+$L$6)</f>
        <v>0</v>
      </c>
      <c r="W87" s="1410" t="n"/>
      <c r="X87" s="3707">
        <f>Z87*$Y$14</f>
        <v>0</v>
      </c>
      <c r="Y87" s="1358">
        <f>IFERROR(X87/$X$44,0)</f>
        <v>0</v>
      </c>
      <c r="Z87" s="3708">
        <f>V87*(1+$L$6)</f>
        <v>0</v>
      </c>
      <c r="AA87" s="1410" t="n"/>
      <c r="AB87" s="3707">
        <f>AD87*$AC$14</f>
        <v>0</v>
      </c>
      <c r="AC87" s="1358">
        <f>IFERROR(AB87/$AB$44,0)</f>
        <v>0</v>
      </c>
      <c r="AD87" s="3708">
        <f>Z87*(1+$L$6)</f>
        <v>0</v>
      </c>
      <c r="AE87" s="1410" t="n"/>
      <c r="AF87" s="3707">
        <f>AH87*$AG$14</f>
        <v>0</v>
      </c>
      <c r="AG87" s="1358">
        <f>IFERROR(AF87/$AF$44,0)</f>
        <v>0</v>
      </c>
      <c r="AH87" s="3708">
        <f>AD87*(1+$L$6)</f>
        <v>0</v>
      </c>
      <c r="AI87" s="1410" t="n"/>
      <c r="AJ87" s="3707">
        <f>AL87*$AK$14</f>
        <v>0</v>
      </c>
      <c r="AK87" s="1358">
        <f>IFERROR(AJ87/$AJ$44,0)</f>
        <v>0</v>
      </c>
      <c r="AL87" s="3708">
        <f>AH87*(1+$L$6)</f>
        <v>0</v>
      </c>
      <c r="AM87" s="1410" t="n"/>
      <c r="AN87" s="3707">
        <f>AP87*$AO$14</f>
        <v>0</v>
      </c>
      <c r="AO87" s="1358">
        <f>IFERROR(AN87/$AN$44,0)</f>
        <v>0</v>
      </c>
      <c r="AP87" s="3708">
        <f>AL87*(1+$L$6)</f>
        <v>0</v>
      </c>
      <c r="AQ87" s="1410" t="n"/>
      <c r="AR87" s="3707">
        <f>AT87*$AS$14</f>
        <v>0</v>
      </c>
      <c r="AS87" s="1358">
        <f>IFERROR(AR87/$AR$44,0)</f>
        <v>0</v>
      </c>
      <c r="AT87" s="3708">
        <f>AP87*(1+$L$6)</f>
        <v>0</v>
      </c>
      <c r="AU87" s="1410" t="n"/>
      <c r="AV87" s="3707">
        <f>AX87*$AW$14</f>
        <v>0</v>
      </c>
      <c r="AW87" s="1358">
        <f>IFERROR(AV87/$AV$44,0)</f>
        <v>0</v>
      </c>
      <c r="AX87" s="3708">
        <f>AT87*(1+$L$6)</f>
        <v>0</v>
      </c>
      <c r="AY87" s="1410" t="n"/>
      <c r="AZ87" s="3707">
        <f>BB87*$BA$14</f>
        <v>0</v>
      </c>
      <c r="BA87" s="1358">
        <f>IFERROR(AZ87/$AZ$44,0)</f>
        <v>0</v>
      </c>
      <c r="BB87" s="3708">
        <f>AX87*(1+$L$6)</f>
        <v>0</v>
      </c>
      <c r="BC87" s="1413" t="n"/>
      <c r="BD87" s="3707" t="n">
        <f t="array" ref="BD87">IFERROR($H87/12,0)</f>
        <v>0</v>
      </c>
      <c r="BE87" s="1358" t="n">
        <f t="array" ref="BE87">IFERROR($H87/$H$44,0)</f>
        <v>0</v>
      </c>
      <c r="BF87" s="3708" t="n">
        <f t="array" ref="BF87">IFERROR(($H87/12)/1650,0)</f>
        <v>0</v>
      </c>
    </row>
    <row r="88" s="1168" customFormat="1" ht="12.75" customHeight="1">
      <c r="E88" s="3583" t="n"/>
      <c r="F88" s="1172" t="n"/>
      <c r="G88" s="1334" t="inlineStr">
        <is>
          <t xml:space="preserve">TBA Expense</t>
        </is>
      </c>
      <c r="H88" s="3707">
        <f>J88*$I$14</f>
        <v>0</v>
      </c>
      <c r="I88" s="1358">
        <f>IFERROR(H88/$H$44,0)</f>
        <v>0</v>
      </c>
      <c r="J88" s="3708">
        <v>0</v>
      </c>
      <c r="K88" s="1410" t="n"/>
      <c r="L88" s="3707">
        <f>N88*$M$14</f>
        <v>0</v>
      </c>
      <c r="M88" s="1358">
        <f>IFERROR(L88/$L$44,0)</f>
        <v>0</v>
      </c>
      <c r="N88" s="3708">
        <f>J88*(1+$L$6)</f>
        <v>0</v>
      </c>
      <c r="O88" s="1410" t="n"/>
      <c r="P88" s="3707">
        <f>R88*$Q$14</f>
        <v>0</v>
      </c>
      <c r="Q88" s="1358">
        <f>IFERROR(P88/$P$44,0)</f>
        <v>0</v>
      </c>
      <c r="R88" s="3708">
        <f>N88*(1+$L$6)</f>
        <v>0</v>
      </c>
      <c r="S88" s="1410" t="n"/>
      <c r="T88" s="3707">
        <f>V88*$U$14</f>
        <v>0</v>
      </c>
      <c r="U88" s="1358">
        <f>IFERROR(T88/$T$44,0)</f>
        <v>0</v>
      </c>
      <c r="V88" s="3708">
        <f>R88*(1+$L$6)</f>
        <v>0</v>
      </c>
      <c r="W88" s="1410" t="n"/>
      <c r="X88" s="3707">
        <f>Z88*$Y$14</f>
        <v>0</v>
      </c>
      <c r="Y88" s="1358">
        <f>IFERROR(X88/$X$44,0)</f>
        <v>0</v>
      </c>
      <c r="Z88" s="3708">
        <f>V88*(1+$L$6)</f>
        <v>0</v>
      </c>
      <c r="AA88" s="1410" t="n"/>
      <c r="AB88" s="3707">
        <f>AD88*$AC$14</f>
        <v>0</v>
      </c>
      <c r="AC88" s="1358">
        <f>IFERROR(AB88/$AB$44,0)</f>
        <v>0</v>
      </c>
      <c r="AD88" s="3708">
        <f>Z88*(1+$L$6)</f>
        <v>0</v>
      </c>
      <c r="AE88" s="1410" t="n"/>
      <c r="AF88" s="3707">
        <f>AH88*$AG$14</f>
        <v>0</v>
      </c>
      <c r="AG88" s="1358">
        <f>IFERROR(AF88/$AF$44,0)</f>
        <v>0</v>
      </c>
      <c r="AH88" s="3708">
        <f>AD88*(1+$L$6)</f>
        <v>0</v>
      </c>
      <c r="AI88" s="1410" t="n"/>
      <c r="AJ88" s="3707">
        <f>AL88*$AK$14</f>
        <v>0</v>
      </c>
      <c r="AK88" s="1358">
        <f>IFERROR(AJ88/$AJ$44,0)</f>
        <v>0</v>
      </c>
      <c r="AL88" s="3708">
        <f>AH88*(1+$L$6)</f>
        <v>0</v>
      </c>
      <c r="AM88" s="1410" t="n"/>
      <c r="AN88" s="3707">
        <f>AP88*$AO$14</f>
        <v>0</v>
      </c>
      <c r="AO88" s="1358">
        <f>IFERROR(AN88/$AN$44,0)</f>
        <v>0</v>
      </c>
      <c r="AP88" s="3708">
        <f>AL88*(1+$L$6)</f>
        <v>0</v>
      </c>
      <c r="AQ88" s="1410" t="n"/>
      <c r="AR88" s="3707">
        <f>AT88*$AS$14</f>
        <v>0</v>
      </c>
      <c r="AS88" s="1358">
        <f>IFERROR(AR88/$AR$44,0)</f>
        <v>0</v>
      </c>
      <c r="AT88" s="3708">
        <f>AP88*(1+$L$6)</f>
        <v>0</v>
      </c>
      <c r="AU88" s="1410" t="n"/>
      <c r="AV88" s="3707">
        <f>AX88*$AW$14</f>
        <v>0</v>
      </c>
      <c r="AW88" s="1358">
        <f>IFERROR(AV88/$AV$44,0)</f>
        <v>0</v>
      </c>
      <c r="AX88" s="3708">
        <f>AT88*(1+$L$6)</f>
        <v>0</v>
      </c>
      <c r="AY88" s="1410" t="n"/>
      <c r="AZ88" s="3707">
        <f>BB88*$BA$14</f>
        <v>0</v>
      </c>
      <c r="BA88" s="1358">
        <f>IFERROR(AZ88/$AZ$44,0)</f>
        <v>0</v>
      </c>
      <c r="BB88" s="3708">
        <f>AX88*(1+$L$6)</f>
        <v>0</v>
      </c>
      <c r="BC88" s="1413" t="n"/>
      <c r="BD88" s="3707" t="n">
        <f t="array" ref="BD88">IFERROR($H88/12,0)</f>
        <v>0</v>
      </c>
      <c r="BE88" s="1358" t="n">
        <f t="array" ref="BE88">IFERROR($H88/$H$44,0)</f>
        <v>0</v>
      </c>
      <c r="BF88" s="3708" t="n">
        <f t="array" ref="BF88">IFERROR(($H88/12)/1650,0)</f>
        <v>0</v>
      </c>
    </row>
    <row r="89" s="1168" customFormat="1" ht="12.75" customHeight="1">
      <c r="E89" s="3583" t="n"/>
      <c r="F89" s="1172" t="n"/>
      <c r="G89" s="1334" t="inlineStr">
        <is>
          <t xml:space="preserve">TBA Expense</t>
        </is>
      </c>
      <c r="H89" s="3707">
        <f>J89*$I$14</f>
        <v>0</v>
      </c>
      <c r="I89" s="1358">
        <f>IFERROR(H89/$H$44,0)</f>
        <v>0</v>
      </c>
      <c r="J89" s="3708">
        <v>0</v>
      </c>
      <c r="K89" s="1410" t="n"/>
      <c r="L89" s="3707">
        <f>N89*$M$14</f>
        <v>0</v>
      </c>
      <c r="M89" s="1358">
        <f>IFERROR(L89/$L$44,0)</f>
        <v>0</v>
      </c>
      <c r="N89" s="3708">
        <f>J89*(1+$L$6)</f>
        <v>0</v>
      </c>
      <c r="O89" s="1410" t="n"/>
      <c r="P89" s="3707">
        <f>R89*$Q$14</f>
        <v>0</v>
      </c>
      <c r="Q89" s="1358">
        <f>IFERROR(P89/$P$44,0)</f>
        <v>0</v>
      </c>
      <c r="R89" s="3708">
        <f>N89*(1+$L$6)</f>
        <v>0</v>
      </c>
      <c r="S89" s="1410" t="n"/>
      <c r="T89" s="3707">
        <f>V89*$U$14</f>
        <v>0</v>
      </c>
      <c r="U89" s="1358">
        <f>IFERROR(T89/$T$44,0)</f>
        <v>0</v>
      </c>
      <c r="V89" s="3708">
        <f>R89*(1+$L$6)</f>
        <v>0</v>
      </c>
      <c r="W89" s="1410" t="n"/>
      <c r="X89" s="3707">
        <f>Z89*$Y$14</f>
        <v>0</v>
      </c>
      <c r="Y89" s="1358">
        <f>IFERROR(X89/$X$44,0)</f>
        <v>0</v>
      </c>
      <c r="Z89" s="3708">
        <f>V89*(1+$L$6)</f>
        <v>0</v>
      </c>
      <c r="AA89" s="1410" t="n"/>
      <c r="AB89" s="3707">
        <f>AD89*$AC$14</f>
        <v>0</v>
      </c>
      <c r="AC89" s="1358">
        <f>IFERROR(AB89/$AB$44,0)</f>
        <v>0</v>
      </c>
      <c r="AD89" s="3708">
        <f>Z89*(1+$L$6)</f>
        <v>0</v>
      </c>
      <c r="AE89" s="1410" t="n"/>
      <c r="AF89" s="3707">
        <f>AH89*$AG$14</f>
        <v>0</v>
      </c>
      <c r="AG89" s="1358">
        <f>IFERROR(AF89/$AF$44,0)</f>
        <v>0</v>
      </c>
      <c r="AH89" s="3708">
        <f>AD89*(1+$L$6)</f>
        <v>0</v>
      </c>
      <c r="AI89" s="1410" t="n"/>
      <c r="AJ89" s="3707">
        <f>AL89*$AK$14</f>
        <v>0</v>
      </c>
      <c r="AK89" s="1358">
        <f>IFERROR(AJ89/$AJ$44,0)</f>
        <v>0</v>
      </c>
      <c r="AL89" s="3708">
        <f>AH89*(1+$L$6)</f>
        <v>0</v>
      </c>
      <c r="AM89" s="1410" t="n"/>
      <c r="AN89" s="3707">
        <f>AP89*$AO$14</f>
        <v>0</v>
      </c>
      <c r="AO89" s="1358">
        <f>IFERROR(AN89/$AN$44,0)</f>
        <v>0</v>
      </c>
      <c r="AP89" s="3708">
        <f>AL89*(1+$L$6)</f>
        <v>0</v>
      </c>
      <c r="AQ89" s="1410" t="n"/>
      <c r="AR89" s="3707">
        <f>AT89*$AS$14</f>
        <v>0</v>
      </c>
      <c r="AS89" s="1358">
        <f>IFERROR(AR89/$AR$44,0)</f>
        <v>0</v>
      </c>
      <c r="AT89" s="3708">
        <f>AP89*(1+$L$6)</f>
        <v>0</v>
      </c>
      <c r="AU89" s="1410" t="n"/>
      <c r="AV89" s="3707">
        <f>AX89*$AW$14</f>
        <v>0</v>
      </c>
      <c r="AW89" s="1358">
        <f>IFERROR(AV89/$AV$44,0)</f>
        <v>0</v>
      </c>
      <c r="AX89" s="3708">
        <f>AT89*(1+$L$6)</f>
        <v>0</v>
      </c>
      <c r="AY89" s="1410" t="n"/>
      <c r="AZ89" s="3707">
        <f>BB89*$BA$14</f>
        <v>0</v>
      </c>
      <c r="BA89" s="1358">
        <f>IFERROR(AZ89/$AZ$44,0)</f>
        <v>0</v>
      </c>
      <c r="BB89" s="3708">
        <f>AX89*(1+$L$6)</f>
        <v>0</v>
      </c>
      <c r="BC89" s="1413" t="n"/>
      <c r="BD89" s="3707" t="n">
        <f t="array" ref="BD89">IFERROR($H89/12,0)</f>
        <v>0</v>
      </c>
      <c r="BE89" s="1358" t="n">
        <f t="array" ref="BE89">IFERROR($H89/$H$44,0)</f>
        <v>0</v>
      </c>
      <c r="BF89" s="3708" t="n">
        <f t="array" ref="BF89">IFERROR(($H89/12)/1650,0)</f>
        <v>0</v>
      </c>
    </row>
    <row r="90" s="1168" customFormat="1" ht="13.5" customHeight="1">
      <c r="E90" s="3583" t="n"/>
      <c r="F90" s="1172" t="n"/>
      <c r="G90" s="1496" t="inlineStr">
        <is>
          <t xml:space="preserve">TBA Expense</t>
        </is>
      </c>
      <c r="H90" s="3709">
        <f>J90*$I$14</f>
        <v>0</v>
      </c>
      <c r="I90" s="1498">
        <f>IFERROR(H90/$H$44,0)</f>
        <v>0</v>
      </c>
      <c r="J90" s="3710">
        <v>0</v>
      </c>
      <c r="K90" s="1410" t="n"/>
      <c r="L90" s="3709">
        <f>N90*$M$14</f>
        <v>0</v>
      </c>
      <c r="M90" s="1498">
        <f>IFERROR(L90/$L$44,0)</f>
        <v>0</v>
      </c>
      <c r="N90" s="3710">
        <f>J90*(1+$L$6)</f>
        <v>0</v>
      </c>
      <c r="O90" s="1410" t="n"/>
      <c r="P90" s="3709">
        <f>R90*$Q$14</f>
        <v>0</v>
      </c>
      <c r="Q90" s="1498">
        <f>IFERROR(P90/$P$44,0)</f>
        <v>0</v>
      </c>
      <c r="R90" s="3710">
        <f>N90*(1+$L$6)</f>
        <v>0</v>
      </c>
      <c r="S90" s="1410" t="n"/>
      <c r="T90" s="3709">
        <f>V90*$U$14</f>
        <v>0</v>
      </c>
      <c r="U90" s="1498">
        <f>IFERROR(T90/$T$44,0)</f>
        <v>0</v>
      </c>
      <c r="V90" s="3710">
        <f>R90*(1+$L$6)</f>
        <v>0</v>
      </c>
      <c r="W90" s="1410" t="n"/>
      <c r="X90" s="3709">
        <f>Z90*$Y$14</f>
        <v>0</v>
      </c>
      <c r="Y90" s="1498">
        <f>IFERROR(X90/$X$44,0)</f>
        <v>0</v>
      </c>
      <c r="Z90" s="3710">
        <f>V90*(1+$L$6)</f>
        <v>0</v>
      </c>
      <c r="AA90" s="1410" t="n"/>
      <c r="AB90" s="3709">
        <f>AD90*$AC$14</f>
        <v>0</v>
      </c>
      <c r="AC90" s="1498">
        <f>IFERROR(AB90/$AB$44,0)</f>
        <v>0</v>
      </c>
      <c r="AD90" s="3710">
        <f>Z90*(1+$L$6)</f>
        <v>0</v>
      </c>
      <c r="AE90" s="1410" t="n"/>
      <c r="AF90" s="3709">
        <f>AH90*$AG$14</f>
        <v>0</v>
      </c>
      <c r="AG90" s="1498">
        <f>IFERROR(AF90/$AF$44,0)</f>
        <v>0</v>
      </c>
      <c r="AH90" s="3710">
        <f>AD90*(1+$L$6)</f>
        <v>0</v>
      </c>
      <c r="AI90" s="1410" t="n"/>
      <c r="AJ90" s="3709">
        <f>AL90*$AK$14</f>
        <v>0</v>
      </c>
      <c r="AK90" s="1498">
        <f>IFERROR(AJ90/$AJ$44,0)</f>
        <v>0</v>
      </c>
      <c r="AL90" s="3710">
        <f>AH90*(1+$L$6)</f>
        <v>0</v>
      </c>
      <c r="AM90" s="1410" t="n"/>
      <c r="AN90" s="3709">
        <f>AP90*$AO$14</f>
        <v>0</v>
      </c>
      <c r="AO90" s="1498">
        <f>IFERROR(AN90/$AN$44,0)</f>
        <v>0</v>
      </c>
      <c r="AP90" s="3710">
        <f>AL90*(1+$L$6)</f>
        <v>0</v>
      </c>
      <c r="AQ90" s="1410" t="n"/>
      <c r="AR90" s="3709">
        <f>AT90*$AS$14</f>
        <v>0</v>
      </c>
      <c r="AS90" s="1498">
        <f>IFERROR(AR90/$AR$44,0)</f>
        <v>0</v>
      </c>
      <c r="AT90" s="3710">
        <f>AP90*(1+$L$6)</f>
        <v>0</v>
      </c>
      <c r="AU90" s="1410" t="n"/>
      <c r="AV90" s="3709">
        <f>AX90*$AW$14</f>
        <v>0</v>
      </c>
      <c r="AW90" s="1498">
        <f>IFERROR(AV90/$AV$44,0)</f>
        <v>0</v>
      </c>
      <c r="AX90" s="3710">
        <f>AT90*(1+$L$6)</f>
        <v>0</v>
      </c>
      <c r="AY90" s="1410" t="n"/>
      <c r="AZ90" s="3709">
        <f>BB90*$BA$14</f>
        <v>0</v>
      </c>
      <c r="BA90" s="1498">
        <f>IFERROR(AZ90/$AZ$44,0)</f>
        <v>0</v>
      </c>
      <c r="BB90" s="3710">
        <f>AX90*(1+$L$6)</f>
        <v>0</v>
      </c>
      <c r="BC90" s="1413" t="n"/>
      <c r="BD90" s="3709" t="n">
        <f t="array" ref="BD90">IFERROR($H90/12,0)</f>
        <v>0</v>
      </c>
      <c r="BE90" s="1498" t="n">
        <f t="array" ref="BE90">IFERROR($H90/$H$44,0)</f>
        <v>0</v>
      </c>
      <c r="BF90" s="3710" t="n">
        <f t="array" ref="BF90">IFERROR(($H90/12)/1650,0)</f>
        <v>0</v>
      </c>
    </row>
    <row r="91" s="1168" customFormat="1" ht="13.5" customHeight="1">
      <c r="A91" s="3711" t="n"/>
      <c r="B91" s="3712" t="n"/>
      <c r="E91" s="3713" t="n"/>
      <c r="F91" s="1503" t="n"/>
      <c r="G91" s="1458" t="inlineStr">
        <is>
          <t xml:space="preserve">Total Other Department Expense</t>
        </is>
      </c>
      <c r="H91" s="3714">
        <f>SUM(H85:H90)</f>
        <v>0</v>
      </c>
      <c r="I91" s="1316">
        <f>SUM(I85:I90)</f>
        <v>0</v>
      </c>
      <c r="J91" s="3602">
        <f>SUM(J85:J90)</f>
        <v>0</v>
      </c>
      <c r="K91" s="1410" t="n"/>
      <c r="L91" s="3714">
        <f>SUM(L85:L90)</f>
        <v>0</v>
      </c>
      <c r="M91" s="1316">
        <f>SUM(M85:M90)</f>
        <v>0</v>
      </c>
      <c r="N91" s="3602">
        <f>SUM(N85:N90)</f>
        <v>0</v>
      </c>
      <c r="O91" s="1410" t="n"/>
      <c r="P91" s="3714">
        <f>SUM(P85:P90)</f>
        <v>0</v>
      </c>
      <c r="Q91" s="1316">
        <f>SUM(Q85:Q90)</f>
        <v>0</v>
      </c>
      <c r="R91" s="3602">
        <f>SUM(R85:R90)</f>
        <v>0</v>
      </c>
      <c r="S91" s="1410" t="n"/>
      <c r="T91" s="3714">
        <f>SUM(T85:T90)</f>
        <v>0</v>
      </c>
      <c r="U91" s="1316">
        <f>SUM(U85:U90)</f>
        <v>0</v>
      </c>
      <c r="V91" s="3602">
        <f>SUM(V85:V90)</f>
        <v>0</v>
      </c>
      <c r="W91" s="1410" t="n"/>
      <c r="X91" s="3714">
        <f>SUM(X85:X90)</f>
        <v>0</v>
      </c>
      <c r="Y91" s="1316">
        <f>SUM(Y85:Y90)</f>
        <v>0</v>
      </c>
      <c r="Z91" s="3602">
        <f>SUM(Z85:Z90)</f>
        <v>0</v>
      </c>
      <c r="AA91" s="1410" t="n"/>
      <c r="AB91" s="3714">
        <f>SUM(AB85:AB90)</f>
        <v>0</v>
      </c>
      <c r="AC91" s="1316">
        <f>SUM(AC85:AC90)</f>
        <v>0</v>
      </c>
      <c r="AD91" s="3602">
        <f>SUM(AD85:AD90)</f>
        <v>0</v>
      </c>
      <c r="AE91" s="1410" t="n"/>
      <c r="AF91" s="3714">
        <f>SUM(AF85:AF90)</f>
        <v>0</v>
      </c>
      <c r="AG91" s="1316">
        <f>SUM(AG85:AG90)</f>
        <v>0</v>
      </c>
      <c r="AH91" s="3602">
        <f>SUM(AH85:AH90)</f>
        <v>0</v>
      </c>
      <c r="AI91" s="1410" t="n"/>
      <c r="AJ91" s="3714">
        <f>SUM(AJ85:AJ90)</f>
        <v>0</v>
      </c>
      <c r="AK91" s="1316">
        <f>SUM(AK85:AK90)</f>
        <v>0</v>
      </c>
      <c r="AL91" s="3602">
        <f>SUM(AL85:AL90)</f>
        <v>0</v>
      </c>
      <c r="AM91" s="1410" t="n"/>
      <c r="AN91" s="3714">
        <f>SUM(AN85:AN90)</f>
        <v>0</v>
      </c>
      <c r="AO91" s="1316">
        <f>SUM(AO85:AO90)</f>
        <v>0</v>
      </c>
      <c r="AP91" s="3602">
        <f>SUM(AP85:AP90)</f>
        <v>0</v>
      </c>
      <c r="AQ91" s="1410" t="n"/>
      <c r="AR91" s="3714">
        <f>SUM(AR85:AR90)</f>
        <v>0</v>
      </c>
      <c r="AS91" s="1316">
        <f>SUM(AS85:AS90)</f>
        <v>0</v>
      </c>
      <c r="AT91" s="3602">
        <f>SUM(AT85:AT90)</f>
        <v>0</v>
      </c>
      <c r="AU91" s="1410" t="n"/>
      <c r="AV91" s="3714">
        <f>SUM(AV85:AV90)</f>
        <v>0</v>
      </c>
      <c r="AW91" s="1316">
        <f>SUM(AW85:AW90)</f>
        <v>0</v>
      </c>
      <c r="AX91" s="3602">
        <f>SUM(AX85:AX90)</f>
        <v>0</v>
      </c>
      <c r="AY91" s="1410" t="n"/>
      <c r="AZ91" s="3714">
        <f>SUM(AZ85:AZ90)</f>
        <v>0</v>
      </c>
      <c r="BA91" s="1316">
        <f>SUM(BA85:BA90)</f>
        <v>0</v>
      </c>
      <c r="BB91" s="3602">
        <f>SUM(BB85:BB90)</f>
        <v>0</v>
      </c>
      <c r="BC91" s="1413" t="n"/>
      <c r="BD91" s="3714" t="n">
        <f t="array" ref="BD91">IFERROR($H91/12,0)</f>
        <v>0</v>
      </c>
      <c r="BE91" s="1316">
        <f>H91+L91+P91+T91+X91+AB91+AF91+AJ91+AN91+AR91+AV91+AZ91</f>
        <v>0</v>
      </c>
      <c r="BF91" s="3602">
        <f>IFERROR(BE91/BE14,0)</f>
        <v>0</v>
      </c>
      <c r="BG91" s="1505" t="n"/>
    </row>
    <row r="92" s="1168" customFormat="1" ht="13.5" customHeight="1">
      <c r="E92" s="3583" t="n"/>
      <c r="F92" s="1172" t="n"/>
      <c r="H92" s="3715" t="n"/>
      <c r="I92" s="3715" t="n"/>
      <c r="J92" s="3716" t="n"/>
      <c r="K92" s="1172" t="n"/>
      <c r="L92" s="3537" t="n"/>
      <c r="M92" s="3715" t="n"/>
      <c r="N92" s="3717" t="n"/>
      <c r="P92" s="3715" t="n"/>
      <c r="Q92" s="3715" t="n"/>
      <c r="R92" s="3717" t="n"/>
      <c r="T92" s="3715" t="n"/>
      <c r="U92" s="3715" t="n"/>
      <c r="V92" s="3717" t="n"/>
      <c r="X92" s="3715" t="n"/>
      <c r="Y92" s="3715" t="n"/>
      <c r="Z92" s="3717" t="n"/>
      <c r="AB92" s="921" t="n"/>
      <c r="AC92" s="1190" t="n"/>
      <c r="AD92" s="3455" t="n"/>
      <c r="AF92" s="921" t="n"/>
      <c r="AG92" s="1190" t="n"/>
      <c r="AH92" s="3455" t="n"/>
      <c r="AJ92" s="921" t="n"/>
      <c r="AK92" s="1190" t="n"/>
      <c r="AL92" s="3455" t="n"/>
      <c r="AN92" s="921" t="n"/>
      <c r="AO92" s="1190" t="n"/>
      <c r="AP92" s="3455" t="n"/>
      <c r="AR92" s="921" t="n"/>
      <c r="AS92" s="1509" t="n"/>
      <c r="AT92" s="3455" t="n"/>
      <c r="AV92" s="921" t="n"/>
      <c r="AW92" s="1190" t="n"/>
      <c r="AX92" s="3455" t="n"/>
      <c r="AZ92" s="921" t="n"/>
      <c r="BA92" s="1190" t="n"/>
      <c r="BB92" s="3455" t="n"/>
      <c r="BD92" s="921" t="n"/>
      <c r="BE92" s="1190" t="n"/>
      <c r="BF92" s="3455" t="n"/>
    </row>
    <row r="93" s="1168" customFormat="1" ht="12.75" customHeight="1">
      <c r="B93" s="3538" t="n"/>
      <c r="C93" s="643" t="n"/>
      <c r="D93" s="643" t="n"/>
      <c r="E93" s="3583" t="n"/>
      <c r="F93" s="1172" t="n"/>
      <c r="G93" s="1272" t="inlineStr">
        <is>
          <t xml:space="preserve">Wages</t>
        </is>
      </c>
      <c r="H93" s="1510" t="inlineStr">
        <is>
          <t xml:space="preserve">Budget</t>
        </is>
      </c>
      <c r="I93" s="1511" t="inlineStr">
        <is>
          <t xml:space="preserve">%</t>
        </is>
      </c>
      <c r="J93" s="1512" t="inlineStr">
        <is>
          <t xml:space="preserve">CPOR</t>
        </is>
      </c>
      <c r="K93" s="1172" t="n"/>
      <c r="L93" s="1510" t="inlineStr">
        <is>
          <t xml:space="preserve">Budget</t>
        </is>
      </c>
      <c r="M93" s="1511" t="inlineStr">
        <is>
          <t xml:space="preserve">%</t>
        </is>
      </c>
      <c r="N93" s="1512" t="inlineStr">
        <is>
          <t xml:space="preserve">CPOR</t>
        </is>
      </c>
      <c r="P93" s="1510" t="inlineStr">
        <is>
          <t xml:space="preserve">Budget</t>
        </is>
      </c>
      <c r="Q93" s="1511" t="inlineStr">
        <is>
          <t xml:space="preserve">%</t>
        </is>
      </c>
      <c r="R93" s="1512" t="inlineStr">
        <is>
          <t xml:space="preserve">CPOR</t>
        </is>
      </c>
      <c r="T93" s="1510" t="inlineStr">
        <is>
          <t xml:space="preserve">Budget</t>
        </is>
      </c>
      <c r="U93" s="1511" t="inlineStr">
        <is>
          <t xml:space="preserve">%</t>
        </is>
      </c>
      <c r="V93" s="1512" t="inlineStr">
        <is>
          <t xml:space="preserve">CPOR</t>
        </is>
      </c>
      <c r="X93" s="1510" t="inlineStr">
        <is>
          <t xml:space="preserve">Budget</t>
        </is>
      </c>
      <c r="Y93" s="1511" t="inlineStr">
        <is>
          <t xml:space="preserve">%</t>
        </is>
      </c>
      <c r="Z93" s="1512" t="inlineStr">
        <is>
          <t xml:space="preserve">CPOR</t>
        </is>
      </c>
      <c r="AB93" s="1510" t="inlineStr">
        <is>
          <t xml:space="preserve">Budget</t>
        </is>
      </c>
      <c r="AC93" s="1511" t="inlineStr">
        <is>
          <t xml:space="preserve">%</t>
        </is>
      </c>
      <c r="AD93" s="1512" t="inlineStr">
        <is>
          <t xml:space="preserve">CPOR</t>
        </is>
      </c>
      <c r="AF93" s="1510" t="inlineStr">
        <is>
          <t xml:space="preserve">Budget</t>
        </is>
      </c>
      <c r="AG93" s="1511" t="inlineStr">
        <is>
          <t xml:space="preserve">%</t>
        </is>
      </c>
      <c r="AH93" s="1512" t="inlineStr">
        <is>
          <t xml:space="preserve">CPOR</t>
        </is>
      </c>
      <c r="AJ93" s="1510" t="inlineStr">
        <is>
          <t xml:space="preserve">Budget</t>
        </is>
      </c>
      <c r="AK93" s="1511" t="inlineStr">
        <is>
          <t xml:space="preserve">%</t>
        </is>
      </c>
      <c r="AL93" s="1512" t="inlineStr">
        <is>
          <t xml:space="preserve">CPOR</t>
        </is>
      </c>
      <c r="AN93" s="1510" t="inlineStr">
        <is>
          <t xml:space="preserve">Budget</t>
        </is>
      </c>
      <c r="AO93" s="1511" t="inlineStr">
        <is>
          <t xml:space="preserve">%</t>
        </is>
      </c>
      <c r="AP93" s="1512" t="inlineStr">
        <is>
          <t xml:space="preserve">CPOR</t>
        </is>
      </c>
      <c r="AR93" s="1510" t="inlineStr">
        <is>
          <t xml:space="preserve">Budget</t>
        </is>
      </c>
      <c r="AS93" s="1511" t="inlineStr">
        <is>
          <t xml:space="preserve">%</t>
        </is>
      </c>
      <c r="AT93" s="1512" t="inlineStr">
        <is>
          <t xml:space="preserve">CPOR</t>
        </is>
      </c>
      <c r="AV93" s="1510" t="inlineStr">
        <is>
          <t xml:space="preserve">Budget</t>
        </is>
      </c>
      <c r="AW93" s="1511" t="inlineStr">
        <is>
          <t xml:space="preserve">%</t>
        </is>
      </c>
      <c r="AX93" s="1512" t="inlineStr">
        <is>
          <t xml:space="preserve">CPOR</t>
        </is>
      </c>
      <c r="AZ93" s="1510" t="inlineStr">
        <is>
          <t xml:space="preserve">Budget</t>
        </is>
      </c>
      <c r="BA93" s="1511" t="inlineStr">
        <is>
          <t xml:space="preserve">%</t>
        </is>
      </c>
      <c r="BB93" s="1512" t="inlineStr">
        <is>
          <t xml:space="preserve">CPOR</t>
        </is>
      </c>
      <c r="BC93" s="1426" t="n"/>
      <c r="BD93" s="1510" t="inlineStr">
        <is>
          <t xml:space="preserve">Budget</t>
        </is>
      </c>
      <c r="BE93" s="1511" t="inlineStr">
        <is>
          <t xml:space="preserve">%</t>
        </is>
      </c>
      <c r="BF93" s="1512" t="inlineStr">
        <is>
          <t xml:space="preserve">CPOR</t>
        </is>
      </c>
    </row>
    <row r="94" s="1168" customFormat="1" ht="15" customHeight="1">
      <c r="A94" s="3445" t="n">
        <v>10</v>
      </c>
      <c r="B94" s="3538" t="n"/>
      <c r="C94" s="4519" t="n">
        <v>0</v>
      </c>
      <c r="D94" s="643" t="n">
        <v>365</v>
      </c>
      <c r="E94" s="3583" t="n">
        <v>20</v>
      </c>
      <c r="F94" s="1172" t="n"/>
      <c r="G94" s="4520" t="inlineStr">
        <is>
          <t xml:space="preserve">Remote guest services / no staffed front desk</t>
        </is>
      </c>
      <c r="H94" s="3718">
        <f>J94*$I$14</f>
        <v>0</v>
      </c>
      <c r="I94" s="1514">
        <f>IFERROR(H94/$H$44,0)</f>
        <v>0</v>
      </c>
      <c r="J94" s="3719">
        <v>0</v>
      </c>
      <c r="K94" s="1172" t="n"/>
      <c r="L94" s="3718">
        <f>N94*$M$14</f>
        <v>0</v>
      </c>
      <c r="M94" s="1514">
        <f>IFERROR(L94/$L$44,0)</f>
        <v>0</v>
      </c>
      <c r="N94" s="3719">
        <f>J94*(1+$L$6)</f>
        <v>0</v>
      </c>
      <c r="P94" s="3718">
        <f>R94*$Q$14</f>
        <v>0</v>
      </c>
      <c r="Q94" s="1514">
        <f>IFERROR(P94/$P$44,0)</f>
        <v>0</v>
      </c>
      <c r="R94" s="3719">
        <f>N94*(1+$L$6)</f>
        <v>0</v>
      </c>
      <c r="T94" s="3718">
        <f>V94*$U$14</f>
        <v>0</v>
      </c>
      <c r="U94" s="1514">
        <f>IFERROR(T94/$T$44,0)</f>
        <v>0</v>
      </c>
      <c r="V94" s="3719">
        <f>R94*(1+$L$6)</f>
        <v>0</v>
      </c>
      <c r="X94" s="3718">
        <f>Z94*$Y$14</f>
        <v>0</v>
      </c>
      <c r="Y94" s="1514">
        <f>IFERROR(X94/$X$44,0)</f>
        <v>0</v>
      </c>
      <c r="Z94" s="3719">
        <f>V94*(1+$L$6)</f>
        <v>0</v>
      </c>
      <c r="AB94" s="3718">
        <f>AD94*$AC$14</f>
        <v>0</v>
      </c>
      <c r="AC94" s="1516">
        <f>IFERROR(AB94/$AB$44,0)</f>
        <v>0</v>
      </c>
      <c r="AD94" s="3720">
        <f>Z94*(1+$L$6)</f>
        <v>0</v>
      </c>
      <c r="AF94" s="3718">
        <f>AH94*$AG$14</f>
        <v>0</v>
      </c>
      <c r="AG94" s="1516">
        <f>IFERROR(AF94/$AF$44,0)</f>
        <v>0</v>
      </c>
      <c r="AH94" s="3720">
        <f>AD94*(1+$L$6)</f>
        <v>0</v>
      </c>
      <c r="AJ94" s="3718">
        <f>AL94*$AK$14</f>
        <v>0</v>
      </c>
      <c r="AK94" s="1516">
        <f>IFERROR(AJ94/$AJ$44,0)</f>
        <v>0</v>
      </c>
      <c r="AL94" s="3720">
        <f>AH94*(1+$L$6)</f>
        <v>0</v>
      </c>
      <c r="AN94" s="3718">
        <f>AP94*$AO$14</f>
        <v>0</v>
      </c>
      <c r="AO94" s="1516">
        <f>IFERROR(AN94/$AN$44,0)</f>
        <v>0</v>
      </c>
      <c r="AP94" s="3720">
        <f>AL94*(1+$L$6)</f>
        <v>0</v>
      </c>
      <c r="AR94" s="3718">
        <f>AT94*$AS$14</f>
        <v>0</v>
      </c>
      <c r="AS94" s="1516">
        <f>IFERROR(AR94/$AR$44,0)</f>
        <v>0</v>
      </c>
      <c r="AT94" s="3720">
        <f>AP94*(1+$L$6)</f>
        <v>0</v>
      </c>
      <c r="AV94" s="3718">
        <f>AX94*$AW$14</f>
        <v>0</v>
      </c>
      <c r="AW94" s="1516">
        <f>IFERROR(AV94/$AV$44,0)</f>
        <v>0</v>
      </c>
      <c r="AX94" s="3720">
        <f>AT94*(1+$L$6)</f>
        <v>0</v>
      </c>
      <c r="AZ94" s="3718">
        <f>BB94*$BA$14</f>
        <v>0</v>
      </c>
      <c r="BA94" s="1516">
        <f>IFERROR(AZ94/$AZ$44,0)</f>
        <v>0</v>
      </c>
      <c r="BB94" s="3720">
        <f>AX94*(1+$L$6)</f>
        <v>0</v>
      </c>
      <c r="BD94" s="3718" t="n">
        <f t="array" ref="BD94">IFERROR($H94/12,0)</f>
        <v>0</v>
      </c>
      <c r="BE94" s="1516" t="n">
        <f t="array" ref="BE94">IFERROR($H94/$H$44,0)</f>
        <v>0</v>
      </c>
      <c r="BF94" s="3720" t="n">
        <f t="array" ref="BF94">IFERROR(($H94/12)/1650,0)</f>
        <v>0</v>
      </c>
    </row>
    <row r="95" s="1168" customFormat="1" ht="15" customHeight="1">
      <c r="A95" s="3445" t="n">
        <v>11</v>
      </c>
      <c r="B95" s="3538" t="n"/>
      <c r="C95" s="4519" t="n">
        <v>0</v>
      </c>
      <c r="D95" s="643" t="n">
        <v>365</v>
      </c>
      <c r="E95" s="3583" t="n">
        <v>20</v>
      </c>
      <c r="F95" s="1172" t="n"/>
      <c r="G95" s="4520" t="inlineStr">
        <is>
          <t xml:space="preserve">Night audit/laundry/houseman removed — remote monitoring + outsourced laundry</t>
        </is>
      </c>
      <c r="H95" s="3718">
        <f>J95*$I$14</f>
        <v>0</v>
      </c>
      <c r="I95" s="1514">
        <f>IFERROR(H95/$H$44,0)</f>
        <v>0</v>
      </c>
      <c r="J95" s="3719">
        <v>0</v>
      </c>
      <c r="K95" s="1172" t="n"/>
      <c r="L95" s="3718">
        <f>N95*$M$14</f>
        <v>0</v>
      </c>
      <c r="M95" s="1514">
        <f>IFERROR(L95/$L$44,0)</f>
        <v>0</v>
      </c>
      <c r="N95" s="3719">
        <f>J95*(1+$L$6)</f>
        <v>0</v>
      </c>
      <c r="P95" s="3718">
        <f>R95*$Q$14</f>
        <v>0</v>
      </c>
      <c r="Q95" s="1514">
        <f>IFERROR(P95/$P$44,0)</f>
        <v>0</v>
      </c>
      <c r="R95" s="3719">
        <f>N95*(1+$L$6)</f>
        <v>0</v>
      </c>
      <c r="T95" s="3718">
        <f>V95*$U$14</f>
        <v>0</v>
      </c>
      <c r="U95" s="1514">
        <f>IFERROR(T95/$T$44,0)</f>
        <v>0</v>
      </c>
      <c r="V95" s="3719">
        <f>R95*(1+$L$6)</f>
        <v>0</v>
      </c>
      <c r="X95" s="3718">
        <f>Z95*$Y$14</f>
        <v>0</v>
      </c>
      <c r="Y95" s="1514">
        <f>IFERROR(X95/$X$44,0)</f>
        <v>0</v>
      </c>
      <c r="Z95" s="3719">
        <f>V95*(1+$L$6)</f>
        <v>0</v>
      </c>
      <c r="AB95" s="3718">
        <f>AD95*$AC$14</f>
        <v>0</v>
      </c>
      <c r="AC95" s="1516">
        <f>IFERROR(AB95/$AB$44,0)</f>
        <v>0</v>
      </c>
      <c r="AD95" s="3720">
        <f>Z95*(1+$L$6)</f>
        <v>0</v>
      </c>
      <c r="AF95" s="3718">
        <f>AH95*$AG$14</f>
        <v>0</v>
      </c>
      <c r="AG95" s="1516">
        <f>IFERROR(AF95/$AF$44,0)</f>
        <v>0</v>
      </c>
      <c r="AH95" s="3720">
        <f>AD95*(1+$L$6)</f>
        <v>0</v>
      </c>
      <c r="AJ95" s="3718">
        <f>AL95*$AK$14</f>
        <v>0</v>
      </c>
      <c r="AK95" s="1516">
        <f>IFERROR(AJ95/$AJ$44,0)</f>
        <v>0</v>
      </c>
      <c r="AL95" s="3720">
        <f>AH95*(1+$L$6)</f>
        <v>0</v>
      </c>
      <c r="AN95" s="3718">
        <f>AP95*$AO$14</f>
        <v>0</v>
      </c>
      <c r="AO95" s="1516">
        <f>IFERROR(AN95/$AN$44,0)</f>
        <v>0</v>
      </c>
      <c r="AP95" s="3720">
        <f>AL95*(1+$L$6)</f>
        <v>0</v>
      </c>
      <c r="AR95" s="3718">
        <f>AT95*$AS$14</f>
        <v>0</v>
      </c>
      <c r="AS95" s="1516">
        <f>IFERROR(AR95/$AR$44,0)</f>
        <v>0</v>
      </c>
      <c r="AT95" s="3720">
        <f>AP95*(1+$L$6)</f>
        <v>0</v>
      </c>
      <c r="AV95" s="3718">
        <f>AX95*$AW$14</f>
        <v>0</v>
      </c>
      <c r="AW95" s="1516">
        <f>IFERROR(AV95/$AV$44,0)</f>
        <v>0</v>
      </c>
      <c r="AX95" s="3720">
        <f>AT95*(1+$L$6)</f>
        <v>0</v>
      </c>
      <c r="AZ95" s="3718">
        <f>BB95*$BA$14</f>
        <v>0</v>
      </c>
      <c r="BA95" s="1516">
        <f>IFERROR(AZ95/$AZ$44,0)</f>
        <v>0</v>
      </c>
      <c r="BB95" s="3720">
        <f>AX95*(1+$L$6)</f>
        <v>0</v>
      </c>
      <c r="BD95" s="3718" t="n">
        <f t="array" ref="BD95">IFERROR($H95/12,0)</f>
        <v>0</v>
      </c>
      <c r="BE95" s="1516" t="n">
        <f t="array" ref="BE95">IFERROR($H95/$H$44,0)</f>
        <v>0</v>
      </c>
      <c r="BF95" s="3720" t="n">
        <f t="array" ref="BF95">IFERROR(($H95/12)/1650,0)</f>
        <v>0</v>
      </c>
    </row>
    <row r="96" s="1168" customFormat="1" ht="15" customHeight="1">
      <c r="A96" s="3445" t="n">
        <v>9</v>
      </c>
      <c r="B96" s="1116" t="n">
        <v>0.25</v>
      </c>
      <c r="C96" s="643" t="n">
        <f t="array" ref="C96">I14</f>
        <v>20075</v>
      </c>
      <c r="D96" s="643" t="n">
        <f t="array" ref="D96">B96*C96</f>
        <v>5018.75</v>
      </c>
      <c r="E96" s="3583" t="n">
        <v>20</v>
      </c>
      <c r="F96" s="1172" t="n"/>
      <c r="G96" s="1283" t="inlineStr">
        <is>
          <t xml:space="preserve">Room Attendants</t>
        </is>
      </c>
      <c r="H96" s="3718">
        <f>J96*$I$14</f>
        <v>100375</v>
      </c>
      <c r="I96" s="1514">
        <f>IFERROR(H96/$H$44,0)</f>
        <v>0.0675675675676</v>
      </c>
      <c r="J96" s="3719">
        <v>5</v>
      </c>
      <c r="K96" s="1172" t="n"/>
      <c r="L96" s="3718">
        <f>N96*$M$14</f>
        <v>119811.25</v>
      </c>
      <c r="M96" s="1514">
        <f>IFERROR(L96/$L$44,0)</f>
        <v>0.0669051404346</v>
      </c>
      <c r="N96" s="3719">
        <f>J96*(1+$L$6)</f>
        <v>5.05</v>
      </c>
      <c r="P96" s="3718">
        <f>R96*$Q$14</f>
        <v>134041.14</v>
      </c>
      <c r="Q96" s="1514">
        <f>IFERROR(P96/$P$44,0)</f>
        <v>0.0662492076852</v>
      </c>
      <c r="R96" s="3719">
        <f>N96*(1+$L$6)</f>
        <v>5.1005</v>
      </c>
      <c r="T96" s="3718">
        <f>V96*$U$14</f>
        <v>135381.5514</v>
      </c>
      <c r="U96" s="1514">
        <f>IFERROR(T96/$T$44,0)</f>
        <v>0.0655997056491</v>
      </c>
      <c r="V96" s="3719">
        <f>R96*(1+$L$6)</f>
        <v>5.151505</v>
      </c>
      <c r="X96" s="3718">
        <f>Z96*$Y$14</f>
        <v>136735.366914</v>
      </c>
      <c r="Y96" s="1514">
        <f>IFERROR(X96/$X$44,0)</f>
        <v>0.06495657128</v>
      </c>
      <c r="Z96" s="3719">
        <f>V96*(1+$L$6)</f>
        <v>5.20302005</v>
      </c>
      <c r="AB96" s="3718">
        <f>AD96*$AC$14</f>
        <v>138102.720583</v>
      </c>
      <c r="AC96" s="1516">
        <f>IFERROR(AB96/$AB$44,0)</f>
        <v>0.0643197421498</v>
      </c>
      <c r="AD96" s="3720">
        <f>Z96*(1+$L$6)</f>
        <v>5.2550502505</v>
      </c>
      <c r="AF96" s="3718">
        <f>AH96*$AG$14</f>
        <v>139483.747789</v>
      </c>
      <c r="AG96" s="1516">
        <f>IFERROR(AF96/$AF$44,0)</f>
        <v>0.0636891564424</v>
      </c>
      <c r="AH96" s="3720">
        <f>AD96*(1+$L$6)</f>
        <v>5.30760075301</v>
      </c>
      <c r="AJ96" s="3718">
        <f>AL96*$AK$14</f>
        <v>140878.585267</v>
      </c>
      <c r="AK96" s="1516">
        <f>IFERROR(AJ96/$AJ$44,0)</f>
        <v>0.0630647529479</v>
      </c>
      <c r="AL96" s="3720">
        <f>AH96*(1+$L$6)</f>
        <v>5.36067676054</v>
      </c>
      <c r="AN96" s="3718">
        <f>AP96*$AO$14</f>
        <v>142287.37112</v>
      </c>
      <c r="AO96" s="1516">
        <f>IFERROR(AN96/$AN$44,0)</f>
        <v>0.0624464710562</v>
      </c>
      <c r="AP96" s="3720">
        <f>AL96*(1+$L$6)</f>
        <v>5.41428352814</v>
      </c>
      <c r="AR96" s="3718">
        <f>AT96*$AS$14</f>
        <v>143710.244831</v>
      </c>
      <c r="AS96" s="1516">
        <f>IFERROR(AR96/$AR$44,0)</f>
        <v>0.0618342507518</v>
      </c>
      <c r="AT96" s="3720">
        <f>AP96*(1+$L$6)</f>
        <v>5.46842636342</v>
      </c>
      <c r="AV96" s="3718">
        <f>AX96*$AW$14</f>
        <v>145147.347279</v>
      </c>
      <c r="AW96" s="1516">
        <f>IFERROR(AV96/$AV$44,0)</f>
        <v>0.0624525932593</v>
      </c>
      <c r="AX96" s="3720">
        <f>AT96*(1+$L$6)</f>
        <v>5.52311062706</v>
      </c>
      <c r="AZ96" s="3718">
        <f>BB96*$BA$14</f>
        <v>146598.820752</v>
      </c>
      <c r="BA96" s="1516">
        <f>IFERROR(AZ96/$AZ$44,0)</f>
        <v>0.0630771191919</v>
      </c>
      <c r="BB96" s="3720">
        <f>AX96*(1+$L$6)</f>
        <v>5.57834173333</v>
      </c>
      <c r="BD96" s="3718" t="n">
        <f t="array" ref="BD96">IFERROR($H96/12,0)</f>
        <v>8364.583333333334</v>
      </c>
      <c r="BE96" s="1516" t="n">
        <f t="array" ref="BE96">IFERROR($H96/$H$44,0)</f>
        <v>0.06756756756756757</v>
      </c>
      <c r="BF96" s="3720" t="n">
        <f t="array" ref="BF96">IFERROR(($H96/12)/1650,0)</f>
        <v>5.069444444444445</v>
      </c>
    </row>
    <row r="97" s="1168" customFormat="1" ht="15" customHeight="1">
      <c r="A97" s="4521" t="n">
        <v>0</v>
      </c>
      <c r="B97" s="3538" t="n"/>
      <c r="C97" s="4519" t="n">
        <v>0</v>
      </c>
      <c r="D97" s="643" t="n"/>
      <c r="E97" s="3583" t="n"/>
      <c r="F97" s="1172" t="n"/>
      <c r="G97" s="4520" t="inlineStr">
        <is>
          <t xml:space="preserve">Laundry labor removed — off-site laundry</t>
        </is>
      </c>
      <c r="H97" s="4522">
        <f>J97*$I$14</f>
        <v>0</v>
      </c>
      <c r="I97" s="1514">
        <f>IFERROR(H97/$H$44,0)</f>
        <v>0</v>
      </c>
      <c r="J97" s="3719">
        <v>0</v>
      </c>
      <c r="K97" s="1172" t="n"/>
      <c r="L97" s="3718">
        <f>N97*$M$14</f>
        <v>0</v>
      </c>
      <c r="M97" s="1514">
        <f>IFERROR(L97/$L$44,0)</f>
        <v>0</v>
      </c>
      <c r="N97" s="3719">
        <f>J97*(1+$L$6)</f>
        <v>0</v>
      </c>
      <c r="P97" s="3718">
        <f>R97*$Q$14</f>
        <v>0</v>
      </c>
      <c r="Q97" s="1514">
        <f>IFERROR(P97/$P$44,0)</f>
        <v>0</v>
      </c>
      <c r="R97" s="3719">
        <f>N97*(1+$L$6)</f>
        <v>0</v>
      </c>
      <c r="T97" s="3718">
        <f>V97*$U$14</f>
        <v>0</v>
      </c>
      <c r="U97" s="1514">
        <f>IFERROR(T97/$T$44,0)</f>
        <v>0</v>
      </c>
      <c r="V97" s="3719">
        <f>R97*(1+$L$6)</f>
        <v>0</v>
      </c>
      <c r="X97" s="3718">
        <f>Z97*$Y$14</f>
        <v>0</v>
      </c>
      <c r="Y97" s="1514">
        <f>IFERROR(X97/$X$44,0)</f>
        <v>0</v>
      </c>
      <c r="Z97" s="3719">
        <f>V97*(1+$L$6)</f>
        <v>0</v>
      </c>
      <c r="AB97" s="3718">
        <f>AD97*$AC$14</f>
        <v>0</v>
      </c>
      <c r="AC97" s="1516">
        <f>IFERROR(AB97/$AB$44,0)</f>
        <v>0</v>
      </c>
      <c r="AD97" s="3720">
        <f>Z97*(1+$L$6)</f>
        <v>0</v>
      </c>
      <c r="AF97" s="3718">
        <f>AH97*$AG$14</f>
        <v>0</v>
      </c>
      <c r="AG97" s="1516">
        <f>IFERROR(AF97/$AF$44,0)</f>
        <v>0</v>
      </c>
      <c r="AH97" s="3720">
        <f>AD97*(1+$L$6)</f>
        <v>0</v>
      </c>
      <c r="AJ97" s="3718">
        <f>AL97*$AK$14</f>
        <v>0</v>
      </c>
      <c r="AK97" s="1516">
        <f>IFERROR(AJ97/$AJ$44,0)</f>
        <v>0</v>
      </c>
      <c r="AL97" s="3720">
        <f>AH97*(1+$L$6)</f>
        <v>0</v>
      </c>
      <c r="AN97" s="3718">
        <f>AP97*$AO$14</f>
        <v>0</v>
      </c>
      <c r="AO97" s="1516">
        <f>IFERROR(AN97/$AN$44,0)</f>
        <v>0</v>
      </c>
      <c r="AP97" s="3720">
        <f>AL97*(1+$L$6)</f>
        <v>0</v>
      </c>
      <c r="AR97" s="3718">
        <f>AT97*$AS$14</f>
        <v>0</v>
      </c>
      <c r="AS97" s="1516">
        <f>IFERROR(AR97/$AR$44,0)</f>
        <v>0</v>
      </c>
      <c r="AT97" s="3720">
        <f>AP97*(1+$L$6)</f>
        <v>0</v>
      </c>
      <c r="AV97" s="3718">
        <f>AX97*$AW$14</f>
        <v>0</v>
      </c>
      <c r="AW97" s="1516">
        <f>IFERROR(AV97/$AV$44,0)</f>
        <v>0</v>
      </c>
      <c r="AX97" s="3720">
        <f>AT97*(1+$L$6)</f>
        <v>0</v>
      </c>
      <c r="AZ97" s="3718">
        <f>BB97*$BA$14</f>
        <v>0</v>
      </c>
      <c r="BA97" s="1516">
        <f>IFERROR(AZ97/$AZ$44,0)</f>
        <v>0</v>
      </c>
      <c r="BB97" s="3720">
        <f>AX97*(1+$L$6)</f>
        <v>0</v>
      </c>
      <c r="BD97" s="3718" t="n">
        <f t="array" ref="BD97">AZ97+AV97+AR97+AN97+AJ97+AF97+AB97+X97+T97+P97+L97+H97</f>
        <v>0</v>
      </c>
      <c r="BE97" s="1516" t="n">
        <f t="array" ref="BE97">(BD97/$BD$44)</f>
        <v>0</v>
      </c>
      <c r="BF97" s="3720" t="n">
        <f t="array" ref="BF97">BD97/$BE$14</f>
        <v>0</v>
      </c>
    </row>
    <row r="98" s="1168" customFormat="1" ht="15" customHeight="1">
      <c r="A98" s="3445" t="n">
        <v>0</v>
      </c>
      <c r="B98" s="3538" t="n"/>
      <c r="C98" s="643" t="n">
        <v>8</v>
      </c>
      <c r="D98" s="643" t="n"/>
      <c r="E98" s="3583" t="n"/>
      <c r="F98" s="1172" t="n"/>
      <c r="G98" s="1283" t="inlineStr">
        <is>
          <t xml:space="preserve">Breakfast Attendant</t>
        </is>
      </c>
      <c r="H98" s="3718">
        <f>J98*$I$14</f>
        <v>0</v>
      </c>
      <c r="I98" s="1514">
        <f>IFERROR(H98/$H$44,0)</f>
        <v>0</v>
      </c>
      <c r="J98" s="3719">
        <v>0</v>
      </c>
      <c r="K98" s="1172" t="n"/>
      <c r="L98" s="3718">
        <f>N98*$M$14</f>
        <v>0</v>
      </c>
      <c r="M98" s="1514">
        <f>IFERROR(L98/$L$44,0)</f>
        <v>0</v>
      </c>
      <c r="N98" s="3719">
        <f>J98*(1+$L$6)</f>
        <v>0</v>
      </c>
      <c r="P98" s="3718">
        <f>R98*$Q$14</f>
        <v>0</v>
      </c>
      <c r="Q98" s="1514">
        <f>IFERROR(P98/$P$44,0)</f>
        <v>0</v>
      </c>
      <c r="R98" s="3719">
        <f>N98*(1+$L$6)</f>
        <v>0</v>
      </c>
      <c r="T98" s="3718">
        <f>V98*$U$14</f>
        <v>0</v>
      </c>
      <c r="U98" s="1514">
        <f>IFERROR(T98/$T$44,0)</f>
        <v>0</v>
      </c>
      <c r="V98" s="3719">
        <f>R98*(1+$L$6)</f>
        <v>0</v>
      </c>
      <c r="X98" s="3718">
        <f>Z98*$Y$14</f>
        <v>0</v>
      </c>
      <c r="Y98" s="1514">
        <f>IFERROR(X98/$X$44,0)</f>
        <v>0</v>
      </c>
      <c r="Z98" s="3719">
        <f>V98*(1+$L$6)</f>
        <v>0</v>
      </c>
      <c r="AB98" s="3718">
        <f>AD98*$AC$14</f>
        <v>0</v>
      </c>
      <c r="AC98" s="1516">
        <f>IFERROR(AB98/$AB$44,0)</f>
        <v>0</v>
      </c>
      <c r="AD98" s="3720">
        <f>Z98*(1+$L$6)</f>
        <v>0</v>
      </c>
      <c r="AF98" s="3718">
        <f>AH98*$AG$14</f>
        <v>0</v>
      </c>
      <c r="AG98" s="1516">
        <f>IFERROR(AF98/$AF$44,0)</f>
        <v>0</v>
      </c>
      <c r="AH98" s="3720">
        <f>AD98*(1+$L$6)</f>
        <v>0</v>
      </c>
      <c r="AJ98" s="3718">
        <f>AL98*$AK$14</f>
        <v>0</v>
      </c>
      <c r="AK98" s="1516">
        <f>IFERROR(AJ98/$AJ$44,0)</f>
        <v>0</v>
      </c>
      <c r="AL98" s="3720">
        <f>AH98*(1+$L$6)</f>
        <v>0</v>
      </c>
      <c r="AN98" s="3718">
        <f>AP98*$AO$14</f>
        <v>0</v>
      </c>
      <c r="AO98" s="1516">
        <f>IFERROR(AN98/$AN$44,0)</f>
        <v>0</v>
      </c>
      <c r="AP98" s="3720">
        <f>AL98*(1+$L$6)</f>
        <v>0</v>
      </c>
      <c r="AR98" s="3718">
        <f>AT98*$AS$14</f>
        <v>0</v>
      </c>
      <c r="AS98" s="1516">
        <f>IFERROR(AR98/$AR$44,0)</f>
        <v>0</v>
      </c>
      <c r="AT98" s="3720">
        <f>AP98*(1+$L$6)</f>
        <v>0</v>
      </c>
      <c r="AV98" s="3718">
        <f>AX98*$AW$14</f>
        <v>0</v>
      </c>
      <c r="AW98" s="1516">
        <f>IFERROR(AV98/$AV$44,0)</f>
        <v>0</v>
      </c>
      <c r="AX98" s="3720">
        <f>AT98*(1+$L$6)</f>
        <v>0</v>
      </c>
      <c r="AZ98" s="3718">
        <f>BB98*$BA$14</f>
        <v>0</v>
      </c>
      <c r="BA98" s="1516">
        <f>IFERROR(AZ98/$AZ$44,0)</f>
        <v>0</v>
      </c>
      <c r="BB98" s="3720">
        <f>AX98*(1+$L$6)</f>
        <v>0</v>
      </c>
      <c r="BD98" s="3718" t="n">
        <f t="array" ref="BD98">IFERROR($H98/12,0)</f>
        <v>0</v>
      </c>
      <c r="BE98" s="1516" t="n">
        <f t="array" ref="BE98">IFERROR($H98/$H$44,0)</f>
        <v>0</v>
      </c>
      <c r="BF98" s="3720" t="n">
        <f t="array" ref="BF98">IFERROR(($H98/12)/1650,0)</f>
        <v>0</v>
      </c>
    </row>
    <row r="99" s="1168" customFormat="1" ht="15" customHeight="1">
      <c r="A99" s="3445" t="n">
        <v>0</v>
      </c>
      <c r="B99" s="3538" t="n"/>
      <c r="C99" s="643" t="n">
        <v>16</v>
      </c>
      <c r="D99" s="643" t="n">
        <v>365</v>
      </c>
      <c r="E99" s="3583" t="n">
        <v>20</v>
      </c>
      <c r="F99" s="1172" t="n"/>
      <c r="G99" s="1283" t="inlineStr">
        <is>
          <t xml:space="preserve">Houseman (eliminated — combined into Night Audit/Laundry role)</t>
        </is>
      </c>
      <c r="H99" s="3718">
        <f>J99*$I$14</f>
        <v>0</v>
      </c>
      <c r="I99" s="1514">
        <f>IFERROR(H99/$H$44,0)</f>
        <v>0</v>
      </c>
      <c r="J99" s="3719">
        <v>0</v>
      </c>
      <c r="K99" s="1172" t="n"/>
      <c r="L99" s="3718">
        <f>N99*$M$14</f>
        <v>0</v>
      </c>
      <c r="M99" s="1514">
        <f>IFERROR(L99/$L$44,0)</f>
        <v>0</v>
      </c>
      <c r="N99" s="3719">
        <f>J99*(1+$L$6)</f>
        <v>0</v>
      </c>
      <c r="P99" s="3718">
        <f>R99*$Q$14</f>
        <v>0</v>
      </c>
      <c r="Q99" s="1514">
        <f>IFERROR(P99/$P$44,0)</f>
        <v>0</v>
      </c>
      <c r="R99" s="3719">
        <f>N99*(1+$L$6)</f>
        <v>0</v>
      </c>
      <c r="T99" s="3718">
        <f>V99*$U$14</f>
        <v>0</v>
      </c>
      <c r="U99" s="1514">
        <f>IFERROR(T99/$T$44,0)</f>
        <v>0</v>
      </c>
      <c r="V99" s="3719">
        <f>R99*(1+$L$6)</f>
        <v>0</v>
      </c>
      <c r="X99" s="3718">
        <f>Z99*$Y$14</f>
        <v>0</v>
      </c>
      <c r="Y99" s="1514">
        <f>IFERROR(X99/$X$44,0)</f>
        <v>0</v>
      </c>
      <c r="Z99" s="3719">
        <f>V99*(1+$L$6)</f>
        <v>0</v>
      </c>
      <c r="AB99" s="3718">
        <f>AD99*$AC$14</f>
        <v>0</v>
      </c>
      <c r="AC99" s="1516">
        <f>IFERROR(AB99/$AB$44,0)</f>
        <v>0</v>
      </c>
      <c r="AD99" s="3720">
        <f>Z99*(1+$L$6)</f>
        <v>0</v>
      </c>
      <c r="AF99" s="3718">
        <f>AH99*$AG$14</f>
        <v>0</v>
      </c>
      <c r="AG99" s="1516">
        <f>IFERROR(AF99/$AF$44,0)</f>
        <v>0</v>
      </c>
      <c r="AH99" s="3720">
        <f>AD99*(1+$L$6)</f>
        <v>0</v>
      </c>
      <c r="AJ99" s="3718">
        <f>AL99*$AK$14</f>
        <v>0</v>
      </c>
      <c r="AK99" s="1516">
        <f>IFERROR(AJ99/$AJ$44,0)</f>
        <v>0</v>
      </c>
      <c r="AL99" s="3720">
        <f>AH99*(1+$L$6)</f>
        <v>0</v>
      </c>
      <c r="AN99" s="3718">
        <f>AP99*$AO$14</f>
        <v>0</v>
      </c>
      <c r="AO99" s="1516">
        <f>IFERROR(AN99/$AN$44,0)</f>
        <v>0</v>
      </c>
      <c r="AP99" s="3720">
        <f>AL99*(1+$L$6)</f>
        <v>0</v>
      </c>
      <c r="AR99" s="3718">
        <f>AT99*$AS$14</f>
        <v>0</v>
      </c>
      <c r="AS99" s="1516">
        <f>IFERROR(AR99/$AR$44,0)</f>
        <v>0</v>
      </c>
      <c r="AT99" s="3720">
        <f>AP99*(1+$L$6)</f>
        <v>0</v>
      </c>
      <c r="AV99" s="3718">
        <f>AX99*$AW$14</f>
        <v>0</v>
      </c>
      <c r="AW99" s="1516">
        <f>IFERROR(AV99/$AV$44,0)</f>
        <v>0</v>
      </c>
      <c r="AX99" s="3720">
        <f>AT99*(1+$L$6)</f>
        <v>0</v>
      </c>
      <c r="AZ99" s="3718">
        <f>BB99*$BA$14</f>
        <v>0</v>
      </c>
      <c r="BA99" s="1516">
        <f>IFERROR(AZ99/$AZ$44,0)</f>
        <v>0</v>
      </c>
      <c r="BB99" s="3720">
        <f>AX99*(1+$L$6)</f>
        <v>0</v>
      </c>
      <c r="BD99" s="3718" t="n">
        <f t="array" ref="BD99">IFERROR($H99/12,0)</f>
        <v>0</v>
      </c>
      <c r="BE99" s="1516" t="n">
        <f t="array" ref="BE99">IFERROR($H99/$H$44,0)</f>
        <v>0</v>
      </c>
      <c r="BF99" s="3720" t="n">
        <f t="array" ref="BF99">IFERROR(($H99/12)/1650,0)</f>
        <v>0</v>
      </c>
    </row>
    <row r="100" s="1168" customFormat="1" ht="15" customHeight="1">
      <c r="A100" s="3445" t="n">
        <v>14</v>
      </c>
      <c r="B100" s="3538" t="n"/>
      <c r="C100" s="643" t="n">
        <f t="array" ref="C100">C96</f>
        <v>20075</v>
      </c>
      <c r="D100" s="643" t="n">
        <v>1</v>
      </c>
      <c r="E100" s="3583" t="n"/>
      <c r="F100" s="1172" t="n"/>
      <c r="G100" s="4520" t="inlineStr">
        <is>
          <t xml:space="preserve">Ops quality bonus / supervisor stipend</t>
        </is>
      </c>
      <c r="H100" s="3718">
        <f>J100*$I$14</f>
        <v>20075</v>
      </c>
      <c r="I100" s="1514">
        <f>IFERROR(H100/$H$44,0)</f>
        <v>0.0135135135135</v>
      </c>
      <c r="J100" s="3719">
        <v>1</v>
      </c>
      <c r="K100" s="1172" t="n"/>
      <c r="L100" s="3718">
        <f>N100*$M$14</f>
        <v>23962.25</v>
      </c>
      <c r="M100" s="1514">
        <f>IFERROR(L100/$L$44,0)</f>
        <v>0.0133810280869</v>
      </c>
      <c r="N100" s="3719">
        <f>J100*(1+$L$6)</f>
        <v>1.01</v>
      </c>
      <c r="P100" s="3718">
        <f>R100*$Q$14</f>
        <v>26808.228</v>
      </c>
      <c r="Q100" s="1514">
        <f>IFERROR(P100/$P$44,0)</f>
        <v>0.013249841537</v>
      </c>
      <c r="R100" s="3719">
        <f>N100*(1+$L$6)</f>
        <v>1.0201</v>
      </c>
      <c r="T100" s="3718">
        <f>V100*$U$14</f>
        <v>27076.31028</v>
      </c>
      <c r="U100" s="1514">
        <f>IFERROR(T100/$T$44,0)</f>
        <v>0.0131199411298</v>
      </c>
      <c r="V100" s="3719">
        <f>R100*(1+$L$6)</f>
        <v>1.030301</v>
      </c>
      <c r="X100" s="3718">
        <f>Z100*$Y$14</f>
        <v>27347.0733828</v>
      </c>
      <c r="Y100" s="1514">
        <f>IFERROR(X100/$X$44,0)</f>
        <v>0.012991314256</v>
      </c>
      <c r="Z100" s="3719">
        <f>V100*(1+$L$6)</f>
        <v>1.04060401</v>
      </c>
      <c r="AB100" s="3718">
        <f>AD100*$AC$14</f>
        <v>27620.5441166</v>
      </c>
      <c r="AC100" s="1516">
        <f>IFERROR(AB100/$AB$44,0)</f>
        <v>0.01286394843</v>
      </c>
      <c r="AD100" s="3720">
        <f>Z100*(1+$L$6)</f>
        <v>1.0510100501</v>
      </c>
      <c r="AF100" s="3718">
        <f>AH100*$AG$14</f>
        <v>27896.7495578</v>
      </c>
      <c r="AG100" s="1516">
        <f>IFERROR(AF100/$AF$44,0)</f>
        <v>0.0127378312885</v>
      </c>
      <c r="AH100" s="3720">
        <f>AD100*(1+$L$6)</f>
        <v>1.0615201506</v>
      </c>
      <c r="AJ100" s="3718">
        <f>AL100*$AK$14</f>
        <v>28175.7170534</v>
      </c>
      <c r="AK100" s="1516">
        <f>IFERROR(AJ100/$AJ$44,0)</f>
        <v>0.0126129505896</v>
      </c>
      <c r="AL100" s="3720">
        <f>AH100*(1+$L$6)</f>
        <v>1.07213535211</v>
      </c>
      <c r="AN100" s="3718">
        <f>AP100*$AO$14</f>
        <v>28457.4742239</v>
      </c>
      <c r="AO100" s="1516">
        <f>IFERROR(AN100/$AN$44,0)</f>
        <v>0.0124892942112</v>
      </c>
      <c r="AP100" s="3720">
        <f>AL100*(1+$L$6)</f>
        <v>1.08285670563</v>
      </c>
      <c r="AR100" s="3718">
        <f>AT100*$AS$14</f>
        <v>28742.0489661</v>
      </c>
      <c r="AS100" s="1516">
        <f>IFERROR(AR100/$AR$44,0)</f>
        <v>0.0123668501504</v>
      </c>
      <c r="AT100" s="3720">
        <f>AP100*(1+$L$6)</f>
        <v>1.09368527268</v>
      </c>
      <c r="AV100" s="3718">
        <f>AX100*$AW$14</f>
        <v>29029.4694558</v>
      </c>
      <c r="AW100" s="1516">
        <f>IFERROR(AV100/$AV$44,0)</f>
        <v>0.0124905186519</v>
      </c>
      <c r="AX100" s="3720">
        <f>AT100*(1+$L$6)</f>
        <v>1.10462212541</v>
      </c>
      <c r="AZ100" s="3718">
        <f>BB100*$BA$14</f>
        <v>29319.7641504</v>
      </c>
      <c r="BA100" s="1516">
        <f>IFERROR(AZ100/$AZ$44,0)</f>
        <v>0.0126154238384</v>
      </c>
      <c r="BB100" s="3720">
        <f>AX100*(1+$L$6)</f>
        <v>1.11566834667</v>
      </c>
      <c r="BD100" s="3718" t="n">
        <f t="array" ref="BD100">IFERROR($H100/12,0)</f>
        <v>1672.9166666666667</v>
      </c>
      <c r="BE100" s="1516" t="n">
        <f t="array" ref="BE100">IFERROR($H100/$H$44,0)</f>
        <v>0.013513513513513514</v>
      </c>
      <c r="BF100" s="3720" t="n">
        <f t="array" ref="BF100">IFERROR(($H100/12)/1650,0)</f>
        <v>1.0138888888888888</v>
      </c>
    </row>
    <row r="101" s="1168" customFormat="1" ht="15" customHeight="1">
      <c r="A101" s="3445" t="n">
        <v>11</v>
      </c>
      <c r="B101" s="3538" t="n"/>
      <c r="C101" s="643" t="n">
        <v>2</v>
      </c>
      <c r="D101" s="643" t="n"/>
      <c r="E101" s="3583" t="n"/>
      <c r="F101" s="1172" t="n"/>
      <c r="G101" s="1283" t="inlineStr">
        <is>
          <t xml:space="preserve">Housekeeping Supervisor</t>
        </is>
      </c>
      <c r="H101" s="3718">
        <f>J101*$I$14</f>
        <v>0</v>
      </c>
      <c r="I101" s="1514">
        <f>IFERROR(H101/$H$44,0)</f>
        <v>0</v>
      </c>
      <c r="J101" s="3719">
        <v>0</v>
      </c>
      <c r="K101" s="1172" t="n"/>
      <c r="L101" s="3718">
        <f>N101*$M$14</f>
        <v>0</v>
      </c>
      <c r="M101" s="1514">
        <f>IFERROR(L101/$L$44,0)</f>
        <v>0</v>
      </c>
      <c r="N101" s="3719">
        <f>J101*(1+$L$6)</f>
        <v>0</v>
      </c>
      <c r="P101" s="3718">
        <f>R101*$Q$14</f>
        <v>0</v>
      </c>
      <c r="Q101" s="1514">
        <f>IFERROR(P101/$P$44,0)</f>
        <v>0</v>
      </c>
      <c r="R101" s="3719">
        <f>N101*(1+$L$6)</f>
        <v>0</v>
      </c>
      <c r="T101" s="3718">
        <f>V101*$U$14</f>
        <v>0</v>
      </c>
      <c r="U101" s="1514">
        <f>IFERROR(T101/$T$44,0)</f>
        <v>0</v>
      </c>
      <c r="V101" s="3719">
        <f>R101*(1+$L$6)</f>
        <v>0</v>
      </c>
      <c r="X101" s="3718">
        <f>Z101*$Y$14</f>
        <v>0</v>
      </c>
      <c r="Y101" s="1514">
        <f>IFERROR(X101/$X$44,0)</f>
        <v>0</v>
      </c>
      <c r="Z101" s="3719">
        <f>V101*(1+$L$6)</f>
        <v>0</v>
      </c>
      <c r="AB101" s="3718">
        <f>AD101*$AC$14</f>
        <v>0</v>
      </c>
      <c r="AC101" s="1516">
        <f>IFERROR(AB101/$AB$44,0)</f>
        <v>0</v>
      </c>
      <c r="AD101" s="3720">
        <f>Z101*(1+$L$6)</f>
        <v>0</v>
      </c>
      <c r="AF101" s="3718">
        <f>AH101*$AG$14</f>
        <v>0</v>
      </c>
      <c r="AG101" s="1516">
        <f>IFERROR(AF101/$AF$44,0)</f>
        <v>0</v>
      </c>
      <c r="AH101" s="3720">
        <f>AD101*(1+$L$6)</f>
        <v>0</v>
      </c>
      <c r="AJ101" s="3718">
        <f>AL101*$AK$14</f>
        <v>0</v>
      </c>
      <c r="AK101" s="1516">
        <f>IFERROR(AJ101/$AJ$44,0)</f>
        <v>0</v>
      </c>
      <c r="AL101" s="3720">
        <f>AH101*(1+$L$6)</f>
        <v>0</v>
      </c>
      <c r="AN101" s="3718">
        <f>AP101*$AO$14</f>
        <v>0</v>
      </c>
      <c r="AO101" s="1516">
        <f>IFERROR(AN101/$AN$44,0)</f>
        <v>0</v>
      </c>
      <c r="AP101" s="3720">
        <f>AL101*(1+$L$6)</f>
        <v>0</v>
      </c>
      <c r="AR101" s="3718">
        <f>AT101*$AS$14</f>
        <v>0</v>
      </c>
      <c r="AS101" s="1516">
        <f>IFERROR(AR101/$AR$44,0)</f>
        <v>0</v>
      </c>
      <c r="AT101" s="3720">
        <f>AP101*(1+$L$6)</f>
        <v>0</v>
      </c>
      <c r="AV101" s="3718">
        <f>AX101*$AW$14</f>
        <v>0</v>
      </c>
      <c r="AW101" s="1516">
        <f>IFERROR(AV101/$AV$44,0)</f>
        <v>0</v>
      </c>
      <c r="AX101" s="3720">
        <f>AT101*(1+$L$6)</f>
        <v>0</v>
      </c>
      <c r="AZ101" s="3718">
        <f>BB101*$BA$14</f>
        <v>0</v>
      </c>
      <c r="BA101" s="1516">
        <f>IFERROR(AZ101/$AZ$44,0)</f>
        <v>0</v>
      </c>
      <c r="BB101" s="3720">
        <f>AX101*(1+$L$6)</f>
        <v>0</v>
      </c>
      <c r="BD101" s="3718" t="n">
        <f t="array" ref="BD101">IFERROR($H101/12,0)</f>
        <v>0</v>
      </c>
      <c r="BE101" s="1516" t="n">
        <f t="array" ref="BE101">IFERROR($H101/$H$44,0)</f>
        <v>0</v>
      </c>
      <c r="BF101" s="3720" t="n">
        <f t="array" ref="BF101">IFERROR(($H101/12)/1650,0)</f>
        <v>0</v>
      </c>
    </row>
    <row r="102" s="1168" customFormat="1" ht="15" customHeight="1">
      <c r="A102" s="3445" t="n">
        <v>13</v>
      </c>
      <c r="B102" s="3538" t="n"/>
      <c r="C102" s="643" t="n">
        <v>8</v>
      </c>
      <c r="D102" s="643" t="n">
        <f t="array" ref="D102">52*5</f>
        <v>260</v>
      </c>
      <c r="E102" s="3583" t="n">
        <v>20</v>
      </c>
      <c r="F102" s="1172" t="n"/>
      <c r="G102" s="1283" t="inlineStr">
        <is>
          <t xml:space="preserve">FOM- Hotel manager</t>
        </is>
      </c>
      <c r="H102" s="3718">
        <f>J102*$I$14</f>
        <v>41600</v>
      </c>
      <c r="I102" s="1514">
        <f>IFERROR(H102/$H$44,0)</f>
        <v>0.0280030964962</v>
      </c>
      <c r="J102" s="3719">
        <v>2.07222914072</v>
      </c>
      <c r="K102" s="1172" t="n"/>
      <c r="L102" s="3718">
        <f>N102*$M$14</f>
        <v>49655.2727273</v>
      </c>
      <c r="M102" s="1514">
        <f>IFERROR(L102/$L$44,0)</f>
        <v>0.0277285563345</v>
      </c>
      <c r="N102" s="3719">
        <f>J102*(1+$L$6)</f>
        <v>2.09295143213</v>
      </c>
      <c r="P102" s="3718">
        <f>R102*$Q$14</f>
        <v>55552.7912727</v>
      </c>
      <c r="Q102" s="1514">
        <f>IFERROR(P102/$P$44,0)</f>
        <v>0.027456707743</v>
      </c>
      <c r="R102" s="3719">
        <f>N102*(1+$L$6)</f>
        <v>2.11388094645</v>
      </c>
      <c r="T102" s="3718">
        <f>V102*$U$14</f>
        <v>56108.3191855</v>
      </c>
      <c r="U102" s="1514">
        <f>IFERROR(T102/$T$44,0)</f>
        <v>0.0271875243338</v>
      </c>
      <c r="V102" s="3719">
        <f>R102*(1+$L$6)</f>
        <v>2.13501975592</v>
      </c>
      <c r="X102" s="3718">
        <f>Z102*$Y$14</f>
        <v>56669.4023773</v>
      </c>
      <c r="Y102" s="1514">
        <f>IFERROR(X102/$X$44,0)</f>
        <v>0.0269209799775</v>
      </c>
      <c r="Z102" s="3719">
        <f>V102*(1+$L$6)</f>
        <v>2.15636995347</v>
      </c>
      <c r="AB102" s="3718">
        <f>AD102*$AC$14</f>
        <v>57236.0964011</v>
      </c>
      <c r="AC102" s="1516">
        <f>IFERROR(AB102/$AB$44,0)</f>
        <v>0.0266570488013</v>
      </c>
      <c r="AD102" s="3720">
        <f>Z102*(1+$L$6)</f>
        <v>2.17793365301</v>
      </c>
      <c r="AF102" s="3718">
        <f>AH102*$AG$14</f>
        <v>57808.4573651</v>
      </c>
      <c r="AG102" s="1516">
        <f>IFERROR(AF102/$AF$44,0)</f>
        <v>0.0263957051856</v>
      </c>
      <c r="AH102" s="3720">
        <f>AD102*(1+$L$6)</f>
        <v>2.19971298954</v>
      </c>
      <c r="AJ102" s="3718">
        <f>AL102*$AK$14</f>
        <v>58386.5419387</v>
      </c>
      <c r="AK102" s="1516">
        <f>IFERROR(AJ102/$AJ$44,0)</f>
        <v>0.0261369237622</v>
      </c>
      <c r="AL102" s="3720">
        <f>AH102*(1+$L$6)</f>
        <v>2.22171011943</v>
      </c>
      <c r="AN102" s="3718">
        <f>AP102*$AO$14</f>
        <v>58970.4073581</v>
      </c>
      <c r="AO102" s="1516">
        <f>IFERROR(AN102/$AN$44,0)</f>
        <v>0.0258806794116</v>
      </c>
      <c r="AP102" s="3720">
        <f>AL102*(1+$L$6)</f>
        <v>2.24392722063</v>
      </c>
      <c r="AR102" s="3718">
        <f>AT102*$AS$14</f>
        <v>59560.1114317</v>
      </c>
      <c r="AS102" s="1516">
        <f>IFERROR(AR102/$AR$44,0)</f>
        <v>0.0256269472605</v>
      </c>
      <c r="AT102" s="3720">
        <f>AP102*(1+$L$6)</f>
        <v>2.26636649284</v>
      </c>
      <c r="AV102" s="3718">
        <f>AX102*$AW$14</f>
        <v>60155.712546</v>
      </c>
      <c r="AW102" s="1516">
        <f>IFERROR(AV102/$AV$44,0)</f>
        <v>0.0258832167331</v>
      </c>
      <c r="AX102" s="3720">
        <f>AT102*(1+$L$6)</f>
        <v>2.28903015776</v>
      </c>
      <c r="AZ102" s="3718">
        <f>BB102*$BA$14</f>
        <v>60757.2696715</v>
      </c>
      <c r="BA102" s="1516">
        <f>IFERROR(AZ102/$AZ$44,0)</f>
        <v>0.0261420489004</v>
      </c>
      <c r="BB102" s="3720">
        <f>AX102*(1+$L$6)</f>
        <v>2.31192045934</v>
      </c>
      <c r="BD102" s="3718" t="n">
        <f t="array" ref="BD102">IFERROR($H102/12,0)</f>
        <v>3466.6666666666665</v>
      </c>
      <c r="BE102" s="1516" t="n">
        <f t="array" ref="BE102">IFERROR($H102/$H$44,0)</f>
        <v>0.02800309649624718</v>
      </c>
      <c r="BF102" s="3720" t="n">
        <f t="array" ref="BF102">IFERROR(($H102/12)/1650,0)</f>
        <v>2.1010101010101008</v>
      </c>
    </row>
    <row r="103" s="1168" customFormat="1" ht="15" customHeight="1">
      <c r="A103" s="3445" t="n">
        <v>45000</v>
      </c>
      <c r="B103" s="3538" t="n"/>
      <c r="C103" s="643" t="n"/>
      <c r="D103" s="643" t="n"/>
      <c r="E103" s="3583" t="n"/>
      <c r="F103" s="1172" t="n"/>
      <c r="G103" s="1283" t="inlineStr">
        <is>
          <t xml:space="preserve">General Manager- corp and have many hotels</t>
        </is>
      </c>
      <c r="H103" s="3718">
        <f>J103*$I$14</f>
        <v>15000</v>
      </c>
      <c r="I103" s="1514">
        <f>IFERROR(H103/$H$44,0)</f>
        <v>0.0100972703712</v>
      </c>
      <c r="J103" s="3719">
        <v>0.747198007472</v>
      </c>
      <c r="K103" s="1172" t="n"/>
      <c r="L103" s="3718">
        <f>N103*$M$14</f>
        <v>17904.5454545</v>
      </c>
      <c r="M103" s="1514">
        <f>IFERROR(L103/$L$44,0)</f>
        <v>0.00999827752447</v>
      </c>
      <c r="N103" s="3719">
        <f>J103*(1+$L$6)</f>
        <v>0.754669987547</v>
      </c>
      <c r="P103" s="3718">
        <f>R103*$Q$14</f>
        <v>20031.0545455</v>
      </c>
      <c r="Q103" s="1514">
        <f>IFERROR(P103/$P$44,0)</f>
        <v>0.00990025519579</v>
      </c>
      <c r="R103" s="3719">
        <f>N103*(1+$L$6)</f>
        <v>0.762216687422</v>
      </c>
      <c r="T103" s="3718">
        <f>V103*$U$14</f>
        <v>20231.3650909</v>
      </c>
      <c r="U103" s="1514">
        <f>IFERROR(T103/$T$44,0)</f>
        <v>0.00980319387035</v>
      </c>
      <c r="V103" s="3719">
        <f>R103*(1+$L$6)</f>
        <v>0.769838854296</v>
      </c>
      <c r="X103" s="3718">
        <f>Z103*$Y$14</f>
        <v>20433.6787418</v>
      </c>
      <c r="Y103" s="1514">
        <f>IFERROR(X103/$X$44,0)</f>
        <v>0.00970708412652</v>
      </c>
      <c r="Z103" s="3719">
        <f>V103*(1+$L$6)</f>
        <v>0.777537242839</v>
      </c>
      <c r="AB103" s="3718">
        <f>AD103*$AC$14</f>
        <v>20638.0155292</v>
      </c>
      <c r="AC103" s="1516">
        <f>IFERROR(AB103/$AB$44,0)</f>
        <v>0.00961191663508</v>
      </c>
      <c r="AD103" s="3720">
        <f>Z103*(1+$L$6)</f>
        <v>0.785312615268</v>
      </c>
      <c r="AF103" s="3718">
        <f>AH103*$AG$14</f>
        <v>20844.3956845</v>
      </c>
      <c r="AG103" s="1516">
        <f>IFERROR(AF103/$AF$44,0)</f>
        <v>0.00951768215827</v>
      </c>
      <c r="AH103" s="3720">
        <f>AD103*(1+$L$6)</f>
        <v>0.79316574142</v>
      </c>
      <c r="AJ103" s="3718">
        <f>AL103*$AK$14</f>
        <v>21052.8396414</v>
      </c>
      <c r="AK103" s="1516">
        <f>IFERROR(AJ103/$AJ$44,0)</f>
        <v>0.00942437154887</v>
      </c>
      <c r="AL103" s="3720">
        <f>AH103*(1+$L$6)</f>
        <v>0.801097398835</v>
      </c>
      <c r="AN103" s="3718">
        <f>AP103*$AO$14</f>
        <v>21263.3680378</v>
      </c>
      <c r="AO103" s="1516">
        <f>IFERROR(AN103/$AN$44,0)</f>
        <v>0.00933197574937</v>
      </c>
      <c r="AP103" s="3720">
        <f>AL103*(1+$L$6)</f>
        <v>0.809108372823</v>
      </c>
      <c r="AR103" s="3718">
        <f>AT103*$AS$14</f>
        <v>21476.0017182</v>
      </c>
      <c r="AS103" s="1516">
        <f>IFERROR(AR103/$AR$44,0)</f>
        <v>0.00924048579105</v>
      </c>
      <c r="AT103" s="3720">
        <f>AP103*(1+$L$6)</f>
        <v>0.817199456551</v>
      </c>
      <c r="AV103" s="3718">
        <f>AX103*$AW$14</f>
        <v>21690.7617353</v>
      </c>
      <c r="AW103" s="1516">
        <f>IFERROR(AV103/$AV$44,0)</f>
        <v>0.00933289064896</v>
      </c>
      <c r="AX103" s="3720">
        <f>AT103*(1+$L$6)</f>
        <v>0.825371451117</v>
      </c>
      <c r="AZ103" s="3718">
        <f>BB103*$BA$14</f>
        <v>21907.6693527</v>
      </c>
      <c r="BA103" s="1516">
        <f>IFERROR(AZ103/$AZ$44,0)</f>
        <v>0.00942621955545</v>
      </c>
      <c r="BB103" s="3720">
        <f>AX103*(1+$L$6)</f>
        <v>0.833625165628</v>
      </c>
      <c r="BD103" s="3718" t="n">
        <f t="array" ref="BD103">IFERROR($H103/12,0)</f>
        <v>1250</v>
      </c>
      <c r="BE103" s="1516" t="n">
        <f t="array" ref="BE103">IFERROR($H103/$H$44,0)</f>
        <v>0.010097270371242974</v>
      </c>
      <c r="BF103" s="3720" t="n">
        <f t="array" ref="BF103">IFERROR(($H103/12)/1650,0)</f>
        <v>0.7575757575757576</v>
      </c>
    </row>
    <row r="104" s="1168" customFormat="1" ht="15" customHeight="1">
      <c r="A104" s="3445" t="n">
        <v>0</v>
      </c>
      <c r="B104" s="3538" t="n"/>
      <c r="C104" s="643" t="n"/>
      <c r="D104" s="643" t="n"/>
      <c r="E104" s="3583" t="n"/>
      <c r="F104" s="1172" t="n"/>
      <c r="G104" s="1283" t="inlineStr">
        <is>
          <t xml:space="preserve">TBA</t>
        </is>
      </c>
      <c r="H104" s="3718">
        <f>J104*$I$14</f>
        <v>0</v>
      </c>
      <c r="I104" s="1514">
        <f>IFERROR(H104/$H$44,0)</f>
        <v>0</v>
      </c>
      <c r="J104" s="3719">
        <v>0</v>
      </c>
      <c r="K104" s="1172" t="n"/>
      <c r="L104" s="3718">
        <f>N104*$M$14</f>
        <v>0</v>
      </c>
      <c r="M104" s="1514">
        <f>IFERROR(L104/$L$44,0)</f>
        <v>0</v>
      </c>
      <c r="N104" s="3719">
        <f>J104*(1+$L$6)</f>
        <v>0</v>
      </c>
      <c r="P104" s="3718">
        <f>R104*$Q$14</f>
        <v>0</v>
      </c>
      <c r="Q104" s="1514">
        <f>IFERROR(P104/$P$44,0)</f>
        <v>0</v>
      </c>
      <c r="R104" s="3719">
        <f>N104*(1+$L$6)</f>
        <v>0</v>
      </c>
      <c r="T104" s="3718">
        <f>V104*$U$14</f>
        <v>0</v>
      </c>
      <c r="U104" s="1514">
        <f>IFERROR(T104/$T$44,0)</f>
        <v>0</v>
      </c>
      <c r="V104" s="3719">
        <f>R104*(1+$L$6)</f>
        <v>0</v>
      </c>
      <c r="X104" s="3718">
        <f>Z104*$Y$14</f>
        <v>0</v>
      </c>
      <c r="Y104" s="1514">
        <f>IFERROR(X104/$X$44,0)</f>
        <v>0</v>
      </c>
      <c r="Z104" s="3719">
        <f>V104*(1+$L$6)</f>
        <v>0</v>
      </c>
      <c r="AB104" s="3718">
        <f>AD104*$AC$14</f>
        <v>0</v>
      </c>
      <c r="AC104" s="1514">
        <f>IFERROR(AB104/$AB$44,0)</f>
        <v>0</v>
      </c>
      <c r="AD104" s="3719">
        <f>Z104*(1+$L$6)</f>
        <v>0</v>
      </c>
      <c r="AF104" s="3718">
        <f>AH104*$AG$14</f>
        <v>0</v>
      </c>
      <c r="AG104" s="1514">
        <f>IFERROR(AF104/$AF$44,0)</f>
        <v>0</v>
      </c>
      <c r="AH104" s="3719">
        <f>AD104*(1+$L$6)</f>
        <v>0</v>
      </c>
      <c r="AJ104" s="3718">
        <f>AL104*$AK$14</f>
        <v>0</v>
      </c>
      <c r="AK104" s="1514">
        <f>IFERROR(AJ104/$AJ$44,0)</f>
        <v>0</v>
      </c>
      <c r="AL104" s="3719">
        <f>AH104*(1+$L$6)</f>
        <v>0</v>
      </c>
      <c r="AN104" s="3718">
        <f>AP104*$AO$14</f>
        <v>0</v>
      </c>
      <c r="AO104" s="1514">
        <f>IFERROR(AN104/$AN$44,0)</f>
        <v>0</v>
      </c>
      <c r="AP104" s="3719">
        <f>AL104*(1+$L$6)</f>
        <v>0</v>
      </c>
      <c r="AR104" s="3718">
        <f>AT104*$AS$14</f>
        <v>0</v>
      </c>
      <c r="AS104" s="1514">
        <f>IFERROR(AR104/$AR$44,0)</f>
        <v>0</v>
      </c>
      <c r="AT104" s="3720">
        <f>AP104*(1+$L$6)</f>
        <v>0</v>
      </c>
      <c r="AV104" s="3718">
        <f>AX104*$AW$14</f>
        <v>0</v>
      </c>
      <c r="AW104" s="1516">
        <f>IFERROR(AV104/$AV$44,0)</f>
        <v>0</v>
      </c>
      <c r="AX104" s="3720">
        <f>AT104*(1+$L$6)</f>
        <v>0</v>
      </c>
      <c r="AZ104" s="3718">
        <f>BB104*$BA$14</f>
        <v>0</v>
      </c>
      <c r="BA104" s="1516">
        <f>IFERROR(AZ104/$AZ$44,0)</f>
        <v>0</v>
      </c>
      <c r="BB104" s="3720">
        <f>AX104*(1+$L$6)</f>
        <v>0</v>
      </c>
      <c r="BD104" s="3718" t="n">
        <f t="array" ref="BD104">IFERROR($H104/12,0)</f>
        <v>0</v>
      </c>
      <c r="BE104" s="1516" t="n">
        <f t="array" ref="BE104">IFERROR($H104/$H$44,0)</f>
        <v>0</v>
      </c>
      <c r="BF104" s="3720" t="n">
        <f t="array" ref="BF104">IFERROR(($H104/12)/1650,0)</f>
        <v>0</v>
      </c>
    </row>
    <row r="105" s="1168" customFormat="1" ht="15" customHeight="1">
      <c r="A105" s="3445" t="n">
        <v>0</v>
      </c>
      <c r="B105" s="3538" t="n"/>
      <c r="C105" s="643" t="n"/>
      <c r="D105" s="643" t="n"/>
      <c r="E105" s="3583" t="n"/>
      <c r="F105" s="1172" t="n"/>
      <c r="G105" s="1283" t="inlineStr">
        <is>
          <t xml:space="preserve">Sales Manager</t>
        </is>
      </c>
      <c r="H105" s="3718">
        <f>J105*$I$14</f>
        <v>0</v>
      </c>
      <c r="I105" s="1514">
        <f>IFERROR(H105/$H$44,0)</f>
        <v>0</v>
      </c>
      <c r="J105" s="3719">
        <v>0</v>
      </c>
      <c r="K105" s="1172" t="n"/>
      <c r="L105" s="3718">
        <f>N105*$M$14</f>
        <v>0</v>
      </c>
      <c r="M105" s="1514">
        <f>IFERROR(L105/$L$44,0)</f>
        <v>0</v>
      </c>
      <c r="N105" s="3719">
        <f>J105*(1+$L$6)</f>
        <v>0</v>
      </c>
      <c r="P105" s="3718">
        <f>R105*$Q$14</f>
        <v>0</v>
      </c>
      <c r="Q105" s="1514">
        <f>IFERROR(P105/$P$44,0)</f>
        <v>0</v>
      </c>
      <c r="R105" s="3719">
        <f>N105*(1+$L$6)</f>
        <v>0</v>
      </c>
      <c r="T105" s="3718">
        <f>V105*$U$14</f>
        <v>0</v>
      </c>
      <c r="U105" s="1514">
        <f>IFERROR(T105/$T$44,0)</f>
        <v>0</v>
      </c>
      <c r="V105" s="3719">
        <f>R105*(1+$L$6)</f>
        <v>0</v>
      </c>
      <c r="X105" s="3718">
        <f>Z105*$Y$14</f>
        <v>0</v>
      </c>
      <c r="Y105" s="1514">
        <f>IFERROR(X105/$X$44,0)</f>
        <v>0</v>
      </c>
      <c r="Z105" s="3719">
        <f>V105*(1+$L$6)</f>
        <v>0</v>
      </c>
      <c r="AB105" s="3718">
        <f>AD105*$AC$14</f>
        <v>0</v>
      </c>
      <c r="AC105" s="1516">
        <f>IFERROR(AB105/$AB$44,0)</f>
        <v>0</v>
      </c>
      <c r="AD105" s="3720">
        <f>Z105*(1+$L$6)</f>
        <v>0</v>
      </c>
      <c r="AF105" s="3718">
        <f>AH105*$AG$14</f>
        <v>0</v>
      </c>
      <c r="AG105" s="1516">
        <f>IFERROR(AF105/$AF$44,0)</f>
        <v>0</v>
      </c>
      <c r="AH105" s="3720">
        <f>AD105*(1+$L$6)</f>
        <v>0</v>
      </c>
      <c r="AJ105" s="3718">
        <f>AL105*$AK$14</f>
        <v>0</v>
      </c>
      <c r="AK105" s="1516">
        <f>IFERROR(AJ105/$AJ$44,0)</f>
        <v>0</v>
      </c>
      <c r="AL105" s="3720">
        <f>AH105*(1+$L$6)</f>
        <v>0</v>
      </c>
      <c r="AN105" s="3718">
        <f>AP105*$AO$14</f>
        <v>0</v>
      </c>
      <c r="AO105" s="1516">
        <f>IFERROR(AN105/$AN$44,0)</f>
        <v>0</v>
      </c>
      <c r="AP105" s="3720">
        <f>AL105*(1+$L$6)</f>
        <v>0</v>
      </c>
      <c r="AR105" s="3718">
        <f>AT105*$AS$14</f>
        <v>0</v>
      </c>
      <c r="AS105" s="1516">
        <f>IFERROR(AR105/$AR$44,0)</f>
        <v>0</v>
      </c>
      <c r="AT105" s="3720">
        <f>AP105*(1+$L$6)</f>
        <v>0</v>
      </c>
      <c r="AV105" s="3718">
        <f>AX105*$AW$14</f>
        <v>0</v>
      </c>
      <c r="AW105" s="1516">
        <f>IFERROR(AV105/$AV$44,0)</f>
        <v>0</v>
      </c>
      <c r="AX105" s="3720">
        <f>AT105*(1+$L$6)</f>
        <v>0</v>
      </c>
      <c r="AZ105" s="3718">
        <f>BB105*$BA$14</f>
        <v>0</v>
      </c>
      <c r="BA105" s="1516">
        <f>IFERROR(AZ105/$AZ$44,0)</f>
        <v>0</v>
      </c>
      <c r="BB105" s="3720">
        <f>AX105*(1+$L$6)</f>
        <v>0</v>
      </c>
      <c r="BD105" s="3718" t="n">
        <f t="array" ref="BD105">IFERROR($H105/12,0)</f>
        <v>0</v>
      </c>
      <c r="BE105" s="1516" t="n">
        <f t="array" ref="BE105">IFERROR($H105/$H$44,0)</f>
        <v>0</v>
      </c>
      <c r="BF105" s="3720" t="n">
        <f t="array" ref="BF105">IFERROR(($H105/12)/1650,0)</f>
        <v>0</v>
      </c>
    </row>
    <row r="106" s="1168" customFormat="1" ht="15" customHeight="1">
      <c r="A106" s="3445" t="n">
        <v>32000</v>
      </c>
      <c r="B106" s="3538" t="n"/>
      <c r="C106" s="643" t="n">
        <v>8</v>
      </c>
      <c r="D106" s="643" t="n">
        <v>365</v>
      </c>
      <c r="E106" s="3583" t="n">
        <v>20</v>
      </c>
      <c r="F106" s="1172" t="n"/>
      <c r="G106" s="1283" t="inlineStr">
        <is>
          <t xml:space="preserve">Maintenance</t>
        </is>
      </c>
      <c r="H106" s="3718">
        <f>J106*$I$14</f>
        <v>58400</v>
      </c>
      <c r="I106" s="1514">
        <f>IFERROR(H106/$H$44,0)</f>
        <v>0.039312039312</v>
      </c>
      <c r="J106" s="3719">
        <v>2.90909090909</v>
      </c>
      <c r="K106" s="1172" t="n"/>
      <c r="L106" s="3718">
        <f>N106*$M$14</f>
        <v>69708.3636364</v>
      </c>
      <c r="M106" s="1514">
        <f>IFERROR(L106/$L$44,0)</f>
        <v>0.0389266271619</v>
      </c>
      <c r="N106" s="3719">
        <f>J106*(1+$L$6)</f>
        <v>2.93818181818</v>
      </c>
      <c r="P106" s="3718">
        <f>R106*$Q$14</f>
        <v>77987.5723636</v>
      </c>
      <c r="Q106" s="1514">
        <f>IFERROR(P106/$P$44,0)</f>
        <v>0.0385449935623</v>
      </c>
      <c r="R106" s="3719">
        <f>N106*(1+$L$6)</f>
        <v>2.96756363636</v>
      </c>
      <c r="T106" s="3718">
        <f>V106*$U$14</f>
        <v>78767.4480873</v>
      </c>
      <c r="U106" s="1514">
        <f>IFERROR(T106/$T$44,0)</f>
        <v>0.0381671014685</v>
      </c>
      <c r="V106" s="3719">
        <f>R106*(1+$L$6)</f>
        <v>2.99723927273</v>
      </c>
      <c r="X106" s="3718">
        <f>Z106*$Y$14</f>
        <v>79555.1225681</v>
      </c>
      <c r="Y106" s="1514">
        <f>IFERROR(X106/$X$44,0)</f>
        <v>0.0377929141992</v>
      </c>
      <c r="Z106" s="3719">
        <f>V106*(1+$L$6)</f>
        <v>3.02721166545</v>
      </c>
      <c r="AB106" s="3718">
        <f>AD106*$AC$14</f>
        <v>80350.6737938</v>
      </c>
      <c r="AC106" s="1514">
        <f>IFERROR(AB106/$AB$44,0)</f>
        <v>0.0374223954326</v>
      </c>
      <c r="AD106" s="3719">
        <f>Z106*(1+$L$6)</f>
        <v>3.05748378211</v>
      </c>
      <c r="AF106" s="3718">
        <f>AH106*$AG$14</f>
        <v>81154.1805318</v>
      </c>
      <c r="AG106" s="1514">
        <f>IFERROR(AF106/$AF$44,0)</f>
        <v>0.0370555092029</v>
      </c>
      <c r="AH106" s="3719">
        <f>AD106*(1+$L$6)</f>
        <v>3.08805861993</v>
      </c>
      <c r="AJ106" s="3718">
        <f>AL106*$AK$14</f>
        <v>81965.7223371</v>
      </c>
      <c r="AK106" s="1514">
        <f>IFERROR(AJ106/$AJ$44,0)</f>
        <v>0.0366922198969</v>
      </c>
      <c r="AL106" s="3719">
        <f>AH106*(1+$L$6)</f>
        <v>3.11893920613</v>
      </c>
      <c r="AN106" s="3718">
        <f>AP106*$AO$14</f>
        <v>82785.3795605</v>
      </c>
      <c r="AO106" s="1514">
        <f>IFERROR(AN106/$AN$44,0)</f>
        <v>0.0363324922509</v>
      </c>
      <c r="AP106" s="3719">
        <f>AL106*(1+$L$6)</f>
        <v>3.15012859819</v>
      </c>
      <c r="AR106" s="3718">
        <f>AT106*$AS$14</f>
        <v>83613.2333561</v>
      </c>
      <c r="AS106" s="1514">
        <f>IFERROR(AR106/$AR$44,0)</f>
        <v>0.0359762913465</v>
      </c>
      <c r="AT106" s="3719">
        <f>AP106*(1+$L$6)</f>
        <v>3.18162988417</v>
      </c>
      <c r="AV106" s="3718">
        <f>AX106*$AW$14</f>
        <v>84449.3656896</v>
      </c>
      <c r="AW106" s="1514">
        <f>IFERROR(AV106/$AV$44,0)</f>
        <v>0.0363360542599</v>
      </c>
      <c r="AX106" s="3719">
        <f>AT106*(1+$L$6)</f>
        <v>3.21344618301</v>
      </c>
      <c r="AZ106" s="3718">
        <f>BB106*$BA$14</f>
        <v>85293.8593465</v>
      </c>
      <c r="BA106" s="1514">
        <f>IFERROR(AZ106/$AZ$44,0)</f>
        <v>0.0366994148025</v>
      </c>
      <c r="BB106" s="3719">
        <f>AX106*(1+$L$6)</f>
        <v>3.24558064484</v>
      </c>
      <c r="BD106" s="3718" t="n">
        <f t="array" ref="BD106">IFERROR($H106/12,0)</f>
        <v>4866.666666666667</v>
      </c>
      <c r="BE106" s="1516" t="n">
        <f t="array" ref="BE106">IFERROR($H106/$H$44,0)</f>
        <v>0.03931203931203931</v>
      </c>
      <c r="BF106" s="3720" t="n">
        <f t="array" ref="BF106">IFERROR(($H106/12)/1650,0)</f>
        <v>2.94949494949495</v>
      </c>
    </row>
    <row r="107" s="1168" customFormat="1" ht="15" customHeight="1">
      <c r="A107" s="3445" t="n">
        <v>0</v>
      </c>
      <c r="B107" s="3538" t="n"/>
      <c r="C107" s="1518" t="n">
        <v>0</v>
      </c>
      <c r="D107" s="643" t="n"/>
      <c r="E107" s="3583" t="n"/>
      <c r="F107" s="1172" t="n"/>
      <c r="G107" s="1283" t="inlineStr">
        <is>
          <t xml:space="preserve">Training costs- All Departments</t>
        </is>
      </c>
      <c r="H107" s="3718">
        <f>J107*$I$14</f>
        <v>0</v>
      </c>
      <c r="I107" s="1514">
        <f>IFERROR(H107/$H$44,0)</f>
        <v>0</v>
      </c>
      <c r="J107" s="3719">
        <v>0</v>
      </c>
      <c r="K107" s="1172" t="n"/>
      <c r="L107" s="3718">
        <f>N107*$M$14</f>
        <v>0</v>
      </c>
      <c r="M107" s="1514">
        <f>IFERROR(L107/$L$44,0)</f>
        <v>0</v>
      </c>
      <c r="N107" s="3719">
        <f>J107*(1+$L$6)</f>
        <v>0</v>
      </c>
      <c r="P107" s="3718">
        <f>R107*$Q$14</f>
        <v>0</v>
      </c>
      <c r="Q107" s="1514">
        <f>IFERROR(P107/$P$44,0)</f>
        <v>0</v>
      </c>
      <c r="R107" s="3719">
        <f>N107*(1+$L$6)</f>
        <v>0</v>
      </c>
      <c r="T107" s="3718">
        <f>V107*$U$14</f>
        <v>0</v>
      </c>
      <c r="U107" s="1514">
        <f>IFERROR(T107/$T$44,0)</f>
        <v>0</v>
      </c>
      <c r="V107" s="3719">
        <f>R107*(1+$L$6)</f>
        <v>0</v>
      </c>
      <c r="X107" s="3718">
        <f>Z107*$Y$14</f>
        <v>0</v>
      </c>
      <c r="Y107" s="1514">
        <f>IFERROR(X107/$X$44,0)</f>
        <v>0</v>
      </c>
      <c r="Z107" s="3719">
        <f>V107*(1+$L$6)</f>
        <v>0</v>
      </c>
      <c r="AB107" s="3718">
        <f>AD107*$AC$14</f>
        <v>0</v>
      </c>
      <c r="AC107" s="1514">
        <f>IFERROR(AB107/$AB$44,0)</f>
        <v>0</v>
      </c>
      <c r="AD107" s="3719">
        <f>Z107*(1+$L$6)</f>
        <v>0</v>
      </c>
      <c r="AF107" s="3718">
        <f>AH107*$AG$14</f>
        <v>0</v>
      </c>
      <c r="AG107" s="1514">
        <f>IFERROR(AF107/$AF$44,0)</f>
        <v>0</v>
      </c>
      <c r="AH107" s="3719">
        <f>AD107*(1+$L$6)</f>
        <v>0</v>
      </c>
      <c r="AJ107" s="3718">
        <f>AL107*$AK$14</f>
        <v>0</v>
      </c>
      <c r="AK107" s="1514">
        <f>IFERROR(AJ107/$AJ$44,0)</f>
        <v>0</v>
      </c>
      <c r="AL107" s="3719">
        <f>AH107*(1+$L$6)</f>
        <v>0</v>
      </c>
      <c r="AN107" s="3718">
        <f>AP107*$AO$14</f>
        <v>0</v>
      </c>
      <c r="AO107" s="1514">
        <f>IFERROR(AN107/$AN$44,0)</f>
        <v>0</v>
      </c>
      <c r="AP107" s="3719">
        <f>AL107*(1+$L$6)</f>
        <v>0</v>
      </c>
      <c r="AR107" s="3718">
        <f>AT107*$AS$14</f>
        <v>0</v>
      </c>
      <c r="AS107" s="1514">
        <f>IFERROR(AR107/$AR$44,0)</f>
        <v>0</v>
      </c>
      <c r="AT107" s="3719">
        <f>AP107*(1+$L$6)</f>
        <v>0</v>
      </c>
      <c r="AV107" s="3718">
        <f>AX107*$AW$14</f>
        <v>0</v>
      </c>
      <c r="AW107" s="1514">
        <f>IFERROR(AV107/$AV$44,0)</f>
        <v>0</v>
      </c>
      <c r="AX107" s="3719">
        <f>AT107*(1+$L$6)</f>
        <v>0</v>
      </c>
      <c r="AZ107" s="3718">
        <f>BB107*$BA$14</f>
        <v>0</v>
      </c>
      <c r="BA107" s="1514">
        <f>IFERROR(AZ107/$AZ$44,0)</f>
        <v>0</v>
      </c>
      <c r="BB107" s="3719">
        <f>AX107*(1+$L$6)</f>
        <v>0</v>
      </c>
      <c r="BD107" s="3718" t="n">
        <f t="array" ref="BD107">IFERROR($H107/12,0)</f>
        <v>0</v>
      </c>
      <c r="BE107" s="1516" t="n">
        <f t="array" ref="BE107">IFERROR($H107/$H$44,0)</f>
        <v>0</v>
      </c>
      <c r="BF107" s="3720" t="n">
        <f t="array" ref="BF107">IFERROR(($H107/12)/1650,0)</f>
        <v>0</v>
      </c>
    </row>
    <row r="108" s="1168" customFormat="1" ht="15" customHeight="1">
      <c r="A108" s="3445" t="n">
        <v>0</v>
      </c>
      <c r="B108" s="3538" t="n"/>
      <c r="C108" s="643" t="n"/>
      <c r="D108" s="643" t="n"/>
      <c r="E108" s="3583" t="n"/>
      <c r="F108" s="1172" t="n"/>
      <c r="G108" s="1283" t="inlineStr">
        <is>
          <t xml:space="preserve">TBA</t>
        </is>
      </c>
      <c r="H108" s="3718">
        <f>J108*$I$14</f>
        <v>0</v>
      </c>
      <c r="I108" s="1514">
        <f>IFERROR(H108/$H$44,0)</f>
        <v>0</v>
      </c>
      <c r="J108" s="3719">
        <v>0</v>
      </c>
      <c r="K108" s="1172" t="n"/>
      <c r="L108" s="3718">
        <f>N108*$M$14</f>
        <v>0</v>
      </c>
      <c r="M108" s="1514">
        <f>IFERROR(L108/$L$44,0)</f>
        <v>0</v>
      </c>
      <c r="N108" s="3719">
        <f>J108*(1+$L$6)</f>
        <v>0</v>
      </c>
      <c r="P108" s="3718">
        <f>R108*$Q$14</f>
        <v>0</v>
      </c>
      <c r="Q108" s="1514">
        <f>IFERROR(P108/$P$44,0)</f>
        <v>0</v>
      </c>
      <c r="R108" s="3719">
        <f>N108*(1+$L$6)</f>
        <v>0</v>
      </c>
      <c r="T108" s="3718">
        <f>V108*$U$14</f>
        <v>0</v>
      </c>
      <c r="U108" s="1514">
        <f>IFERROR(T108/$T$44,0)</f>
        <v>0</v>
      </c>
      <c r="V108" s="3719">
        <f>R108*(1+$L$6)</f>
        <v>0</v>
      </c>
      <c r="X108" s="3718">
        <f>Z108*$Y$14</f>
        <v>0</v>
      </c>
      <c r="Y108" s="1514">
        <f>IFERROR(X108/$X$44,0)</f>
        <v>0</v>
      </c>
      <c r="Z108" s="3719">
        <f>V108*(1+$L$6)</f>
        <v>0</v>
      </c>
      <c r="AB108" s="3718">
        <f>AD108*$AC$14</f>
        <v>0</v>
      </c>
      <c r="AC108" s="1514">
        <f>IFERROR(AB108/$AB$44,0)</f>
        <v>0</v>
      </c>
      <c r="AD108" s="3719">
        <f>Z108*(1+$L$6)</f>
        <v>0</v>
      </c>
      <c r="AF108" s="3718">
        <f>AH108*$AG$14</f>
        <v>0</v>
      </c>
      <c r="AG108" s="1514">
        <f>IFERROR(AF108/$AF$44,0)</f>
        <v>0</v>
      </c>
      <c r="AH108" s="3719">
        <f>AD108*(1+$L$6)</f>
        <v>0</v>
      </c>
      <c r="AJ108" s="3718">
        <f>AL108*$AK$14</f>
        <v>0</v>
      </c>
      <c r="AK108" s="1514">
        <f>IFERROR(AJ108/$AJ$44,0)</f>
        <v>0</v>
      </c>
      <c r="AL108" s="3719">
        <f>AH108*(1+$L$6)</f>
        <v>0</v>
      </c>
      <c r="AN108" s="3718">
        <f>AP108*$AO$14</f>
        <v>0</v>
      </c>
      <c r="AO108" s="1514">
        <f>IFERROR(AN108/$AN$44,0)</f>
        <v>0</v>
      </c>
      <c r="AP108" s="3719">
        <f>AL108*(1+$L$6)</f>
        <v>0</v>
      </c>
      <c r="AR108" s="3718">
        <f>AT108*$AS$14</f>
        <v>0</v>
      </c>
      <c r="AS108" s="1514">
        <f>IFERROR(AR108/$AR$44,0)</f>
        <v>0</v>
      </c>
      <c r="AT108" s="3719">
        <f>AP108*(1+$L$6)</f>
        <v>0</v>
      </c>
      <c r="AV108" s="3718">
        <f>AX108*$AW$14</f>
        <v>0</v>
      </c>
      <c r="AW108" s="1514">
        <f>IFERROR(AV108/$AV$44,0)</f>
        <v>0</v>
      </c>
      <c r="AX108" s="3719">
        <f>AT108*(1+$L$6)</f>
        <v>0</v>
      </c>
      <c r="AZ108" s="3718">
        <f>BB108*$BA$14</f>
        <v>0</v>
      </c>
      <c r="BA108" s="1514">
        <f>IFERROR(AZ108/$AZ$44,0)</f>
        <v>0</v>
      </c>
      <c r="BB108" s="3719">
        <f>AX108*(1+$L$6)</f>
        <v>0</v>
      </c>
      <c r="BD108" s="3718" t="n">
        <f t="array" ref="BD108">IFERROR($H108/12,0)</f>
        <v>0</v>
      </c>
      <c r="BE108" s="1516" t="n">
        <f t="array" ref="BE108">IFERROR($H108/$H$44,0)</f>
        <v>0</v>
      </c>
      <c r="BF108" s="3720" t="n">
        <f t="array" ref="BF108">IFERROR(($H108/12)/1650,0)</f>
        <v>0</v>
      </c>
    </row>
    <row r="109" s="1168" customFormat="1" ht="15" customHeight="1">
      <c r="A109" s="3445" t="n">
        <v>0</v>
      </c>
      <c r="B109" s="3538" t="n"/>
      <c r="C109" s="643" t="n"/>
      <c r="D109" s="643" t="n"/>
      <c r="E109" s="3583" t="n"/>
      <c r="F109" s="1172" t="n"/>
      <c r="G109" s="1283" t="inlineStr">
        <is>
          <t xml:space="preserve">TBA</t>
        </is>
      </c>
      <c r="H109" s="3718">
        <f>J109*$I$14</f>
        <v>0</v>
      </c>
      <c r="I109" s="1514">
        <f>IFERROR(H109/$H$44,0)</f>
        <v>0</v>
      </c>
      <c r="J109" s="3719">
        <v>0</v>
      </c>
      <c r="K109" s="1172" t="n"/>
      <c r="L109" s="3718">
        <f>N109*$M$14</f>
        <v>0</v>
      </c>
      <c r="M109" s="1514">
        <f>IFERROR(L109/$L$44,0)</f>
        <v>0</v>
      </c>
      <c r="N109" s="3719">
        <f>J109*(1+$L$6)</f>
        <v>0</v>
      </c>
      <c r="P109" s="3718">
        <f>R109*$Q$14</f>
        <v>0</v>
      </c>
      <c r="Q109" s="1514">
        <f>IFERROR(P109/$P$44,0)</f>
        <v>0</v>
      </c>
      <c r="R109" s="3719">
        <f>N109*(1+$L$6)</f>
        <v>0</v>
      </c>
      <c r="T109" s="3718">
        <f>V109*$U$14</f>
        <v>0</v>
      </c>
      <c r="U109" s="1514">
        <f>IFERROR(T109/$T$44,0)</f>
        <v>0</v>
      </c>
      <c r="V109" s="3719">
        <f>R109*(1+$L$6)</f>
        <v>0</v>
      </c>
      <c r="X109" s="3718">
        <f>Z109*$Y$14</f>
        <v>0</v>
      </c>
      <c r="Y109" s="1514">
        <f>IFERROR(X109/$X$44,0)</f>
        <v>0</v>
      </c>
      <c r="Z109" s="3719">
        <f>V109*(1+$L$6)</f>
        <v>0</v>
      </c>
      <c r="AB109" s="3718">
        <f>AD109*$AC$14</f>
        <v>0</v>
      </c>
      <c r="AC109" s="1514">
        <f>IFERROR(AB109/$AB$44,0)</f>
        <v>0</v>
      </c>
      <c r="AD109" s="3719">
        <f>Z109*(1+$L$6)</f>
        <v>0</v>
      </c>
      <c r="AF109" s="3718">
        <f>AH109*$AG$14</f>
        <v>0</v>
      </c>
      <c r="AG109" s="1514">
        <f>IFERROR(AF109/$AF$44,0)</f>
        <v>0</v>
      </c>
      <c r="AH109" s="3719">
        <f>AD109*(1+$L$6)</f>
        <v>0</v>
      </c>
      <c r="AJ109" s="3718">
        <f>AL109*$AK$14</f>
        <v>0</v>
      </c>
      <c r="AK109" s="1514">
        <f>IFERROR(AJ109/$AJ$44,0)</f>
        <v>0</v>
      </c>
      <c r="AL109" s="3719">
        <f>AH109*(1+$L$6)</f>
        <v>0</v>
      </c>
      <c r="AN109" s="3718">
        <f>AP109*$AO$14</f>
        <v>0</v>
      </c>
      <c r="AO109" s="1514">
        <f>IFERROR(AN109/$AN$44,0)</f>
        <v>0</v>
      </c>
      <c r="AP109" s="3719">
        <f>AL109*(1+$L$6)</f>
        <v>0</v>
      </c>
      <c r="AR109" s="3718">
        <f>AT109*$AS$14</f>
        <v>0</v>
      </c>
      <c r="AS109" s="1514">
        <f>IFERROR(AR109/$AR$44,0)</f>
        <v>0</v>
      </c>
      <c r="AT109" s="3719">
        <f>AP109*(1+$L$6)</f>
        <v>0</v>
      </c>
      <c r="AV109" s="3718">
        <f>AX109*$AW$14</f>
        <v>0</v>
      </c>
      <c r="AW109" s="1514">
        <f>IFERROR(AV109/$AV$44,0)</f>
        <v>0</v>
      </c>
      <c r="AX109" s="3719">
        <f>AT109*(1+$L$6)</f>
        <v>0</v>
      </c>
      <c r="AZ109" s="3718">
        <f>BB109*$BA$14</f>
        <v>0</v>
      </c>
      <c r="BA109" s="1514">
        <f>IFERROR(AZ109/$AZ$44,0)</f>
        <v>0</v>
      </c>
      <c r="BB109" s="3719">
        <f>AX109*(1+$L$6)</f>
        <v>0</v>
      </c>
      <c r="BD109" s="3718" t="n">
        <f t="array" ref="BD109">IFERROR($H109/12,0)</f>
        <v>0</v>
      </c>
      <c r="BE109" s="1516" t="n">
        <f t="array" ref="BE109">IFERROR($H109/$H$44,0)</f>
        <v>0</v>
      </c>
      <c r="BF109" s="3720" t="n">
        <f t="array" ref="BF109">IFERROR(($H109/12)/1650,0)</f>
        <v>0</v>
      </c>
    </row>
    <row r="110" s="1168" customFormat="1" ht="15.75" customHeight="1">
      <c r="A110" s="3445" t="n">
        <v>0</v>
      </c>
      <c r="B110" s="3538" t="n"/>
      <c r="C110" s="643" t="n">
        <v>6</v>
      </c>
      <c r="D110" s="643" t="n"/>
      <c r="E110" s="3583" t="n"/>
      <c r="F110" s="1172" t="n"/>
      <c r="G110" s="1415" t="inlineStr">
        <is>
          <t xml:space="preserve">TBA</t>
        </is>
      </c>
      <c r="H110" s="3721">
        <f>J110*$I$14</f>
        <v>0</v>
      </c>
      <c r="I110" s="1520">
        <f>IFERROR(H110/$H$44,0)</f>
        <v>0</v>
      </c>
      <c r="J110" s="3722">
        <v>0</v>
      </c>
      <c r="K110" s="1172" t="n"/>
      <c r="L110" s="3721">
        <f>N110*$M$14</f>
        <v>0</v>
      </c>
      <c r="M110" s="1520">
        <f>IFERROR(L110/$L$44,0)</f>
        <v>0</v>
      </c>
      <c r="N110" s="3722">
        <f>J110*(1+$L$6)</f>
        <v>0</v>
      </c>
      <c r="P110" s="3721">
        <f>R110*$Q$14</f>
        <v>0</v>
      </c>
      <c r="Q110" s="1520">
        <f>IFERROR(P110/$P$44,0)</f>
        <v>0</v>
      </c>
      <c r="R110" s="3722">
        <f>N110*(1+$L$6)</f>
        <v>0</v>
      </c>
      <c r="T110" s="3721">
        <f>V110*$U$14</f>
        <v>0</v>
      </c>
      <c r="U110" s="1520">
        <f>IFERROR(T110/$T$44,0)</f>
        <v>0</v>
      </c>
      <c r="V110" s="3722">
        <f>R110*(1+$L$6)</f>
        <v>0</v>
      </c>
      <c r="X110" s="3721">
        <f>Z110*$Y$14</f>
        <v>0</v>
      </c>
      <c r="Y110" s="1520">
        <f>IFERROR(X110/$X$44,0)</f>
        <v>0</v>
      </c>
      <c r="Z110" s="3722">
        <f>V110*(1+$L$6)</f>
        <v>0</v>
      </c>
      <c r="AB110" s="3721">
        <f>AD110*$AC$14</f>
        <v>0</v>
      </c>
      <c r="AC110" s="1520">
        <f>IFERROR(AB110/$AB$44,0)</f>
        <v>0</v>
      </c>
      <c r="AD110" s="3722">
        <f>Z110*(1+$L$6)</f>
        <v>0</v>
      </c>
      <c r="AF110" s="3721">
        <f>AH110*$AG$14</f>
        <v>0</v>
      </c>
      <c r="AG110" s="1520">
        <f>IFERROR(AF110/$AF$44,0)</f>
        <v>0</v>
      </c>
      <c r="AH110" s="3722">
        <f>AD110*(1+$L$6)</f>
        <v>0</v>
      </c>
      <c r="AJ110" s="3721">
        <f>AL110*$AK$14</f>
        <v>0</v>
      </c>
      <c r="AK110" s="1520">
        <f>IFERROR(AJ110/$AJ$44,0)</f>
        <v>0</v>
      </c>
      <c r="AL110" s="3722">
        <f>AH110*(1+$L$6)</f>
        <v>0</v>
      </c>
      <c r="AN110" s="3721">
        <f>AP110*$AO$14</f>
        <v>0</v>
      </c>
      <c r="AO110" s="1520">
        <f>IFERROR(AN110/$AN$44,0)</f>
        <v>0</v>
      </c>
      <c r="AP110" s="3722">
        <f>AL110*(1+$L$6)</f>
        <v>0</v>
      </c>
      <c r="AR110" s="3721">
        <f>AT110*$AS$14</f>
        <v>0</v>
      </c>
      <c r="AS110" s="1520">
        <f>IFERROR(AR110/$AR$44,0)</f>
        <v>0</v>
      </c>
      <c r="AT110" s="3722">
        <f>AP110*(1+$L$6)</f>
        <v>0</v>
      </c>
      <c r="AV110" s="3721">
        <f>AX110*$AW$14</f>
        <v>0</v>
      </c>
      <c r="AW110" s="1520">
        <f>IFERROR(AV110/$AV$44,0)</f>
        <v>0</v>
      </c>
      <c r="AX110" s="3722">
        <f>AT110*(1+$L$6)</f>
        <v>0</v>
      </c>
      <c r="AZ110" s="3721">
        <f>BB110*$BA$14</f>
        <v>0</v>
      </c>
      <c r="BA110" s="1520">
        <f>IFERROR(AZ110/$AZ$44,0)</f>
        <v>0</v>
      </c>
      <c r="BB110" s="3722">
        <f>AX110*(1+$L$6)</f>
        <v>0</v>
      </c>
      <c r="BD110" s="3721" t="n">
        <f t="array" ref="BD110">IFERROR($H110/12,0)</f>
        <v>0</v>
      </c>
      <c r="BE110" s="1522" t="n">
        <f t="array" ref="BE110">IFERROR($H110/$H$44,0)</f>
        <v>0</v>
      </c>
      <c r="BF110" s="3723" t="n">
        <f t="array" ref="BF110">IFERROR(($H110/12)/1650,0)</f>
        <v>0</v>
      </c>
      <c r="BH110" s="3373" t="n"/>
      <c r="BI110" s="1524" t="n"/>
    </row>
    <row r="111" s="1168" customFormat="1" ht="13.5" customHeight="1">
      <c r="E111" s="3583" t="n"/>
      <c r="F111" s="1172" t="n"/>
      <c r="G111" s="1458" t="inlineStr">
        <is>
          <t xml:space="preserve">Total Wages</t>
        </is>
      </c>
      <c r="H111" s="3601">
        <f>SUM(H94:H110)</f>
        <v>235450</v>
      </c>
      <c r="I111" s="1316">
        <f>SUM(I94:I110)</f>
        <v>0.158493487261</v>
      </c>
      <c r="J111" s="3602">
        <f>SUM(J94:J110)</f>
        <v>11.7285180573</v>
      </c>
      <c r="K111" s="1172" t="n"/>
      <c r="L111" s="3601">
        <f>SUM(L94:L110)</f>
        <v>281041.681818</v>
      </c>
      <c r="M111" s="1316">
        <f>SUM(M94:M110)</f>
        <v>0.156939629542</v>
      </c>
      <c r="N111" s="3602">
        <f>SUM(N94:N110)</f>
        <v>11.8458032379</v>
      </c>
      <c r="P111" s="3601">
        <f>SUM(P94:P110)</f>
        <v>314420.786182</v>
      </c>
      <c r="Q111" s="1316">
        <f>SUM(Q94:Q110)</f>
        <v>0.155401005723</v>
      </c>
      <c r="R111" s="3602">
        <f>SUM(R94:R110)</f>
        <v>11.9642612702</v>
      </c>
      <c r="T111" s="3601">
        <f>SUM(T94:T110)</f>
        <v>317564.994044</v>
      </c>
      <c r="U111" s="1316">
        <f>SUM(U94:U110)</f>
        <v>0.153877466452</v>
      </c>
      <c r="V111" s="3602">
        <f>SUM(V94:V110)</f>
        <v>12.0839038829</v>
      </c>
      <c r="X111" s="3601">
        <f>SUM(X94:X110)</f>
        <v>320740.643984</v>
      </c>
      <c r="Y111" s="1316">
        <f>SUM(Y94:Y110)</f>
        <v>0.152368863839</v>
      </c>
      <c r="Z111" s="3602">
        <f>SUM(Z94:Z110)</f>
        <v>12.2047429218</v>
      </c>
      <c r="AB111" s="3601">
        <f>SUM(AB94:AB110)</f>
        <v>323948.050424</v>
      </c>
      <c r="AC111" s="1319">
        <f>SUM(AC94:AC110)</f>
        <v>0.150875051449</v>
      </c>
      <c r="AD111" s="3683">
        <f>SUM(AD94:AD110)</f>
        <v>12.326790351</v>
      </c>
      <c r="AF111" s="3601">
        <f>SUM(AF94:AF110)</f>
        <v>327187.530928</v>
      </c>
      <c r="AG111" s="1319">
        <f>SUM(AG94:AG110)</f>
        <v>0.149395884278</v>
      </c>
      <c r="AH111" s="3683">
        <f>SUM(AH94:AH110)</f>
        <v>12.4500582545</v>
      </c>
      <c r="AJ111" s="3601">
        <f>SUM(AJ94:AJ110)</f>
        <v>330459.406237</v>
      </c>
      <c r="AK111" s="1319">
        <f>SUM(AK94:AK110)</f>
        <v>0.147931218745</v>
      </c>
      <c r="AL111" s="3683">
        <f>SUM(AL94:AL110)</f>
        <v>12.574558837</v>
      </c>
      <c r="AN111" s="3601">
        <f>SUM(AN94:AN110)</f>
        <v>333764.0003</v>
      </c>
      <c r="AO111" s="1319">
        <f>SUM(AO94:AO110)</f>
        <v>0.146480912679</v>
      </c>
      <c r="AP111" s="3683">
        <f>SUM(AP94:AP110)</f>
        <v>12.7003044254</v>
      </c>
      <c r="AR111" s="3601">
        <f>SUM(AR94:AR110)</f>
        <v>337101.640303</v>
      </c>
      <c r="AS111" s="1319">
        <f>SUM(AS94:AS110)</f>
        <v>0.1450448253</v>
      </c>
      <c r="AT111" s="3683">
        <f>SUM(AT94:AT110)</f>
        <v>12.8273074697</v>
      </c>
      <c r="AV111" s="3601">
        <f>SUM(AV94:AV110)</f>
        <v>340472.656706</v>
      </c>
      <c r="AW111" s="1319">
        <f>SUM(AW94:AW110)</f>
        <v>0.146495273553</v>
      </c>
      <c r="AX111" s="3683">
        <f>SUM(AX94:AX110)</f>
        <v>12.9555805444</v>
      </c>
      <c r="AZ111" s="3601">
        <f>SUM(AZ94:AZ110)</f>
        <v>343877.383273</v>
      </c>
      <c r="BA111" s="1319">
        <f>SUM(BA94:BA110)</f>
        <v>0.147960226289</v>
      </c>
      <c r="BB111" s="3683">
        <f>SUM(BB94:BB110)</f>
        <v>13.0851363498</v>
      </c>
      <c r="BD111" s="3601" t="n">
        <f t="array" ref="BD111">IFERROR($H111/12,0)</f>
        <v>19620.833333333332</v>
      </c>
      <c r="BE111" s="1319">
        <f>H111+L111+P111+T111+X111+AB111+AF111+AJ111+AN111+AR111+AV111+AZ111</f>
        <v>3806028.7742</v>
      </c>
      <c r="BF111" s="3683">
        <f>IFERROR(BE111/BE14,0)</f>
        <v>12.4136620163</v>
      </c>
    </row>
    <row r="112" s="1168" customFormat="1" ht="15.75" customHeight="1">
      <c r="E112" s="3583" t="n"/>
      <c r="F112" s="1172" t="n"/>
      <c r="G112" s="1525" t="n"/>
      <c r="H112" s="3580" t="n"/>
      <c r="I112" s="1323" t="n"/>
      <c r="J112" s="3574" t="n"/>
      <c r="K112" s="1172" t="n"/>
      <c r="L112" s="3575" t="n"/>
      <c r="M112" s="1280" t="n"/>
      <c r="N112" s="1323" t="n"/>
      <c r="P112" s="3580" t="n"/>
      <c r="Q112" s="1323" t="n"/>
      <c r="R112" s="3579" t="n"/>
      <c r="T112" s="3580" t="n"/>
      <c r="U112" s="1280" t="n"/>
      <c r="V112" s="3579" t="n"/>
      <c r="X112" s="3580" t="n"/>
      <c r="Y112" s="1280" t="n"/>
      <c r="Z112" s="3579" t="n"/>
      <c r="AB112" s="3580" t="n"/>
      <c r="AC112" s="1280" t="n"/>
      <c r="AD112" s="3579" t="n"/>
      <c r="AF112" s="3580" t="n"/>
      <c r="AG112" s="1280" t="n"/>
      <c r="AH112" s="3579" t="n"/>
      <c r="AJ112" s="3580" t="n"/>
      <c r="AK112" s="1280" t="n"/>
      <c r="AL112" s="3579" t="n"/>
      <c r="AN112" s="3580" t="n"/>
      <c r="AO112" s="1280" t="n"/>
      <c r="AP112" s="3579" t="n"/>
      <c r="AR112" s="3580" t="n"/>
      <c r="AS112" s="1280" t="n"/>
      <c r="AT112" s="3579" t="n"/>
      <c r="AV112" s="3580" t="n"/>
      <c r="AW112" s="1280" t="n"/>
      <c r="AX112" s="3579" t="n"/>
      <c r="AZ112" s="3580" t="n"/>
      <c r="BA112" s="1280" t="n"/>
      <c r="BB112" s="3579" t="n"/>
      <c r="BD112" s="3580" t="n"/>
      <c r="BE112" s="1280" t="n"/>
      <c r="BF112" s="3579" t="n"/>
    </row>
    <row r="113" s="1168" customFormat="1" ht="15.75" customHeight="1">
      <c r="E113" s="3583" t="n"/>
      <c r="F113" s="1172" t="n"/>
      <c r="G113" s="1272" t="inlineStr">
        <is>
          <t xml:space="preserve">Payroll Taxes</t>
        </is>
      </c>
      <c r="H113" s="3681" t="n"/>
      <c r="I113" s="1310" t="n"/>
      <c r="J113" s="3724" t="n"/>
      <c r="K113" s="1172" t="n"/>
      <c r="L113" s="3682" t="n"/>
      <c r="M113" s="1307" t="n"/>
      <c r="N113" s="1310" t="n"/>
      <c r="P113" s="3600" t="n"/>
      <c r="Q113" s="1310" t="n"/>
      <c r="R113" s="3599" t="n"/>
      <c r="T113" s="3600" t="n"/>
      <c r="U113" s="1307" t="n"/>
      <c r="V113" s="3599" t="n"/>
      <c r="X113" s="3600" t="n"/>
      <c r="Y113" s="1307" t="n"/>
      <c r="Z113" s="3599" t="n"/>
      <c r="AB113" s="3600" t="n"/>
      <c r="AC113" s="1307" t="n"/>
      <c r="AD113" s="3599" t="n"/>
      <c r="AF113" s="3600" t="n"/>
      <c r="AG113" s="1307" t="n"/>
      <c r="AH113" s="3599" t="n"/>
      <c r="AJ113" s="3600" t="n"/>
      <c r="AK113" s="1307" t="n"/>
      <c r="AL113" s="3599" t="n"/>
      <c r="AN113" s="3600" t="n"/>
      <c r="AO113" s="1307" t="n"/>
      <c r="AP113" s="3599" t="n"/>
      <c r="AR113" s="3600" t="n"/>
      <c r="AS113" s="1307" t="n"/>
      <c r="AT113" s="3599" t="n"/>
      <c r="AV113" s="3600" t="n"/>
      <c r="AW113" s="1307" t="n"/>
      <c r="AX113" s="3599" t="n"/>
      <c r="AZ113" s="3600" t="n"/>
      <c r="BA113" s="1307" t="n"/>
      <c r="BB113" s="3599" t="n"/>
      <c r="BD113" s="3600" t="n"/>
      <c r="BE113" s="1307" t="n"/>
      <c r="BF113" s="3599" t="n"/>
    </row>
    <row r="114" s="1168" customFormat="1" ht="15" customHeight="1">
      <c r="E114" s="3583" t="n"/>
      <c r="F114" s="1172" t="n"/>
      <c r="G114" s="1283" t="inlineStr">
        <is>
          <t xml:space="preserve">FD-Guest Services - Wages</t>
        </is>
      </c>
      <c r="H114" s="3725">
        <f>J114*$I$14</f>
        <v>0</v>
      </c>
      <c r="I114" s="1528">
        <f>IFERROR(H114/$H$44,0)</f>
        <v>0</v>
      </c>
      <c r="J114" s="3726">
        <v>0</v>
      </c>
      <c r="K114" s="1172" t="n"/>
      <c r="L114" s="3727">
        <f>N114*$M$14</f>
        <v>0</v>
      </c>
      <c r="M114" s="1531">
        <f>IFERROR(L114/$L$44,0)</f>
        <v>0</v>
      </c>
      <c r="N114" s="3728">
        <f>J114*(1+$L$6)</f>
        <v>0</v>
      </c>
      <c r="P114" s="3725">
        <f>R114*$Q$14</f>
        <v>0</v>
      </c>
      <c r="Q114" s="1528">
        <f>IFERROR(P114/$P$44,0)</f>
        <v>0</v>
      </c>
      <c r="R114" s="3726">
        <f>N114*(1+$L$6)</f>
        <v>0</v>
      </c>
      <c r="T114" s="3725">
        <f>V114*$U$14</f>
        <v>0</v>
      </c>
      <c r="U114" s="1528">
        <f>IFERROR(T114/$T$44,0)</f>
        <v>0</v>
      </c>
      <c r="V114" s="3726">
        <f>R114*(1+$L$6)</f>
        <v>0</v>
      </c>
      <c r="X114" s="3725">
        <f>Z114*$Y$14</f>
        <v>0</v>
      </c>
      <c r="Y114" s="1528">
        <f>IFERROR(X114/$X$44,0)</f>
        <v>0</v>
      </c>
      <c r="Z114" s="3726">
        <f>V114*(1+$L$6)</f>
        <v>0</v>
      </c>
      <c r="AB114" s="3725">
        <f>AD114*$AC$14</f>
        <v>0</v>
      </c>
      <c r="AC114" s="1528">
        <f>IFERROR(AB114/$AB$44,0)</f>
        <v>0</v>
      </c>
      <c r="AD114" s="3726">
        <f>Z114*(1+$L$6)</f>
        <v>0</v>
      </c>
      <c r="AF114" s="3725">
        <f>AH114*$AG$14</f>
        <v>0</v>
      </c>
      <c r="AG114" s="1528">
        <f>IFERROR(AF114/$AF$44,0)</f>
        <v>0</v>
      </c>
      <c r="AH114" s="3726">
        <f>AD114*(1+$L$6)</f>
        <v>0</v>
      </c>
      <c r="AJ114" s="3725">
        <f>AL114*$AK$14</f>
        <v>0</v>
      </c>
      <c r="AK114" s="1528">
        <f>IFERROR(AJ114/$AJ$44,0)</f>
        <v>0</v>
      </c>
      <c r="AL114" s="3726">
        <f>AH114*(1+$L$6)</f>
        <v>0</v>
      </c>
      <c r="AN114" s="3725">
        <f>AP114*$AO$14</f>
        <v>0</v>
      </c>
      <c r="AO114" s="1528">
        <f>IFERROR(AN114/$AN$44,0)</f>
        <v>0</v>
      </c>
      <c r="AP114" s="3726">
        <f>AL114*(1+$L$6)</f>
        <v>0</v>
      </c>
      <c r="AR114" s="3725">
        <f>AT114*$AS$14</f>
        <v>0</v>
      </c>
      <c r="AS114" s="1528">
        <f>IFERROR(AR114/$AR$44,0)</f>
        <v>0</v>
      </c>
      <c r="AT114" s="3726">
        <f>AP114*(1+$L$6)</f>
        <v>0</v>
      </c>
      <c r="AV114" s="3725">
        <f>AX114*$AW$14</f>
        <v>0</v>
      </c>
      <c r="AW114" s="1528">
        <f>IFERROR(AV114/$AV$44,0)</f>
        <v>0</v>
      </c>
      <c r="AX114" s="3726">
        <f>AT114*(1+$L$6)</f>
        <v>0</v>
      </c>
      <c r="AZ114" s="3725">
        <f>BB114*$BA$14</f>
        <v>0</v>
      </c>
      <c r="BA114" s="1528">
        <f>IFERROR(AZ114/$AZ$44,0)</f>
        <v>0</v>
      </c>
      <c r="BB114" s="3726">
        <f>AX114*(1+$L$6)</f>
        <v>0</v>
      </c>
      <c r="BC114" s="1426" t="n"/>
      <c r="BD114" s="3725" t="n">
        <f t="array" ref="BD114">IFERROR($H114/12,0)</f>
        <v>0</v>
      </c>
      <c r="BE114" s="1528" t="n">
        <f t="array" ref="BE114">IFERROR($H114/$H$44,0)</f>
        <v>0</v>
      </c>
      <c r="BF114" s="3726" t="n">
        <f t="array" ref="BF114">IFERROR(($H114/12)/1650,0)</f>
        <v>0</v>
      </c>
    </row>
    <row r="115" s="1168" customFormat="1" ht="15" customHeight="1">
      <c r="E115" s="3583" t="n"/>
      <c r="F115" s="1172" t="n"/>
      <c r="G115" s="1283" t="inlineStr">
        <is>
          <t xml:space="preserve">Night Audit</t>
        </is>
      </c>
      <c r="H115" s="3718">
        <f>J115*$I$14</f>
        <v>0</v>
      </c>
      <c r="I115" s="1514">
        <f>IFERROR(H115/$H$44,0)</f>
        <v>0</v>
      </c>
      <c r="J115" s="3719">
        <v>0</v>
      </c>
      <c r="K115" s="1172" t="n"/>
      <c r="L115" s="3729">
        <f>N115*$M$14</f>
        <v>0</v>
      </c>
      <c r="M115" s="1534">
        <f>IFERROR(L115/$L$44,0)</f>
        <v>0</v>
      </c>
      <c r="N115" s="3730">
        <f>J115*(1+$L$6)</f>
        <v>0</v>
      </c>
      <c r="P115" s="3718">
        <f>R115*$Q$14</f>
        <v>0</v>
      </c>
      <c r="Q115" s="1514">
        <f>IFERROR(P115/$P$44,0)</f>
        <v>0</v>
      </c>
      <c r="R115" s="3719">
        <f>N115*(1+$L$6)</f>
        <v>0</v>
      </c>
      <c r="T115" s="3718">
        <f>V115*$U$14</f>
        <v>0</v>
      </c>
      <c r="U115" s="1514">
        <f>IFERROR(T115/$T$44,0)</f>
        <v>0</v>
      </c>
      <c r="V115" s="3719">
        <f>R115*(1+$L$6)</f>
        <v>0</v>
      </c>
      <c r="X115" s="3718">
        <f>Z115*$Y$14</f>
        <v>0</v>
      </c>
      <c r="Y115" s="1514">
        <f>IFERROR(X115/$X$44,0)</f>
        <v>0</v>
      </c>
      <c r="Z115" s="3719">
        <f>V115*(1+$L$6)</f>
        <v>0</v>
      </c>
      <c r="AB115" s="3718">
        <f>AD115*$AC$14</f>
        <v>0</v>
      </c>
      <c r="AC115" s="1514">
        <f>IFERROR(AB115/$AB$44,0)</f>
        <v>0</v>
      </c>
      <c r="AD115" s="3719">
        <f>Z115*(1+$L$6)</f>
        <v>0</v>
      </c>
      <c r="AF115" s="3718">
        <f>AH115*$AG$14</f>
        <v>0</v>
      </c>
      <c r="AG115" s="1514">
        <f>IFERROR(AF115/$AF$44,0)</f>
        <v>0</v>
      </c>
      <c r="AH115" s="3719">
        <f>AD115*(1+$L$6)</f>
        <v>0</v>
      </c>
      <c r="AJ115" s="3718">
        <f>AL115*$AK$14</f>
        <v>0</v>
      </c>
      <c r="AK115" s="1514">
        <f>IFERROR(AJ115/$AJ$44,0)</f>
        <v>0</v>
      </c>
      <c r="AL115" s="3719">
        <f>AH115*(1+$L$6)</f>
        <v>0</v>
      </c>
      <c r="AN115" s="3718">
        <f>AP115*$AO$14</f>
        <v>0</v>
      </c>
      <c r="AO115" s="1514">
        <f>IFERROR(AN115/$AN$44,0)</f>
        <v>0</v>
      </c>
      <c r="AP115" s="3719">
        <f>AL115*(1+$L$6)</f>
        <v>0</v>
      </c>
      <c r="AR115" s="3718">
        <f>AT115*$AS$14</f>
        <v>0</v>
      </c>
      <c r="AS115" s="1514">
        <f>IFERROR(AR115/$AR$44,0)</f>
        <v>0</v>
      </c>
      <c r="AT115" s="3719">
        <f>AP115*(1+$L$6)</f>
        <v>0</v>
      </c>
      <c r="AV115" s="3718">
        <f>AX115*$AW$14</f>
        <v>0</v>
      </c>
      <c r="AW115" s="1514">
        <f>IFERROR(AV115/$AV$44,0)</f>
        <v>0</v>
      </c>
      <c r="AX115" s="3719">
        <f>AT115*(1+$L$6)</f>
        <v>0</v>
      </c>
      <c r="AZ115" s="3718">
        <f>BB115*$BA$14</f>
        <v>0</v>
      </c>
      <c r="BA115" s="1514">
        <f>IFERROR(AZ115/$AZ$44,0)</f>
        <v>0</v>
      </c>
      <c r="BB115" s="3719">
        <f>AX115*(1+$L$6)</f>
        <v>0</v>
      </c>
      <c r="BC115" s="1426" t="n"/>
      <c r="BD115" s="3718" t="n">
        <f t="array" ref="BD115">IFERROR($H115/12,0)</f>
        <v>0</v>
      </c>
      <c r="BE115" s="1514" t="n">
        <f t="array" ref="BE115">IFERROR($H115/$H$44,0)</f>
        <v>0</v>
      </c>
      <c r="BF115" s="3719" t="n">
        <f t="array" ref="BF115">IFERROR(($H115/12)/1650,0)</f>
        <v>0</v>
      </c>
    </row>
    <row r="116" s="1168" customFormat="1" ht="15" customHeight="1">
      <c r="E116" s="3583" t="n"/>
      <c r="F116" s="1172" t="n"/>
      <c r="G116" s="1283" t="inlineStr">
        <is>
          <t xml:space="preserve">Room Attendants</t>
        </is>
      </c>
      <c r="H116" s="3718">
        <f>J116*$I$14</f>
        <v>10037.5</v>
      </c>
      <c r="I116" s="1514">
        <f>IFERROR(H116/$H$44,0)</f>
        <v>0.00675675675676</v>
      </c>
      <c r="J116" s="3719">
        <v>0.5</v>
      </c>
      <c r="K116" s="1172" t="n"/>
      <c r="L116" s="3729">
        <f>N116*$M$14</f>
        <v>11981.125</v>
      </c>
      <c r="M116" s="1534">
        <f>IFERROR(L116/$L$44,0)</f>
        <v>0.00669051404346</v>
      </c>
      <c r="N116" s="3730">
        <f>J116*(1+$L$6)</f>
        <v>0.505</v>
      </c>
      <c r="P116" s="3718">
        <f>R116*$Q$14</f>
        <v>13404.114</v>
      </c>
      <c r="Q116" s="1514">
        <f>IFERROR(P116/$P$44,0)</f>
        <v>0.00662492076852</v>
      </c>
      <c r="R116" s="3719">
        <f>N116*(1+$L$6)</f>
        <v>0.51005</v>
      </c>
      <c r="T116" s="3718">
        <f>V116*$U$14</f>
        <v>13538.15514</v>
      </c>
      <c r="U116" s="1514">
        <f>IFERROR(T116/$T$44,0)</f>
        <v>0.00655997056491</v>
      </c>
      <c r="V116" s="3719">
        <f>R116*(1+$L$6)</f>
        <v>0.5151505</v>
      </c>
      <c r="X116" s="3718">
        <f>Z116*$Y$14</f>
        <v>13673.5366914</v>
      </c>
      <c r="Y116" s="1514">
        <f>IFERROR(X116/$X$44,0)</f>
        <v>0.006495657128</v>
      </c>
      <c r="Z116" s="3719">
        <f>V116*(1+$L$6)</f>
        <v>0.520302005</v>
      </c>
      <c r="AB116" s="3718">
        <f>AD116*$AC$14</f>
        <v>13810.2720583</v>
      </c>
      <c r="AC116" s="1514">
        <f>IFERROR(AB116/$AB$44,0)</f>
        <v>0.00643197421498</v>
      </c>
      <c r="AD116" s="3719">
        <f>Z116*(1+$L$6)</f>
        <v>0.52550502505</v>
      </c>
      <c r="AF116" s="3718">
        <f>AH116*$AG$14</f>
        <v>13948.3747789</v>
      </c>
      <c r="AG116" s="1514">
        <f>IFERROR(AF116/$AF$44,0)</f>
        <v>0.00636891564424</v>
      </c>
      <c r="AH116" s="3719">
        <f>AD116*(1+$L$6)</f>
        <v>0.530760075301</v>
      </c>
      <c r="AJ116" s="3718">
        <f>AL116*$AK$14</f>
        <v>14087.8585267</v>
      </c>
      <c r="AK116" s="1514">
        <f>IFERROR(AJ116/$AJ$44,0)</f>
        <v>0.00630647529479</v>
      </c>
      <c r="AL116" s="3719">
        <f>AH116*(1+$L$6)</f>
        <v>0.536067676054</v>
      </c>
      <c r="AN116" s="3718">
        <f>AP116*$AO$14</f>
        <v>14228.737112</v>
      </c>
      <c r="AO116" s="1514">
        <f>IFERROR(AN116/$AN$44,0)</f>
        <v>0.00624464710562</v>
      </c>
      <c r="AP116" s="3719">
        <f>AL116*(1+$L$6)</f>
        <v>0.541428352814</v>
      </c>
      <c r="AR116" s="3718">
        <f>AT116*$AS$14</f>
        <v>14371.0244831</v>
      </c>
      <c r="AS116" s="1514">
        <f>IFERROR(AR116/$AR$44,0)</f>
        <v>0.00618342507518</v>
      </c>
      <c r="AT116" s="3719">
        <f>AP116*(1+$L$6)</f>
        <v>0.546842636342</v>
      </c>
      <c r="AV116" s="3718">
        <f>AX116*$AW$14</f>
        <v>14514.7347279</v>
      </c>
      <c r="AW116" s="1514">
        <f>IFERROR(AV116/$AV$44,0)</f>
        <v>0.00624525932593</v>
      </c>
      <c r="AX116" s="3719">
        <f>AT116*(1+$L$6)</f>
        <v>0.552311062706</v>
      </c>
      <c r="AZ116" s="3718">
        <f>BB116*$BA$14</f>
        <v>14659.8820752</v>
      </c>
      <c r="BA116" s="1514">
        <f>IFERROR(AZ116/$AZ$44,0)</f>
        <v>0.00630771191919</v>
      </c>
      <c r="BB116" s="3719">
        <f>AX116*(1+$L$6)</f>
        <v>0.557834173333</v>
      </c>
      <c r="BC116" s="1426" t="n"/>
      <c r="BD116" s="3718" t="n">
        <f t="array" ref="BD116">IFERROR($H116/12,0)</f>
        <v>836.4583333333334</v>
      </c>
      <c r="BE116" s="1514" t="n">
        <f t="array" ref="BE116">IFERROR($H116/$H$44,0)</f>
        <v>0.006756756756756757</v>
      </c>
      <c r="BF116" s="3719" t="n">
        <f t="array" ref="BF116">IFERROR(($H116/12)/1650,0)</f>
        <v>0.5069444444444444</v>
      </c>
    </row>
    <row r="117" s="1168" customFormat="1" ht="15" customHeight="1">
      <c r="A117" s="101" t="n"/>
      <c r="B117" s="1185" t="n"/>
      <c r="E117" s="3583" t="n"/>
      <c r="F117" s="1172" t="n"/>
      <c r="G117" s="1283" t="inlineStr">
        <is>
          <t xml:space="preserve">Laundry</t>
        </is>
      </c>
      <c r="H117" s="3718">
        <f>J117*$I$14</f>
        <v>0</v>
      </c>
      <c r="I117" s="1514">
        <f>IFERROR(H117/$H$44,0)</f>
        <v>0</v>
      </c>
      <c r="J117" s="3719">
        <v>0</v>
      </c>
      <c r="K117" s="1172" t="n"/>
      <c r="L117" s="3729">
        <f>N117*$M$14</f>
        <v>0</v>
      </c>
      <c r="M117" s="1534">
        <f>IFERROR(L117/$L$44,0)</f>
        <v>0</v>
      </c>
      <c r="N117" s="3730">
        <f>J117*(1+$L$6)</f>
        <v>0</v>
      </c>
      <c r="P117" s="3718">
        <f>R117*$Q$14</f>
        <v>0</v>
      </c>
      <c r="Q117" s="1514">
        <f>IFERROR(P117/$P$44,0)</f>
        <v>0</v>
      </c>
      <c r="R117" s="3719">
        <f>N117*(1+$L$6)</f>
        <v>0</v>
      </c>
      <c r="T117" s="3718">
        <f>V117*$U$14</f>
        <v>0</v>
      </c>
      <c r="U117" s="1514">
        <f>IFERROR(T117/$T$44,0)</f>
        <v>0</v>
      </c>
      <c r="V117" s="3719">
        <f>R117*(1+$L$6)</f>
        <v>0</v>
      </c>
      <c r="X117" s="3718">
        <f>Z117*$Y$14</f>
        <v>0</v>
      </c>
      <c r="Y117" s="1514">
        <f>IFERROR(X117/$X$44,0)</f>
        <v>0</v>
      </c>
      <c r="Z117" s="3719">
        <f>V117*(1+$L$6)</f>
        <v>0</v>
      </c>
      <c r="AB117" s="3718">
        <f>AD117*$AC$14</f>
        <v>0</v>
      </c>
      <c r="AC117" s="1514">
        <f>IFERROR(AB117/$AB$44,0)</f>
        <v>0</v>
      </c>
      <c r="AD117" s="3719">
        <f>Z117*(1+$L$6)</f>
        <v>0</v>
      </c>
      <c r="AF117" s="3718">
        <f>AH117*$AG$14</f>
        <v>0</v>
      </c>
      <c r="AG117" s="1514">
        <f>IFERROR(AF117/$AF$44,0)</f>
        <v>0</v>
      </c>
      <c r="AH117" s="3719">
        <f>AD117*(1+$L$6)</f>
        <v>0</v>
      </c>
      <c r="AJ117" s="3718">
        <f>AL117*$AK$14</f>
        <v>0</v>
      </c>
      <c r="AK117" s="1514">
        <f>IFERROR(AJ117/$AJ$44,0)</f>
        <v>0</v>
      </c>
      <c r="AL117" s="3719">
        <f>AH117*(1+$L$6)</f>
        <v>0</v>
      </c>
      <c r="AN117" s="3718">
        <f>AP117*$AO$14</f>
        <v>0</v>
      </c>
      <c r="AO117" s="1514">
        <f>IFERROR(AN117/$AN$44,0)</f>
        <v>0</v>
      </c>
      <c r="AP117" s="3719">
        <f>AL117*(1+$L$6)</f>
        <v>0</v>
      </c>
      <c r="AR117" s="3718">
        <f>AT117*$AS$14</f>
        <v>0</v>
      </c>
      <c r="AS117" s="1514">
        <f>IFERROR(AR117/$AR$44,0)</f>
        <v>0</v>
      </c>
      <c r="AT117" s="3719">
        <f>AP117*(1+$L$6)</f>
        <v>0</v>
      </c>
      <c r="AV117" s="3718">
        <f>AX117*$AW$14</f>
        <v>0</v>
      </c>
      <c r="AW117" s="1514">
        <f>IFERROR(AV117/$AV$44,0)</f>
        <v>0</v>
      </c>
      <c r="AX117" s="3719">
        <f>AT117*(1+$L$6)</f>
        <v>0</v>
      </c>
      <c r="AZ117" s="3718">
        <f>BB117*$BA$14</f>
        <v>0</v>
      </c>
      <c r="BA117" s="1514">
        <f>IFERROR(AZ117/$AZ$44,0)</f>
        <v>0</v>
      </c>
      <c r="BB117" s="3719">
        <f>AX117*(1+$L$6)</f>
        <v>0</v>
      </c>
      <c r="BC117" s="1426" t="n"/>
      <c r="BD117" s="3718" t="n">
        <f t="array" ref="BD117">IFERROR($H117/12,0)</f>
        <v>0</v>
      </c>
      <c r="BE117" s="1514" t="n">
        <f t="array" ref="BE117">IFERROR($H117/$H$44,0)</f>
        <v>0</v>
      </c>
      <c r="BF117" s="3719" t="n">
        <f t="array" ref="BF117">IFERROR(($H117/12)/1650,0)</f>
        <v>0</v>
      </c>
    </row>
    <row r="118" s="1168" customFormat="1" ht="15" customHeight="1">
      <c r="A118" s="101" t="n"/>
      <c r="B118" s="1185" t="n"/>
      <c r="E118" s="3583" t="n"/>
      <c r="F118" s="1172" t="n"/>
      <c r="G118" s="1283" t="inlineStr">
        <is>
          <t xml:space="preserve">Breakfast Attendant</t>
        </is>
      </c>
      <c r="H118" s="3718">
        <f>J118*$I$14</f>
        <v>0</v>
      </c>
      <c r="I118" s="1514">
        <f>IFERROR(H118/$H$44,0)</f>
        <v>0</v>
      </c>
      <c r="J118" s="3719">
        <v>0</v>
      </c>
      <c r="K118" s="1172" t="n"/>
      <c r="L118" s="3729">
        <f>N118*$M$14</f>
        <v>0</v>
      </c>
      <c r="M118" s="1534">
        <f>IFERROR(L118/$L$44,0)</f>
        <v>0</v>
      </c>
      <c r="N118" s="3730">
        <f>J118*(1+$L$6)</f>
        <v>0</v>
      </c>
      <c r="P118" s="3718">
        <f>R118*$Q$14</f>
        <v>0</v>
      </c>
      <c r="Q118" s="1514">
        <f>IFERROR(P118/$P$44,0)</f>
        <v>0</v>
      </c>
      <c r="R118" s="3719">
        <f>N118*(1+$L$6)</f>
        <v>0</v>
      </c>
      <c r="T118" s="3718">
        <f>V118*$U$14</f>
        <v>0</v>
      </c>
      <c r="U118" s="1514">
        <f>IFERROR(T118/$T$44,0)</f>
        <v>0</v>
      </c>
      <c r="V118" s="3719">
        <f>R118*(1+$L$6)</f>
        <v>0</v>
      </c>
      <c r="X118" s="3718">
        <f>Z118*$Y$14</f>
        <v>0</v>
      </c>
      <c r="Y118" s="1514">
        <f>IFERROR(X118/$X$44,0)</f>
        <v>0</v>
      </c>
      <c r="Z118" s="3719">
        <f>V118*(1+$L$6)</f>
        <v>0</v>
      </c>
      <c r="AB118" s="3718">
        <f>AD118*$AC$14</f>
        <v>0</v>
      </c>
      <c r="AC118" s="1514">
        <f>IFERROR(AB118/$AB$44,0)</f>
        <v>0</v>
      </c>
      <c r="AD118" s="3719">
        <f>Z118*(1+$L$6)</f>
        <v>0</v>
      </c>
      <c r="AF118" s="3718">
        <f>AH118*$AG$14</f>
        <v>0</v>
      </c>
      <c r="AG118" s="1514">
        <f>IFERROR(AF118/$AF$44,0)</f>
        <v>0</v>
      </c>
      <c r="AH118" s="3719">
        <f>AD118*(1+$L$6)</f>
        <v>0</v>
      </c>
      <c r="AJ118" s="3718">
        <f>AL118*$AK$14</f>
        <v>0</v>
      </c>
      <c r="AK118" s="1514">
        <f>IFERROR(AJ118/$AJ$44,0)</f>
        <v>0</v>
      </c>
      <c r="AL118" s="3719">
        <f>AH118*(1+$L$6)</f>
        <v>0</v>
      </c>
      <c r="AN118" s="3718">
        <f>AP118*$AO$14</f>
        <v>0</v>
      </c>
      <c r="AO118" s="1514">
        <f>IFERROR(AN118/$AN$44,0)</f>
        <v>0</v>
      </c>
      <c r="AP118" s="3719">
        <f>AL118*(1+$L$6)</f>
        <v>0</v>
      </c>
      <c r="AR118" s="3718">
        <f>AT118*$AS$14</f>
        <v>0</v>
      </c>
      <c r="AS118" s="1514">
        <f>IFERROR(AR118/$AR$44,0)</f>
        <v>0</v>
      </c>
      <c r="AT118" s="3719">
        <f>AP118*(1+$L$6)</f>
        <v>0</v>
      </c>
      <c r="AV118" s="3718">
        <f>AX118*$AW$14</f>
        <v>0</v>
      </c>
      <c r="AW118" s="1514">
        <f>IFERROR(AV118/$AV$44,0)</f>
        <v>0</v>
      </c>
      <c r="AX118" s="3719">
        <f>AT118*(1+$L$6)</f>
        <v>0</v>
      </c>
      <c r="AZ118" s="3718">
        <f>BB118*$BA$14</f>
        <v>0</v>
      </c>
      <c r="BA118" s="1514">
        <f>IFERROR(AZ118/$AZ$44,0)</f>
        <v>0</v>
      </c>
      <c r="BB118" s="3719">
        <f>AX118*(1+$L$6)</f>
        <v>0</v>
      </c>
      <c r="BC118" s="1426" t="n"/>
      <c r="BD118" s="3718" t="n">
        <f t="array" ref="BD118">IFERROR($H118/12,0)</f>
        <v>0</v>
      </c>
      <c r="BE118" s="1514" t="n">
        <f t="array" ref="BE118">IFERROR($H118/$H$44,0)</f>
        <v>0</v>
      </c>
      <c r="BF118" s="3719" t="n">
        <f t="array" ref="BF118">IFERROR(($H118/12)/1650,0)</f>
        <v>0</v>
      </c>
    </row>
    <row r="119" s="1168" customFormat="1" ht="15" customHeight="1">
      <c r="A119" s="101" t="n"/>
      <c r="B119" s="1185" t="n"/>
      <c r="E119" s="3583" t="n"/>
      <c r="F119" s="1172" t="n"/>
      <c r="G119" s="1283" t="inlineStr">
        <is>
          <t xml:space="preserve">Houseman</t>
        </is>
      </c>
      <c r="H119" s="3718">
        <f>J119*$I$14</f>
        <v>0</v>
      </c>
      <c r="I119" s="1514">
        <f>IFERROR(H119/$H$44,0)</f>
        <v>0</v>
      </c>
      <c r="J119" s="3719">
        <v>0</v>
      </c>
      <c r="K119" s="1172" t="n"/>
      <c r="L119" s="3729">
        <f>N119*$M$14</f>
        <v>0</v>
      </c>
      <c r="M119" s="1534">
        <f>IFERROR(L119/$L$44,0)</f>
        <v>0</v>
      </c>
      <c r="N119" s="3730">
        <f>J119*(1+$L$6)</f>
        <v>0</v>
      </c>
      <c r="P119" s="3718">
        <f>R119*$Q$14</f>
        <v>0</v>
      </c>
      <c r="Q119" s="1514">
        <f>IFERROR(P119/$P$44,0)</f>
        <v>0</v>
      </c>
      <c r="R119" s="3719">
        <f>N119*(1+$L$6)</f>
        <v>0</v>
      </c>
      <c r="T119" s="3718">
        <f>V119*$U$14</f>
        <v>0</v>
      </c>
      <c r="U119" s="1514">
        <f>IFERROR(T119/$T$44,0)</f>
        <v>0</v>
      </c>
      <c r="V119" s="3719">
        <f>R119*(1+$L$6)</f>
        <v>0</v>
      </c>
      <c r="X119" s="3718">
        <f>Z119*$Y$14</f>
        <v>0</v>
      </c>
      <c r="Y119" s="1514">
        <f>IFERROR(X119/$X$44,0)</f>
        <v>0</v>
      </c>
      <c r="Z119" s="3719">
        <f>V119*(1+$L$6)</f>
        <v>0</v>
      </c>
      <c r="AB119" s="3718">
        <f>AD119*$AC$14</f>
        <v>0</v>
      </c>
      <c r="AC119" s="1514">
        <f>IFERROR(AB119/$AB$44,0)</f>
        <v>0</v>
      </c>
      <c r="AD119" s="3719">
        <f>Z119*(1+$L$6)</f>
        <v>0</v>
      </c>
      <c r="AF119" s="3718">
        <f>AH119*$AG$14</f>
        <v>0</v>
      </c>
      <c r="AG119" s="1514">
        <f>IFERROR(AF119/$AF$44,0)</f>
        <v>0</v>
      </c>
      <c r="AH119" s="3719">
        <f>AD119*(1+$L$6)</f>
        <v>0</v>
      </c>
      <c r="AJ119" s="3718">
        <f>AL119*$AK$14</f>
        <v>0</v>
      </c>
      <c r="AK119" s="1514">
        <f>IFERROR(AJ119/$AJ$44,0)</f>
        <v>0</v>
      </c>
      <c r="AL119" s="3719">
        <f>AH119*(1+$L$6)</f>
        <v>0</v>
      </c>
      <c r="AN119" s="3718">
        <f>AP119*$AO$14</f>
        <v>0</v>
      </c>
      <c r="AO119" s="1514">
        <f>IFERROR(AN119/$AN$44,0)</f>
        <v>0</v>
      </c>
      <c r="AP119" s="3719">
        <f>AL119*(1+$L$6)</f>
        <v>0</v>
      </c>
      <c r="AR119" s="3718">
        <f>AT119*$AS$14</f>
        <v>0</v>
      </c>
      <c r="AS119" s="1514">
        <f>IFERROR(AR119/$AR$44,0)</f>
        <v>0</v>
      </c>
      <c r="AT119" s="3719">
        <f>AP119*(1+$L$6)</f>
        <v>0</v>
      </c>
      <c r="AV119" s="3718">
        <f>AX119*$AW$14</f>
        <v>0</v>
      </c>
      <c r="AW119" s="1514">
        <f>IFERROR(AV119/$AV$44,0)</f>
        <v>0</v>
      </c>
      <c r="AX119" s="3719">
        <f>AT119*(1+$L$6)</f>
        <v>0</v>
      </c>
      <c r="AZ119" s="3718">
        <f>BB119*$BA$14</f>
        <v>0</v>
      </c>
      <c r="BA119" s="1514">
        <f>IFERROR(AZ119/$AZ$44,0)</f>
        <v>0</v>
      </c>
      <c r="BB119" s="3719">
        <f>AX119*(1+$L$6)</f>
        <v>0</v>
      </c>
      <c r="BC119" s="1426" t="n"/>
      <c r="BD119" s="3718" t="n">
        <f t="array" ref="BD119">IFERROR($H119/12,0)</f>
        <v>0</v>
      </c>
      <c r="BE119" s="1514" t="n">
        <f t="array" ref="BE119">IFERROR($H119/$H$44,0)</f>
        <v>0</v>
      </c>
      <c r="BF119" s="3719" t="n">
        <f t="array" ref="BF119">IFERROR(($H119/12)/1650,0)</f>
        <v>0</v>
      </c>
    </row>
    <row r="120" s="1168" customFormat="1" ht="15" customHeight="1">
      <c r="A120" s="101" t="n"/>
      <c r="B120" s="1185" t="n"/>
      <c r="E120" s="3583" t="n"/>
      <c r="F120" s="1172" t="n"/>
      <c r="G120" s="1283" t="inlineStr">
        <is>
          <t xml:space="preserve">Executive Housekeeper</t>
        </is>
      </c>
      <c r="H120" s="3718">
        <f>J120*$I$14</f>
        <v>2007.5</v>
      </c>
      <c r="I120" s="1514">
        <f>IFERROR(H120/$H$44,0)</f>
        <v>0.00135135135135</v>
      </c>
      <c r="J120" s="3719">
        <v>0.1</v>
      </c>
      <c r="K120" s="1172" t="n"/>
      <c r="L120" s="3729">
        <f>N120*$M$14</f>
        <v>2396.225</v>
      </c>
      <c r="M120" s="1534">
        <f>IFERROR(L120/$L$44,0)</f>
        <v>0.00133810280869</v>
      </c>
      <c r="N120" s="3730">
        <f>J120*(1+$L$6)</f>
        <v>0.101</v>
      </c>
      <c r="P120" s="3718">
        <f>R120*$Q$14</f>
        <v>2680.8228</v>
      </c>
      <c r="Q120" s="1514">
        <f>IFERROR(P120/$P$44,0)</f>
        <v>0.0013249841537</v>
      </c>
      <c r="R120" s="3719">
        <f>N120*(1+$L$6)</f>
        <v>0.10201</v>
      </c>
      <c r="T120" s="3718">
        <f>V120*$U$14</f>
        <v>2707.631028</v>
      </c>
      <c r="U120" s="1514">
        <f>IFERROR(T120/$T$44,0)</f>
        <v>0.00131199411298</v>
      </c>
      <c r="V120" s="3719">
        <f>R120*(1+$L$6)</f>
        <v>0.1030301</v>
      </c>
      <c r="X120" s="3718">
        <f>Z120*$Y$14</f>
        <v>2734.70733828</v>
      </c>
      <c r="Y120" s="1514">
        <f>IFERROR(X120/$X$44,0)</f>
        <v>0.0012991314256</v>
      </c>
      <c r="Z120" s="3719">
        <f>V120*(1+$L$6)</f>
        <v>0.104060401</v>
      </c>
      <c r="AB120" s="3718">
        <f>AD120*$AC$14</f>
        <v>2762.05441166</v>
      </c>
      <c r="AC120" s="1514">
        <f>IFERROR(AB120/$AB$44,0)</f>
        <v>0.001286394843</v>
      </c>
      <c r="AD120" s="3719">
        <f>Z120*(1+$L$6)</f>
        <v>0.10510100501</v>
      </c>
      <c r="AF120" s="3718">
        <f>AH120*$AG$14</f>
        <v>2789.67495578</v>
      </c>
      <c r="AG120" s="1514">
        <f>IFERROR(AF120/$AF$44,0)</f>
        <v>0.00127378312885</v>
      </c>
      <c r="AH120" s="3719">
        <f>AD120*(1+$L$6)</f>
        <v>0.10615201506</v>
      </c>
      <c r="AJ120" s="3718">
        <f>AL120*$AK$14</f>
        <v>2817.57170534</v>
      </c>
      <c r="AK120" s="1514">
        <f>IFERROR(AJ120/$AJ$44,0)</f>
        <v>0.00126129505896</v>
      </c>
      <c r="AL120" s="3719">
        <f>AH120*(1+$L$6)</f>
        <v>0.107213535211</v>
      </c>
      <c r="AN120" s="3718">
        <f>AP120*$AO$14</f>
        <v>2845.74742239</v>
      </c>
      <c r="AO120" s="1514">
        <f>IFERROR(AN120/$AN$44,0)</f>
        <v>0.00124892942112</v>
      </c>
      <c r="AP120" s="3719">
        <f>AL120*(1+$L$6)</f>
        <v>0.108285670563</v>
      </c>
      <c r="AR120" s="3718">
        <f>AT120*$AS$14</f>
        <v>2874.20489661</v>
      </c>
      <c r="AS120" s="1514">
        <f>IFERROR(AR120/$AR$44,0)</f>
        <v>0.00123668501504</v>
      </c>
      <c r="AT120" s="3719">
        <f>AP120*(1+$L$6)</f>
        <v>0.109368527268</v>
      </c>
      <c r="AV120" s="3718">
        <f>AX120*$AW$14</f>
        <v>2902.94694558</v>
      </c>
      <c r="AW120" s="1514">
        <f>IFERROR(AV120/$AV$44,0)</f>
        <v>0.00124905186519</v>
      </c>
      <c r="AX120" s="3719">
        <f>AT120*(1+$L$6)</f>
        <v>0.110462212541</v>
      </c>
      <c r="AZ120" s="3718">
        <f>BB120*$BA$14</f>
        <v>2931.97641504</v>
      </c>
      <c r="BA120" s="1514">
        <f>IFERROR(AZ120/$AZ$44,0)</f>
        <v>0.00126154238384</v>
      </c>
      <c r="BB120" s="3719">
        <f>AX120*(1+$L$6)</f>
        <v>0.111566834667</v>
      </c>
      <c r="BC120" s="1426" t="n"/>
      <c r="BD120" s="3718" t="n">
        <f t="array" ref="BD120">IFERROR($H120/12,0)</f>
        <v>167.29166666666666</v>
      </c>
      <c r="BE120" s="1514" t="n">
        <f t="array" ref="BE120">IFERROR($H120/$H$44,0)</f>
        <v>0.0013513513513513514</v>
      </c>
      <c r="BF120" s="3719" t="n">
        <f t="array" ref="BF120">IFERROR(($H120/12)/1650,0)</f>
        <v>0.10138888888888889</v>
      </c>
    </row>
    <row r="121" s="1168" customFormat="1" ht="15" customHeight="1">
      <c r="A121" s="101" t="n"/>
      <c r="B121" s="1185" t="n"/>
      <c r="E121" s="3583" t="n"/>
      <c r="F121" s="1172" t="n"/>
      <c r="G121" s="1283" t="inlineStr">
        <is>
          <t xml:space="preserve">Housekeeping Supervisor</t>
        </is>
      </c>
      <c r="H121" s="3718">
        <f>J121*$I$14</f>
        <v>0</v>
      </c>
      <c r="I121" s="1514">
        <f>IFERROR(H121/$H$44,0)</f>
        <v>0</v>
      </c>
      <c r="J121" s="3719">
        <v>0</v>
      </c>
      <c r="K121" s="1172" t="n"/>
      <c r="L121" s="3729">
        <f>N121*$M$14</f>
        <v>0</v>
      </c>
      <c r="M121" s="1534">
        <f>IFERROR(L121/$L$44,0)</f>
        <v>0</v>
      </c>
      <c r="N121" s="3730">
        <f>J121*(1+$L$6)</f>
        <v>0</v>
      </c>
      <c r="P121" s="3718">
        <f>R121*$Q$14</f>
        <v>0</v>
      </c>
      <c r="Q121" s="1514">
        <f>IFERROR(P121/$P$44,0)</f>
        <v>0</v>
      </c>
      <c r="R121" s="3719">
        <f>N121*(1+$L$6)</f>
        <v>0</v>
      </c>
      <c r="T121" s="3718">
        <f>V121*$U$14</f>
        <v>0</v>
      </c>
      <c r="U121" s="1514">
        <f>IFERROR(T121/$T$44,0)</f>
        <v>0</v>
      </c>
      <c r="V121" s="3719">
        <f>R121*(1+$L$6)</f>
        <v>0</v>
      </c>
      <c r="X121" s="3718">
        <f>Z121*$Y$14</f>
        <v>0</v>
      </c>
      <c r="Y121" s="1514">
        <f>IFERROR(X121/$X$44,0)</f>
        <v>0</v>
      </c>
      <c r="Z121" s="3719">
        <f>V121*(1+$L$6)</f>
        <v>0</v>
      </c>
      <c r="AB121" s="3718">
        <f>AD121*$AC$14</f>
        <v>0</v>
      </c>
      <c r="AC121" s="1514">
        <f>IFERROR(AB121/$AB$44,0)</f>
        <v>0</v>
      </c>
      <c r="AD121" s="3719">
        <f>Z121*(1+$L$6)</f>
        <v>0</v>
      </c>
      <c r="AF121" s="3718">
        <f>AH121*$AG$14</f>
        <v>0</v>
      </c>
      <c r="AG121" s="1514">
        <f>IFERROR(AF121/$AF$44,0)</f>
        <v>0</v>
      </c>
      <c r="AH121" s="3719">
        <f>AD121*(1+$L$6)</f>
        <v>0</v>
      </c>
      <c r="AJ121" s="3718">
        <f>AL121*$AK$14</f>
        <v>0</v>
      </c>
      <c r="AK121" s="1514">
        <f>IFERROR(AJ121/$AJ$44,0)</f>
        <v>0</v>
      </c>
      <c r="AL121" s="3719">
        <f>AH121*(1+$L$6)</f>
        <v>0</v>
      </c>
      <c r="AN121" s="3718">
        <f>AP121*$AO$14</f>
        <v>0</v>
      </c>
      <c r="AO121" s="1514">
        <f>IFERROR(AN121/$AN$44,0)</f>
        <v>0</v>
      </c>
      <c r="AP121" s="3719">
        <f>AL121*(1+$L$6)</f>
        <v>0</v>
      </c>
      <c r="AR121" s="3718">
        <f>AT121*$AS$14</f>
        <v>0</v>
      </c>
      <c r="AS121" s="1514">
        <f>IFERROR(AR121/$AR$44,0)</f>
        <v>0</v>
      </c>
      <c r="AT121" s="3719">
        <f>AP121*(1+$L$6)</f>
        <v>0</v>
      </c>
      <c r="AV121" s="3718">
        <f>AX121*$AW$14</f>
        <v>0</v>
      </c>
      <c r="AW121" s="1514">
        <f>IFERROR(AV121/$AV$44,0)</f>
        <v>0</v>
      </c>
      <c r="AX121" s="3719">
        <f>AT121*(1+$L$6)</f>
        <v>0</v>
      </c>
      <c r="AZ121" s="3718">
        <f>BB121*$BA$14</f>
        <v>0</v>
      </c>
      <c r="BA121" s="1514">
        <f>IFERROR(AZ121/$AZ$44,0)</f>
        <v>0</v>
      </c>
      <c r="BB121" s="3719">
        <f>AX121*(1+$L$6)</f>
        <v>0</v>
      </c>
      <c r="BC121" s="1426" t="n"/>
      <c r="BD121" s="3718" t="n">
        <f t="array" ref="BD121">IFERROR($H121/12,0)</f>
        <v>0</v>
      </c>
      <c r="BE121" s="1514" t="n">
        <f t="array" ref="BE121">IFERROR($H121/$H$44,0)</f>
        <v>0</v>
      </c>
      <c r="BF121" s="3719" t="n">
        <f t="array" ref="BF121">IFERROR(($H121/12)/1650,0)</f>
        <v>0</v>
      </c>
    </row>
    <row r="122" s="1168" customFormat="1" ht="15" customHeight="1">
      <c r="A122" s="101" t="n"/>
      <c r="B122" s="1185" t="n"/>
      <c r="E122" s="3583" t="n"/>
      <c r="F122" s="1172" t="n"/>
      <c r="G122" s="1283" t="inlineStr">
        <is>
          <t xml:space="preserve">FOM</t>
        </is>
      </c>
      <c r="H122" s="3718">
        <f>J122*$I$14</f>
        <v>4160</v>
      </c>
      <c r="I122" s="1514">
        <f>IFERROR(H122/$H$44,0)</f>
        <v>0.00280030964962</v>
      </c>
      <c r="J122" s="3719">
        <v>0.207222914072</v>
      </c>
      <c r="K122" s="1172" t="n"/>
      <c r="L122" s="3729">
        <f>N122*$M$14</f>
        <v>4965.52727273</v>
      </c>
      <c r="M122" s="1534">
        <f>IFERROR(L122/$L$44,0)</f>
        <v>0.00277285563345</v>
      </c>
      <c r="N122" s="3730">
        <f>J122*(1+$L$6)</f>
        <v>0.209295143213</v>
      </c>
      <c r="P122" s="3718">
        <f>R122*$Q$14</f>
        <v>5555.27912727</v>
      </c>
      <c r="Q122" s="1514">
        <f>IFERROR(P122/$P$44,0)</f>
        <v>0.0027456707743</v>
      </c>
      <c r="R122" s="3719">
        <f>N122*(1+$L$6)</f>
        <v>0.211388094645</v>
      </c>
      <c r="T122" s="3718">
        <f>V122*$U$14</f>
        <v>5610.83191855</v>
      </c>
      <c r="U122" s="1514">
        <f>IFERROR(T122/$T$44,0)</f>
        <v>0.00271875243338</v>
      </c>
      <c r="V122" s="3719">
        <f>R122*(1+$L$6)</f>
        <v>0.213501975592</v>
      </c>
      <c r="X122" s="3718">
        <f>Z122*$Y$14</f>
        <v>5666.94023773</v>
      </c>
      <c r="Y122" s="1514">
        <f>IFERROR(X122/$X$44,0)</f>
        <v>0.00269209799775</v>
      </c>
      <c r="Z122" s="3719">
        <f>V122*(1+$L$6)</f>
        <v>0.215636995347</v>
      </c>
      <c r="AB122" s="3718">
        <f>AD122*$AC$14</f>
        <v>5723.60964011</v>
      </c>
      <c r="AC122" s="1514">
        <f>IFERROR(AB122/$AB$44,0)</f>
        <v>0.00266570488013</v>
      </c>
      <c r="AD122" s="3719">
        <f>Z122*(1+$L$6)</f>
        <v>0.217793365301</v>
      </c>
      <c r="AF122" s="3718">
        <f>AH122*$AG$14</f>
        <v>5780.84573651</v>
      </c>
      <c r="AG122" s="1514">
        <f>IFERROR(AF122/$AF$44,0)</f>
        <v>0.00263957051856</v>
      </c>
      <c r="AH122" s="3719">
        <f>AD122*(1+$L$6)</f>
        <v>0.219971298954</v>
      </c>
      <c r="AJ122" s="3718">
        <f>AL122*$AK$14</f>
        <v>5838.65419387</v>
      </c>
      <c r="AK122" s="1514">
        <f>IFERROR(AJ122/$AJ$44,0)</f>
        <v>0.00261369237622</v>
      </c>
      <c r="AL122" s="3719">
        <f>AH122*(1+$L$6)</f>
        <v>0.222171011943</v>
      </c>
      <c r="AN122" s="3718">
        <f>AP122*$AO$14</f>
        <v>5897.04073581</v>
      </c>
      <c r="AO122" s="1514">
        <f>IFERROR(AN122/$AN$44,0)</f>
        <v>0.00258806794116</v>
      </c>
      <c r="AP122" s="3719">
        <f>AL122*(1+$L$6)</f>
        <v>0.224392722063</v>
      </c>
      <c r="AR122" s="3718">
        <f>AT122*$AS$14</f>
        <v>5956.01114317</v>
      </c>
      <c r="AS122" s="1514">
        <f>IFERROR(AR122/$AR$44,0)</f>
        <v>0.00256269472605</v>
      </c>
      <c r="AT122" s="3719">
        <f>AP122*(1+$L$6)</f>
        <v>0.226636649284</v>
      </c>
      <c r="AV122" s="3718">
        <f>AX122*$AW$14</f>
        <v>6015.5712546</v>
      </c>
      <c r="AW122" s="1514">
        <f>IFERROR(AV122/$AV$44,0)</f>
        <v>0.00258832167331</v>
      </c>
      <c r="AX122" s="3719">
        <f>AT122*(1+$L$6)</f>
        <v>0.228903015776</v>
      </c>
      <c r="AZ122" s="3718">
        <f>BB122*$BA$14</f>
        <v>6075.72696715</v>
      </c>
      <c r="BA122" s="1514">
        <f>IFERROR(AZ122/$AZ$44,0)</f>
        <v>0.00261420489004</v>
      </c>
      <c r="BB122" s="3719">
        <f>AX122*(1+$L$6)</f>
        <v>0.231192045934</v>
      </c>
      <c r="BC122" s="1426" t="n"/>
      <c r="BD122" s="3718" t="n">
        <f t="array" ref="BD122">IFERROR($H122/12,0)</f>
        <v>346.6666666666667</v>
      </c>
      <c r="BE122" s="1514" t="n">
        <f t="array" ref="BE122">IFERROR($H122/$H$44,0)</f>
        <v>0.002800309649624718</v>
      </c>
      <c r="BF122" s="3719" t="n">
        <f t="array" ref="BF122">IFERROR(($H122/12)/1650,0)</f>
        <v>0.21010101010101012</v>
      </c>
    </row>
    <row r="123" s="1168" customFormat="1" ht="15" customHeight="1">
      <c r="A123" s="101" t="n"/>
      <c r="B123" s="1185" t="n"/>
      <c r="E123" s="3583" t="n"/>
      <c r="F123" s="1172" t="n"/>
      <c r="G123" s="1283" t="inlineStr">
        <is>
          <t xml:space="preserve">General Manager</t>
        </is>
      </c>
      <c r="H123" s="3718">
        <f>J123*$I$14</f>
        <v>1500</v>
      </c>
      <c r="I123" s="1514">
        <f>IFERROR(H123/$H$44,0)</f>
        <v>0.00100972703712</v>
      </c>
      <c r="J123" s="3719">
        <v>0.0747198007472</v>
      </c>
      <c r="K123" s="1172" t="n"/>
      <c r="L123" s="3729">
        <f>N123*$M$14</f>
        <v>1790.45454545</v>
      </c>
      <c r="M123" s="1534">
        <f>IFERROR(L123/$L$44,0)</f>
        <v>0.000999827752447</v>
      </c>
      <c r="N123" s="3730">
        <f>J123*(1+$L$6)</f>
        <v>0.0754669987547</v>
      </c>
      <c r="P123" s="3718">
        <f>R123*$Q$14</f>
        <v>2003.10545455</v>
      </c>
      <c r="Q123" s="1514">
        <f>IFERROR(P123/$P$44,0)</f>
        <v>0.000990025519579</v>
      </c>
      <c r="R123" s="3719">
        <f>N123*(1+$L$6)</f>
        <v>0.0762216687422</v>
      </c>
      <c r="T123" s="3718">
        <f>V123*$U$14</f>
        <v>2023.13650909</v>
      </c>
      <c r="U123" s="1514">
        <f>IFERROR(T123/$T$44,0)</f>
        <v>0.000980319387035</v>
      </c>
      <c r="V123" s="3719">
        <f>R123*(1+$L$6)</f>
        <v>0.0769838854296</v>
      </c>
      <c r="X123" s="3718">
        <f>Z123*$Y$14</f>
        <v>2043.36787418</v>
      </c>
      <c r="Y123" s="1514">
        <f>IFERROR(X123/$X$44,0)</f>
        <v>0.000970708412652</v>
      </c>
      <c r="Z123" s="3719">
        <f>V123*(1+$L$6)</f>
        <v>0.0777537242839</v>
      </c>
      <c r="AB123" s="3718">
        <f>AD123*$AC$14</f>
        <v>2063.80155292</v>
      </c>
      <c r="AC123" s="1514">
        <f>IFERROR(AB123/$AB$44,0)</f>
        <v>0.000961191663508</v>
      </c>
      <c r="AD123" s="3719">
        <f>Z123*(1+$L$6)</f>
        <v>0.0785312615268</v>
      </c>
      <c r="AF123" s="3718">
        <f>AH123*$AG$14</f>
        <v>2084.43956845</v>
      </c>
      <c r="AG123" s="1514">
        <f>IFERROR(AF123/$AF$44,0)</f>
        <v>0.000951768215827</v>
      </c>
      <c r="AH123" s="3719">
        <f>AD123*(1+$L$6)</f>
        <v>0.079316574142</v>
      </c>
      <c r="AJ123" s="3718">
        <f>AL123*$AK$14</f>
        <v>2105.28396414</v>
      </c>
      <c r="AK123" s="1514">
        <f>IFERROR(AJ123/$AJ$44,0)</f>
        <v>0.000942437154887</v>
      </c>
      <c r="AL123" s="3719">
        <f>AH123*(1+$L$6)</f>
        <v>0.0801097398835</v>
      </c>
      <c r="AN123" s="3718">
        <f>AP123*$AO$14</f>
        <v>2126.33680378</v>
      </c>
      <c r="AO123" s="1514">
        <f>IFERROR(AN123/$AN$44,0)</f>
        <v>0.000933197574937</v>
      </c>
      <c r="AP123" s="3719">
        <f>AL123*(1+$L$6)</f>
        <v>0.0809108372823</v>
      </c>
      <c r="AR123" s="3718">
        <f>AT123*$AS$14</f>
        <v>2147.60017182</v>
      </c>
      <c r="AS123" s="1514">
        <f>IFERROR(AR123/$AR$44,0)</f>
        <v>0.000924048579105</v>
      </c>
      <c r="AT123" s="3719">
        <f>AP123*(1+$L$6)</f>
        <v>0.0817199456551</v>
      </c>
      <c r="AV123" s="3718">
        <f>AX123*$AW$14</f>
        <v>2169.07617353</v>
      </c>
      <c r="AW123" s="1514">
        <f>IFERROR(AV123/$AV$44,0)</f>
        <v>0.000933289064896</v>
      </c>
      <c r="AX123" s="3719">
        <f>AT123*(1+$L$6)</f>
        <v>0.0825371451117</v>
      </c>
      <c r="AZ123" s="3718">
        <f>BB123*$BA$14</f>
        <v>2190.76693527</v>
      </c>
      <c r="BA123" s="1514">
        <f>IFERROR(AZ123/$AZ$44,0)</f>
        <v>0.000942621955545</v>
      </c>
      <c r="BB123" s="3719">
        <f>AX123*(1+$L$6)</f>
        <v>0.0833625165628</v>
      </c>
      <c r="BC123" s="1426" t="n"/>
      <c r="BD123" s="3718" t="n">
        <f t="array" ref="BD123">IFERROR($H123/12,0)</f>
        <v>125</v>
      </c>
      <c r="BE123" s="1514" t="n">
        <f t="array" ref="BE123">IFERROR($H123/$H$44,0)</f>
        <v>0.0010097270371242973</v>
      </c>
      <c r="BF123" s="3719" t="n">
        <f t="array" ref="BF123">IFERROR(($H123/12)/1650,0)</f>
        <v>0.07575757575757576</v>
      </c>
    </row>
    <row r="124" s="1168" customFormat="1" ht="15" customHeight="1">
      <c r="A124" s="101" t="n"/>
      <c r="B124" s="1185" t="n"/>
      <c r="E124" s="3583" t="n"/>
      <c r="F124" s="1172" t="n"/>
      <c r="G124" s="1283" t="inlineStr">
        <is>
          <t xml:space="preserve">Assistant General Manager</t>
        </is>
      </c>
      <c r="H124" s="3718">
        <f>J124*$I$14</f>
        <v>0</v>
      </c>
      <c r="I124" s="1514">
        <f>IFERROR(H124/$H$44,0)</f>
        <v>0</v>
      </c>
      <c r="J124" s="3719">
        <v>0</v>
      </c>
      <c r="K124" s="1172" t="n"/>
      <c r="L124" s="3729">
        <f>N124*$M$14</f>
        <v>0</v>
      </c>
      <c r="M124" s="1534">
        <f>IFERROR(L124/$L$44,0)</f>
        <v>0</v>
      </c>
      <c r="N124" s="3730">
        <f>J124*(1+$L$6)</f>
        <v>0</v>
      </c>
      <c r="P124" s="3718">
        <f>R124*$Q$14</f>
        <v>0</v>
      </c>
      <c r="Q124" s="1514">
        <f>IFERROR(P124/$P$44,0)</f>
        <v>0</v>
      </c>
      <c r="R124" s="3719">
        <f>N124*(1+$L$6)</f>
        <v>0</v>
      </c>
      <c r="T124" s="3729">
        <f>V124*$U$14</f>
        <v>0</v>
      </c>
      <c r="U124" s="1514">
        <f>IFERROR(T124/$T$44,0)</f>
        <v>0</v>
      </c>
      <c r="V124" s="3719">
        <f>R124*(1+$L$6)</f>
        <v>0</v>
      </c>
      <c r="X124" s="3718">
        <f>Z124*$Y$14</f>
        <v>0</v>
      </c>
      <c r="Y124" s="1514">
        <f>IFERROR(X124/$X$44,0)</f>
        <v>0</v>
      </c>
      <c r="Z124" s="3719">
        <f>V124*(1+$L$6)</f>
        <v>0</v>
      </c>
      <c r="AB124" s="3718">
        <f>AD124*$AC$14</f>
        <v>0</v>
      </c>
      <c r="AC124" s="1514">
        <f>IFERROR(AB124/$AB$44,0)</f>
        <v>0</v>
      </c>
      <c r="AD124" s="3719">
        <f>Z124*(1+$L$6)</f>
        <v>0</v>
      </c>
      <c r="AF124" s="3718">
        <f>AH124*$AG$14</f>
        <v>0</v>
      </c>
      <c r="AG124" s="1514">
        <f>IFERROR(AF124/$AF$44,0)</f>
        <v>0</v>
      </c>
      <c r="AH124" s="3719">
        <f>AD124*(1+$L$6)</f>
        <v>0</v>
      </c>
      <c r="AJ124" s="3718">
        <f>AL124*$AK$14</f>
        <v>0</v>
      </c>
      <c r="AK124" s="1514">
        <f>IFERROR(AJ124/$AJ$44,0)</f>
        <v>0</v>
      </c>
      <c r="AL124" s="3719">
        <f>AH124*(1+$L$6)</f>
        <v>0</v>
      </c>
      <c r="AM124" s="1172" t="n">
        <f t="array" ref="AM124">AM104*AN132</f>
        <v>0</v>
      </c>
      <c r="AN124" s="3718">
        <f>AP124*$AO$14</f>
        <v>0</v>
      </c>
      <c r="AO124" s="3731">
        <f>IFERROR(AN124/$AN$44,0)</f>
        <v>0</v>
      </c>
      <c r="AP124" s="3719">
        <f>AL124*(1+$L$6)</f>
        <v>0</v>
      </c>
      <c r="AR124" s="3718">
        <f>AT124*$AS$14</f>
        <v>0</v>
      </c>
      <c r="AS124" s="1514">
        <f>IFERROR(AR124/$AR$44,0)</f>
        <v>0</v>
      </c>
      <c r="AT124" s="3719">
        <f>AP124*(1+$L$6)</f>
        <v>0</v>
      </c>
      <c r="AV124" s="3718">
        <f>AX124*$AW$14</f>
        <v>0</v>
      </c>
      <c r="AW124" s="1514">
        <f>IFERROR(AV124/$AV$44,0)</f>
        <v>0</v>
      </c>
      <c r="AX124" s="3719">
        <f>AT124*(1+$L$6)</f>
        <v>0</v>
      </c>
      <c r="AZ124" s="3718">
        <f>BB124*$BA$14</f>
        <v>0</v>
      </c>
      <c r="BA124" s="1514">
        <f>IFERROR(AZ124/$AZ$44,0)</f>
        <v>0</v>
      </c>
      <c r="BB124" s="3719">
        <f>AX124*(1+$L$6)</f>
        <v>0</v>
      </c>
      <c r="BC124" s="1426" t="n"/>
      <c r="BD124" s="3718" t="n">
        <f t="array" ref="BD124">IFERROR($H124/12,0)</f>
        <v>0</v>
      </c>
      <c r="BE124" s="1514" t="n">
        <f t="array" ref="BE124">IFERROR($H124/$H$44,0)</f>
        <v>0</v>
      </c>
      <c r="BF124" s="3719" t="n">
        <f t="array" ref="BF124">IFERROR(($H124/12)/1650,0)</f>
        <v>0</v>
      </c>
    </row>
    <row r="125" s="1168" customFormat="1" ht="15" customHeight="1">
      <c r="A125" s="101" t="n"/>
      <c r="B125" s="1185" t="n"/>
      <c r="E125" s="3583" t="n"/>
      <c r="F125" s="1172" t="n"/>
      <c r="G125" s="1283" t="inlineStr">
        <is>
          <t xml:space="preserve">Sales Manager</t>
        </is>
      </c>
      <c r="H125" s="3718">
        <f>J125*$I$14</f>
        <v>0</v>
      </c>
      <c r="I125" s="1514">
        <f>IFERROR(H125/$H$44,0)</f>
        <v>0</v>
      </c>
      <c r="J125" s="3719">
        <v>0</v>
      </c>
      <c r="K125" s="1172" t="n"/>
      <c r="L125" s="3729">
        <f>N125*$M$14</f>
        <v>0</v>
      </c>
      <c r="M125" s="1534">
        <f>IFERROR(L125/$L$44,0)</f>
        <v>0</v>
      </c>
      <c r="N125" s="3730">
        <f>J125*(1+$L$6)</f>
        <v>0</v>
      </c>
      <c r="P125" s="3718">
        <f>R125*$Q$14</f>
        <v>0</v>
      </c>
      <c r="Q125" s="1514">
        <f>IFERROR(P125/$P$44,0)</f>
        <v>0</v>
      </c>
      <c r="R125" s="3719">
        <f>N125*(1+$L$6)</f>
        <v>0</v>
      </c>
      <c r="T125" s="3718">
        <f>V125*$U$14</f>
        <v>0</v>
      </c>
      <c r="U125" s="1514">
        <f>IFERROR(T125/$T$44,0)</f>
        <v>0</v>
      </c>
      <c r="V125" s="3719">
        <f>R125*(1+$L$6)</f>
        <v>0</v>
      </c>
      <c r="X125" s="3718">
        <f>Z125*$Y$14</f>
        <v>0</v>
      </c>
      <c r="Y125" s="1514">
        <f>IFERROR(X125/$X$44,0)</f>
        <v>0</v>
      </c>
      <c r="Z125" s="3719">
        <f>V125*(1+$L$6)</f>
        <v>0</v>
      </c>
      <c r="AB125" s="3718">
        <f>AD125*$AC$14</f>
        <v>0</v>
      </c>
      <c r="AC125" s="1514">
        <f>IFERROR(AB125/$AB$44,0)</f>
        <v>0</v>
      </c>
      <c r="AD125" s="3719">
        <f>Z125*(1+$L$6)</f>
        <v>0</v>
      </c>
      <c r="AF125" s="3718">
        <f>AH125*$AG$14</f>
        <v>0</v>
      </c>
      <c r="AG125" s="1514">
        <f>IFERROR(AF125/$AF$44,0)</f>
        <v>0</v>
      </c>
      <c r="AH125" s="3719">
        <f>AD125*(1+$L$6)</f>
        <v>0</v>
      </c>
      <c r="AJ125" s="3718">
        <f>AL125*$AK$14</f>
        <v>0</v>
      </c>
      <c r="AK125" s="1514">
        <f>IFERROR(AJ125/$AJ$44,0)</f>
        <v>0</v>
      </c>
      <c r="AL125" s="3719">
        <f>AH125*(1+$L$6)</f>
        <v>0</v>
      </c>
      <c r="AN125" s="3718">
        <f>AP125*$AO$14</f>
        <v>0</v>
      </c>
      <c r="AO125" s="1514">
        <f>IFERROR(AN125/$AN$44,0)</f>
        <v>0</v>
      </c>
      <c r="AP125" s="3719">
        <f>AL125*(1+$L$6)</f>
        <v>0</v>
      </c>
      <c r="AR125" s="3718">
        <f>AT125*$AS$14</f>
        <v>0</v>
      </c>
      <c r="AS125" s="1514">
        <f>IFERROR(AR125/$AR$44,0)</f>
        <v>0</v>
      </c>
      <c r="AT125" s="3719">
        <f>AP125*(1+$L$6)</f>
        <v>0</v>
      </c>
      <c r="AV125" s="3718">
        <f>AX125*$AW$14</f>
        <v>0</v>
      </c>
      <c r="AW125" s="1514">
        <f>IFERROR(AV125/$AV$44,0)</f>
        <v>0</v>
      </c>
      <c r="AX125" s="3719">
        <f>AT125*(1+$L$6)</f>
        <v>0</v>
      </c>
      <c r="AZ125" s="3718">
        <f>BB125*$BA$14</f>
        <v>0</v>
      </c>
      <c r="BA125" s="1514">
        <f>IFERROR(AZ125/$AZ$44,0)</f>
        <v>0</v>
      </c>
      <c r="BB125" s="3719">
        <f>AX125*(1+$L$6)</f>
        <v>0</v>
      </c>
      <c r="BC125" s="1426" t="n"/>
      <c r="BD125" s="3718" t="n">
        <f t="array" ref="BD125">IFERROR($H125/12,0)</f>
        <v>0</v>
      </c>
      <c r="BE125" s="1514" t="n">
        <f t="array" ref="BE125">IFERROR($H125/$H$44,0)</f>
        <v>0</v>
      </c>
      <c r="BF125" s="3719" t="n">
        <f t="array" ref="BF125">IFERROR(($H125/12)/1650,0)</f>
        <v>0</v>
      </c>
    </row>
    <row r="126" s="1168" customFormat="1" ht="15" customHeight="1">
      <c r="A126" s="101" t="n"/>
      <c r="B126" s="1185" t="n"/>
      <c r="E126" s="3583" t="n"/>
      <c r="F126" s="1172" t="n"/>
      <c r="G126" s="1283" t="inlineStr">
        <is>
          <t xml:space="preserve">Maintenance</t>
        </is>
      </c>
      <c r="H126" s="3718">
        <f>J126*$I$14</f>
        <v>5840</v>
      </c>
      <c r="I126" s="1514">
        <f>IFERROR(H126/$H$44,0)</f>
        <v>0.0039312039312</v>
      </c>
      <c r="J126" s="3719">
        <v>0.290909090909</v>
      </c>
      <c r="K126" s="1172" t="n"/>
      <c r="L126" s="3729">
        <f>N126*$M$14</f>
        <v>6970.83636364</v>
      </c>
      <c r="M126" s="1534">
        <f>IFERROR(L126/$L$44,0)</f>
        <v>0.00389266271619</v>
      </c>
      <c r="N126" s="3730">
        <f>J126*(1+$L$6)</f>
        <v>0.293818181818</v>
      </c>
      <c r="P126" s="3718">
        <f>R126*$Q$14</f>
        <v>7798.75723636</v>
      </c>
      <c r="Q126" s="1514">
        <f>IFERROR(P126/$P$44,0)</f>
        <v>0.00385449935623</v>
      </c>
      <c r="R126" s="3719">
        <f>N126*(1+$L$6)</f>
        <v>0.296756363636</v>
      </c>
      <c r="T126" s="3718">
        <f>V126*$U$14</f>
        <v>7876.74480873</v>
      </c>
      <c r="U126" s="1514">
        <f>IFERROR(T126/$T$44,0)</f>
        <v>0.00381671014685</v>
      </c>
      <c r="V126" s="3719">
        <f>R126*(1+$L$6)</f>
        <v>0.299723927273</v>
      </c>
      <c r="X126" s="3718">
        <f>Z126*$Y$14</f>
        <v>7955.51225681</v>
      </c>
      <c r="Y126" s="1514">
        <f>IFERROR(X126/$X$44,0)</f>
        <v>0.00377929141992</v>
      </c>
      <c r="Z126" s="3719">
        <f>V126*(1+$L$6)</f>
        <v>0.302721166545</v>
      </c>
      <c r="AB126" s="3718">
        <f>AD126*$AC$14</f>
        <v>8035.06737938</v>
      </c>
      <c r="AC126" s="1514">
        <f>IFERROR(AB126/$AB$44,0)</f>
        <v>0.00374223954326</v>
      </c>
      <c r="AD126" s="3719">
        <f>Z126*(1+$L$6)</f>
        <v>0.305748378211</v>
      </c>
      <c r="AF126" s="3718">
        <f>AH126*$AG$14</f>
        <v>8115.41805318</v>
      </c>
      <c r="AG126" s="1514">
        <f>IFERROR(AF126/$AF$44,0)</f>
        <v>0.00370555092029</v>
      </c>
      <c r="AH126" s="3719">
        <f>AD126*(1+$L$6)</f>
        <v>0.308805861993</v>
      </c>
      <c r="AJ126" s="3718">
        <f>AL126*$AK$14</f>
        <v>8196.57223371</v>
      </c>
      <c r="AK126" s="1514">
        <f>IFERROR(AJ126/$AJ$44,0)</f>
        <v>0.00366922198969</v>
      </c>
      <c r="AL126" s="3719">
        <f>AH126*(1+$L$6)</f>
        <v>0.311893920613</v>
      </c>
      <c r="AN126" s="3718">
        <f>AP126*$AO$14</f>
        <v>8278.53795605</v>
      </c>
      <c r="AO126" s="1514">
        <f>IFERROR(AN126/$AN$44,0)</f>
        <v>0.00363324922509</v>
      </c>
      <c r="AP126" s="3719">
        <f>AL126*(1+$L$6)</f>
        <v>0.315012859819</v>
      </c>
      <c r="AR126" s="3718">
        <f>AT126*$AS$14</f>
        <v>8361.32333561</v>
      </c>
      <c r="AS126" s="1514">
        <f>IFERROR(AR126/$AR$44,0)</f>
        <v>0.00359762913465</v>
      </c>
      <c r="AT126" s="3719">
        <f>AP126*(1+$L$6)</f>
        <v>0.318162988417</v>
      </c>
      <c r="AV126" s="3718">
        <f>AX126*$AW$14</f>
        <v>8444.93656896</v>
      </c>
      <c r="AW126" s="1514">
        <f>IFERROR(AV126/$AV$44,0)</f>
        <v>0.00363360542599</v>
      </c>
      <c r="AX126" s="3719">
        <f>AT126*(1+$L$6)</f>
        <v>0.321344618301</v>
      </c>
      <c r="AZ126" s="3718">
        <f>BB126*$BA$14</f>
        <v>8529.38593465</v>
      </c>
      <c r="BA126" s="1514">
        <f>IFERROR(AZ126/$AZ$44,0)</f>
        <v>0.00366994148025</v>
      </c>
      <c r="BB126" s="3719">
        <f>AX126*(1+$L$6)</f>
        <v>0.324558064484</v>
      </c>
      <c r="BC126" s="1426" t="n"/>
      <c r="BD126" s="3718" t="n">
        <f t="array" ref="BD126">IFERROR($H126/12,0)</f>
        <v>486.6666666666667</v>
      </c>
      <c r="BE126" s="1514" t="n">
        <f t="array" ref="BE126">IFERROR($H126/$H$44,0)</f>
        <v>0.003931203931203931</v>
      </c>
      <c r="BF126" s="3719" t="n">
        <f t="array" ref="BF126">IFERROR(($H126/12)/1650,0)</f>
        <v>0.29494949494949496</v>
      </c>
    </row>
    <row r="127" s="1168" customFormat="1" ht="15" customHeight="1">
      <c r="A127" s="101" t="n"/>
      <c r="B127" s="1185" t="n"/>
      <c r="E127" s="3583" t="n"/>
      <c r="F127" s="1172" t="n"/>
      <c r="G127" s="1283" t="inlineStr">
        <is>
          <t xml:space="preserve">TBA</t>
        </is>
      </c>
      <c r="H127" s="3718">
        <f>J127*$I$14</f>
        <v>0</v>
      </c>
      <c r="I127" s="1514">
        <f>IFERROR(H127/$H$44,0)</f>
        <v>0</v>
      </c>
      <c r="J127" s="3719">
        <v>0</v>
      </c>
      <c r="K127" s="1172" t="n"/>
      <c r="L127" s="3718">
        <f>N127*$M$14</f>
        <v>0</v>
      </c>
      <c r="M127" s="1514">
        <f>IFERROR(L127/$L$44,0)</f>
        <v>0</v>
      </c>
      <c r="N127" s="3719">
        <f>J127*(1+$L$6)</f>
        <v>0</v>
      </c>
      <c r="P127" s="3718">
        <f>R127*$Q$14</f>
        <v>0</v>
      </c>
      <c r="Q127" s="1514">
        <f>IFERROR(P127/$P$44,0)</f>
        <v>0</v>
      </c>
      <c r="R127" s="3719">
        <f>N127*(1+$L$6)</f>
        <v>0</v>
      </c>
      <c r="T127" s="3718">
        <f>V127*$U$14</f>
        <v>0</v>
      </c>
      <c r="U127" s="1514">
        <f>IFERROR(T127/$T$44,0)</f>
        <v>0</v>
      </c>
      <c r="V127" s="3719">
        <f>R127*(1+$L$6)</f>
        <v>0</v>
      </c>
      <c r="X127" s="3718">
        <f>Z127*$Y$14</f>
        <v>0</v>
      </c>
      <c r="Y127" s="1514">
        <f>IFERROR(X127/$X$44,0)</f>
        <v>0</v>
      </c>
      <c r="Z127" s="3719">
        <f>V127*(1+$L$6)</f>
        <v>0</v>
      </c>
      <c r="AB127" s="3718">
        <f>AD127*$AC$14</f>
        <v>0</v>
      </c>
      <c r="AC127" s="1514">
        <f>IFERROR(AB127/$AB$44,0)</f>
        <v>0</v>
      </c>
      <c r="AD127" s="3719">
        <f>Z127*(1+$L$6)</f>
        <v>0</v>
      </c>
      <c r="AF127" s="3718">
        <f>AH127*$AG$14</f>
        <v>0</v>
      </c>
      <c r="AG127" s="1514">
        <f>IFERROR(AF127/$AF$44,0)</f>
        <v>0</v>
      </c>
      <c r="AH127" s="3719">
        <f>AD127*(1+$L$6)</f>
        <v>0</v>
      </c>
      <c r="AJ127" s="3718">
        <f>AL127*$AK$14</f>
        <v>0</v>
      </c>
      <c r="AK127" s="1514">
        <f>IFERROR(AJ127/$AJ$44,0)</f>
        <v>0</v>
      </c>
      <c r="AL127" s="3719">
        <f>AH127*(1+$L$6)</f>
        <v>0</v>
      </c>
      <c r="AN127" s="3718">
        <f>AP127*$AO$14</f>
        <v>0</v>
      </c>
      <c r="AO127" s="1514">
        <f>IFERROR(AN127/$AN$44,0)</f>
        <v>0</v>
      </c>
      <c r="AP127" s="3719">
        <f>AL127*(1+$L$6)</f>
        <v>0</v>
      </c>
      <c r="AR127" s="3718">
        <f>AT127*$AS$14</f>
        <v>0</v>
      </c>
      <c r="AS127" s="1514">
        <f>IFERROR(AR127/$AR$44,0)</f>
        <v>0</v>
      </c>
      <c r="AT127" s="3719">
        <f>AP127*(1+$L$6)</f>
        <v>0</v>
      </c>
      <c r="AV127" s="3718">
        <f>AX127*$AW$14</f>
        <v>0</v>
      </c>
      <c r="AW127" s="1514">
        <f>IFERROR(AV127/$AV$44,0)</f>
        <v>0</v>
      </c>
      <c r="AX127" s="3719">
        <f>AT127*(1+$L$6)</f>
        <v>0</v>
      </c>
      <c r="AZ127" s="3718">
        <f>BB127*$BA$14</f>
        <v>0</v>
      </c>
      <c r="BA127" s="1514">
        <f>IFERROR(AZ127/$AZ$44,0)</f>
        <v>0</v>
      </c>
      <c r="BB127" s="3719">
        <f>AX127*(1+$L$6)</f>
        <v>0</v>
      </c>
      <c r="BC127" s="1426" t="n"/>
      <c r="BD127" s="3718" t="n">
        <f t="array" ref="BD127">IFERROR($H127/12,0)</f>
        <v>0</v>
      </c>
      <c r="BE127" s="1514" t="n">
        <f t="array" ref="BE127">IFERROR($H127/$H$44,0)</f>
        <v>0</v>
      </c>
      <c r="BF127" s="3719" t="n">
        <f t="array" ref="BF127">IFERROR(($H127/12)/1650,0)</f>
        <v>0</v>
      </c>
    </row>
    <row r="128" s="1168" customFormat="1" ht="15" customHeight="1">
      <c r="A128" s="101" t="n"/>
      <c r="B128" s="1185" t="n"/>
      <c r="E128" s="3583" t="n"/>
      <c r="F128" s="1172" t="n"/>
      <c r="G128" s="1283" t="inlineStr">
        <is>
          <t xml:space="preserve">TBA</t>
        </is>
      </c>
      <c r="H128" s="3718">
        <f>J128*$I$14</f>
        <v>0</v>
      </c>
      <c r="I128" s="1514">
        <f>IFERROR(H128/$H$44,0)</f>
        <v>0</v>
      </c>
      <c r="J128" s="3719">
        <v>0</v>
      </c>
      <c r="K128" s="1172" t="n"/>
      <c r="L128" s="3718">
        <f>N128*$M$14</f>
        <v>0</v>
      </c>
      <c r="M128" s="1514">
        <f>IFERROR(L128/$L$44,0)</f>
        <v>0</v>
      </c>
      <c r="N128" s="3719">
        <f>J128*(1+$L$6)</f>
        <v>0</v>
      </c>
      <c r="P128" s="3718">
        <f>R128*$Q$14</f>
        <v>0</v>
      </c>
      <c r="Q128" s="1514">
        <f>IFERROR(P128/$P$44,0)</f>
        <v>0</v>
      </c>
      <c r="R128" s="3719">
        <f>N128*(1+$L$6)</f>
        <v>0</v>
      </c>
      <c r="T128" s="3718">
        <f>V128*$U$14</f>
        <v>0</v>
      </c>
      <c r="U128" s="1514">
        <f>IFERROR(T128/$T$44,0)</f>
        <v>0</v>
      </c>
      <c r="V128" s="3719">
        <f>R128*(1+$L$6)</f>
        <v>0</v>
      </c>
      <c r="X128" s="3718">
        <f>Z128*$Y$14</f>
        <v>0</v>
      </c>
      <c r="Y128" s="1514">
        <f>IFERROR(X128/$X$44,0)</f>
        <v>0</v>
      </c>
      <c r="Z128" s="3719">
        <f>V128*(1+$L$6)</f>
        <v>0</v>
      </c>
      <c r="AB128" s="3718">
        <f>AD128*$AC$14</f>
        <v>0</v>
      </c>
      <c r="AC128" s="1514">
        <f>IFERROR(AB128/$AB$44,0)</f>
        <v>0</v>
      </c>
      <c r="AD128" s="3719">
        <f>Z128*(1+$L$6)</f>
        <v>0</v>
      </c>
      <c r="AF128" s="3718">
        <f>AH128*$AG$14</f>
        <v>0</v>
      </c>
      <c r="AG128" s="1514">
        <f>IFERROR(AF128/$AF$44,0)</f>
        <v>0</v>
      </c>
      <c r="AH128" s="3719">
        <f>AD128*(1+$L$6)</f>
        <v>0</v>
      </c>
      <c r="AJ128" s="3718">
        <f>AL128*$AK$14</f>
        <v>0</v>
      </c>
      <c r="AK128" s="1514">
        <f>IFERROR(AJ128/$AJ$44,0)</f>
        <v>0</v>
      </c>
      <c r="AL128" s="3719">
        <f>AH128*(1+$L$6)</f>
        <v>0</v>
      </c>
      <c r="AN128" s="3718">
        <f>AP128*$AO$14</f>
        <v>0</v>
      </c>
      <c r="AO128" s="1514">
        <f>IFERROR(AN128/$AN$44,0)</f>
        <v>0</v>
      </c>
      <c r="AP128" s="3719">
        <f>AL128*(1+$L$6)</f>
        <v>0</v>
      </c>
      <c r="AR128" s="3718">
        <f>AT128*$AS$14</f>
        <v>0</v>
      </c>
      <c r="AS128" s="1514">
        <f>IFERROR(AR128/$AR$44,0)</f>
        <v>0</v>
      </c>
      <c r="AT128" s="3719">
        <f>AP128*(1+$L$6)</f>
        <v>0</v>
      </c>
      <c r="AV128" s="3718">
        <f>AX128*$AW$14</f>
        <v>0</v>
      </c>
      <c r="AW128" s="1514">
        <f>IFERROR(AV128/$AV$44,0)</f>
        <v>0</v>
      </c>
      <c r="AX128" s="3719">
        <f>AT128*(1+$L$6)</f>
        <v>0</v>
      </c>
      <c r="AZ128" s="3718">
        <f>BB128*$BA$14</f>
        <v>0</v>
      </c>
      <c r="BA128" s="1514">
        <f>IFERROR(AZ128/$AZ$44,0)</f>
        <v>0</v>
      </c>
      <c r="BB128" s="3719">
        <f>AX128*(1+$L$6)</f>
        <v>0</v>
      </c>
      <c r="BC128" s="1426" t="n"/>
      <c r="BD128" s="3718" t="n">
        <f t="array" ref="BD128">IFERROR($H128/12,0)</f>
        <v>0</v>
      </c>
      <c r="BE128" s="1514" t="n">
        <f t="array" ref="BE128">IFERROR($H128/$H$44,0)</f>
        <v>0</v>
      </c>
      <c r="BF128" s="3719" t="n">
        <f t="array" ref="BF128">IFERROR(($H128/12)/1650,0)</f>
        <v>0</v>
      </c>
    </row>
    <row r="129" s="1168" customFormat="1" ht="15" customHeight="1">
      <c r="A129" s="101" t="n"/>
      <c r="B129" s="1185" t="n"/>
      <c r="E129" s="3583" t="n"/>
      <c r="F129" s="1172" t="n"/>
      <c r="G129" s="1283" t="inlineStr">
        <is>
          <t xml:space="preserve">TBA</t>
        </is>
      </c>
      <c r="H129" s="3718">
        <f>J129*$I$14</f>
        <v>0</v>
      </c>
      <c r="I129" s="1514">
        <f>IFERROR(H129/$H$44,0)</f>
        <v>0</v>
      </c>
      <c r="J129" s="3719">
        <v>0</v>
      </c>
      <c r="K129" s="1172" t="n"/>
      <c r="L129" s="3718">
        <f>N129*$M$14</f>
        <v>0</v>
      </c>
      <c r="M129" s="1514">
        <f>IFERROR(L129/$L$44,0)</f>
        <v>0</v>
      </c>
      <c r="N129" s="3719">
        <f>J129*(1+$L$6)</f>
        <v>0</v>
      </c>
      <c r="P129" s="3718">
        <f>R129*$Q$14</f>
        <v>0</v>
      </c>
      <c r="Q129" s="1514">
        <f>IFERROR(P129/$P$44,0)</f>
        <v>0</v>
      </c>
      <c r="R129" s="3719">
        <f>N129*(1+$L$6)</f>
        <v>0</v>
      </c>
      <c r="T129" s="3718">
        <f>V129*$U$14</f>
        <v>0</v>
      </c>
      <c r="U129" s="1514">
        <f>IFERROR(T129/$T$44,0)</f>
        <v>0</v>
      </c>
      <c r="V129" s="3719">
        <f>R129*(1+$L$6)</f>
        <v>0</v>
      </c>
      <c r="X129" s="3718">
        <f>Z129*$Y$14</f>
        <v>0</v>
      </c>
      <c r="Y129" s="1514">
        <f>IFERROR(X129/$X$44,0)</f>
        <v>0</v>
      </c>
      <c r="Z129" s="3719">
        <f>V129*(1+$L$6)</f>
        <v>0</v>
      </c>
      <c r="AB129" s="3718">
        <f>AD129*$AC$14</f>
        <v>0</v>
      </c>
      <c r="AC129" s="1514">
        <f>IFERROR(AB129/$AB$44,0)</f>
        <v>0</v>
      </c>
      <c r="AD129" s="3719">
        <f>Z129*(1+$L$6)</f>
        <v>0</v>
      </c>
      <c r="AF129" s="3718">
        <f>AH129*$AG$14</f>
        <v>0</v>
      </c>
      <c r="AG129" s="1514">
        <f>IFERROR(AF129/$AF$44,0)</f>
        <v>0</v>
      </c>
      <c r="AH129" s="3719">
        <f>AD129*(1+$L$6)</f>
        <v>0</v>
      </c>
      <c r="AJ129" s="3718">
        <f>AL129*$AK$14</f>
        <v>0</v>
      </c>
      <c r="AK129" s="1514">
        <f>IFERROR(AJ129/$AJ$44,0)</f>
        <v>0</v>
      </c>
      <c r="AL129" s="3719">
        <f>AH129*(1+$L$6)</f>
        <v>0</v>
      </c>
      <c r="AN129" s="3718">
        <f>AP129*$AO$14</f>
        <v>0</v>
      </c>
      <c r="AO129" s="1514">
        <f>IFERROR(AN129/$AN$44,0)</f>
        <v>0</v>
      </c>
      <c r="AP129" s="3719">
        <f>AL129*(1+$L$6)</f>
        <v>0</v>
      </c>
      <c r="AR129" s="3718">
        <f>AT129*$AS$14</f>
        <v>0</v>
      </c>
      <c r="AS129" s="1514">
        <f>IFERROR(AR129/$AR$44,0)</f>
        <v>0</v>
      </c>
      <c r="AT129" s="3719">
        <f>AP129*(1+$L$6)</f>
        <v>0</v>
      </c>
      <c r="AV129" s="3718">
        <f>AX129*$AW$14</f>
        <v>0</v>
      </c>
      <c r="AW129" s="1514">
        <f>IFERROR(AV129/$AV$44,0)</f>
        <v>0</v>
      </c>
      <c r="AX129" s="3719">
        <f>AT129*(1+$L$6)</f>
        <v>0</v>
      </c>
      <c r="AZ129" s="3718">
        <f>BB129*$BA$14</f>
        <v>0</v>
      </c>
      <c r="BA129" s="1514">
        <f>IFERROR(AZ129/$AZ$44,0)</f>
        <v>0</v>
      </c>
      <c r="BB129" s="3719">
        <f>AX129*(1+$L$6)</f>
        <v>0</v>
      </c>
      <c r="BC129" s="1426" t="n"/>
      <c r="BD129" s="3718" t="n">
        <f t="array" ref="BD129">IFERROR($H129/12,0)</f>
        <v>0</v>
      </c>
      <c r="BE129" s="1514" t="n">
        <f t="array" ref="BE129">IFERROR($H129/$H$44,0)</f>
        <v>0</v>
      </c>
      <c r="BF129" s="3719" t="n">
        <f t="array" ref="BF129">IFERROR(($H129/12)/1650,0)</f>
        <v>0</v>
      </c>
    </row>
    <row r="130" s="1168" customFormat="1" ht="15.75" customHeight="1">
      <c r="A130" s="101" t="n"/>
      <c r="B130" s="1185" t="n"/>
      <c r="E130" s="3583" t="n"/>
      <c r="F130" s="1172" t="n"/>
      <c r="G130" s="1325" t="inlineStr">
        <is>
          <t xml:space="preserve">TBA</t>
        </is>
      </c>
      <c r="H130" s="3721">
        <f>J130*$I$14</f>
        <v>0</v>
      </c>
      <c r="I130" s="1520">
        <f>IFERROR(H130/$H$44,0)</f>
        <v>0</v>
      </c>
      <c r="J130" s="3722">
        <v>0</v>
      </c>
      <c r="K130" s="1172" t="n"/>
      <c r="L130" s="3721">
        <f>N130*$M$14</f>
        <v>0</v>
      </c>
      <c r="M130" s="1520">
        <f>IFERROR(L130/$L$44,0)</f>
        <v>0</v>
      </c>
      <c r="N130" s="3722">
        <f>J130*(1+$L$6)</f>
        <v>0</v>
      </c>
      <c r="P130" s="3721">
        <f>R130*$Q$14</f>
        <v>0</v>
      </c>
      <c r="Q130" s="1520">
        <f>IFERROR(P130/$P$44,0)</f>
        <v>0</v>
      </c>
      <c r="R130" s="3722">
        <f>N130*(1+$L$6)</f>
        <v>0</v>
      </c>
      <c r="T130" s="3721">
        <f>V130*$U$14</f>
        <v>0</v>
      </c>
      <c r="U130" s="1520">
        <f>IFERROR(T130/$T$44,0)</f>
        <v>0</v>
      </c>
      <c r="V130" s="3722">
        <f>R130*(1+$L$6)</f>
        <v>0</v>
      </c>
      <c r="X130" s="3721">
        <f>Z130*$Y$14</f>
        <v>0</v>
      </c>
      <c r="Y130" s="1520">
        <f>IFERROR(X130/$X$44,0)</f>
        <v>0</v>
      </c>
      <c r="Z130" s="3722">
        <f>V130*(1+$L$6)</f>
        <v>0</v>
      </c>
      <c r="AB130" s="3721">
        <f>AD130*$AC$14</f>
        <v>0</v>
      </c>
      <c r="AC130" s="1520">
        <f>IFERROR(AB130/$AB$44,0)</f>
        <v>0</v>
      </c>
      <c r="AD130" s="3722">
        <f>Z130*(1+$L$6)</f>
        <v>0</v>
      </c>
      <c r="AF130" s="3721">
        <f>AH130*$AG$14</f>
        <v>0</v>
      </c>
      <c r="AG130" s="1520">
        <f>IFERROR(AF130/$AF$44,0)</f>
        <v>0</v>
      </c>
      <c r="AH130" s="3722">
        <f>AD130*(1+$L$6)</f>
        <v>0</v>
      </c>
      <c r="AJ130" s="3721">
        <f>AL130*$AK$14</f>
        <v>0</v>
      </c>
      <c r="AK130" s="1520">
        <f>IFERROR(AJ130/$AJ$44,0)</f>
        <v>0</v>
      </c>
      <c r="AL130" s="3722">
        <f>AH130*(1+$L$6)</f>
        <v>0</v>
      </c>
      <c r="AN130" s="3721">
        <f>AP130*$AO$14</f>
        <v>0</v>
      </c>
      <c r="AO130" s="1520">
        <f>IFERROR(AN130/$AN$44,0)</f>
        <v>0</v>
      </c>
      <c r="AP130" s="3722">
        <f>AL130*(1+$L$6)</f>
        <v>0</v>
      </c>
      <c r="AR130" s="3721">
        <f>AT130*$AS$14</f>
        <v>0</v>
      </c>
      <c r="AS130" s="1520">
        <f>IFERROR(AR130/$AR$44,0)</f>
        <v>0</v>
      </c>
      <c r="AT130" s="3722">
        <f>AP130*(1+$L$6)</f>
        <v>0</v>
      </c>
      <c r="AV130" s="3721">
        <f>AX130*$AW$14</f>
        <v>0</v>
      </c>
      <c r="AW130" s="1520">
        <f>IFERROR(AV130/$AV$44,0)</f>
        <v>0</v>
      </c>
      <c r="AX130" s="3722">
        <f>AT130*(1+$L$6)</f>
        <v>0</v>
      </c>
      <c r="AZ130" s="3721">
        <f>BB130*$BA$14</f>
        <v>0</v>
      </c>
      <c r="BA130" s="1520">
        <f>IFERROR(AZ130/$AZ$44,0)</f>
        <v>0</v>
      </c>
      <c r="BB130" s="3722">
        <f>AX130*(1+$L$6)</f>
        <v>0</v>
      </c>
      <c r="BC130" s="1426" t="n"/>
      <c r="BD130" s="3721" t="n">
        <f t="array" ref="BD130">IFERROR($H130/12,0)</f>
        <v>0</v>
      </c>
      <c r="BE130" s="1520" t="n">
        <f t="array" ref="BE130">IFERROR($H130/$H$44,0)</f>
        <v>0</v>
      </c>
      <c r="BF130" s="3722" t="n">
        <f t="array" ref="BF130">IFERROR(($H130/12)/1650,0)</f>
        <v>0</v>
      </c>
    </row>
    <row r="131" s="1168" customFormat="1" ht="13.5" customHeight="1">
      <c r="A131" s="101" t="n"/>
      <c r="B131" s="1185" t="n"/>
      <c r="E131" s="3583" t="n"/>
      <c r="F131" s="1172" t="n"/>
      <c r="G131" s="1537" t="inlineStr">
        <is>
          <t xml:space="preserve">Total Payroll Taxes</t>
        </is>
      </c>
      <c r="H131" s="3601">
        <f>SUM(H114:H130)</f>
        <v>23545</v>
      </c>
      <c r="I131" s="1316">
        <f>SUM(I114:I130)</f>
        <v>0.0158493487261</v>
      </c>
      <c r="J131" s="3602">
        <f>SUM(J114:J130)</f>
        <v>1.17285180573</v>
      </c>
      <c r="K131" s="1172" t="n"/>
      <c r="L131" s="3601">
        <f>SUM(L114:L130)</f>
        <v>28104.1681818</v>
      </c>
      <c r="M131" s="1316">
        <f>SUM(M114:M130)</f>
        <v>0.0156939629542</v>
      </c>
      <c r="N131" s="3602">
        <f>SUM(N114:N130)</f>
        <v>1.18458032379</v>
      </c>
      <c r="P131" s="3601">
        <f>SUM(P114:P130)</f>
        <v>31442.0786182</v>
      </c>
      <c r="Q131" s="1316">
        <f>SUM(Q114:Q130)</f>
        <v>0.0155401005723</v>
      </c>
      <c r="R131" s="3602">
        <f>SUM(R114:R130)</f>
        <v>1.19642612702</v>
      </c>
      <c r="T131" s="3601">
        <f>SUM(T114:T130)</f>
        <v>31756.4994044</v>
      </c>
      <c r="U131" s="1316">
        <f>SUM(U114:U130)</f>
        <v>0.0153877466452</v>
      </c>
      <c r="V131" s="3602">
        <f>SUM(V114:V130)</f>
        <v>1.20839038829</v>
      </c>
      <c r="X131" s="3601">
        <f>SUM(X114:X130)</f>
        <v>32074.0643984</v>
      </c>
      <c r="Y131" s="1316">
        <f>SUM(Y114:Y130)</f>
        <v>0.0152368863839</v>
      </c>
      <c r="Z131" s="3602">
        <f>SUM(Z114:Z130)</f>
        <v>1.22047429218</v>
      </c>
      <c r="AB131" s="3601">
        <f>SUM(AB114:AB130)</f>
        <v>32394.8050424</v>
      </c>
      <c r="AC131" s="1316">
        <f>SUM(AC114:AC130)</f>
        <v>0.0150875051449</v>
      </c>
      <c r="AD131" s="3602">
        <f>SUM(AD114:AD130)</f>
        <v>1.2326790351</v>
      </c>
      <c r="AF131" s="3601">
        <f>SUM(AF114:AF130)</f>
        <v>32718.7530928</v>
      </c>
      <c r="AG131" s="1316">
        <f>SUM(AG114:AG130)</f>
        <v>0.0149395884278</v>
      </c>
      <c r="AH131" s="3602">
        <f>SUM(AH114:AH130)</f>
        <v>1.24500582545</v>
      </c>
      <c r="AJ131" s="3601">
        <f>SUM(AJ114:AJ130)</f>
        <v>33045.9406237</v>
      </c>
      <c r="AK131" s="1316">
        <f>SUM(AK114:AK130)</f>
        <v>0.0147931218745</v>
      </c>
      <c r="AL131" s="3602">
        <f>SUM(AL114:AL130)</f>
        <v>1.2574558837</v>
      </c>
      <c r="AN131" s="3601">
        <f>SUM(AN114:AN130)</f>
        <v>33376.40003</v>
      </c>
      <c r="AO131" s="1316">
        <f>SUM(AO114:AO130)</f>
        <v>0.0146480912679</v>
      </c>
      <c r="AP131" s="3602">
        <f>SUM(AP114:AP130)</f>
        <v>1.27003044254</v>
      </c>
      <c r="AR131" s="3601">
        <f>SUM(AR114:AR130)</f>
        <v>33710.1640303</v>
      </c>
      <c r="AS131" s="1316">
        <f>SUM(AS114:AS130)</f>
        <v>0.01450448253</v>
      </c>
      <c r="AT131" s="3602">
        <f>SUM(AT114:AT130)</f>
        <v>1.28273074697</v>
      </c>
      <c r="AV131" s="3601">
        <f>SUM(AV114:AV130)</f>
        <v>34047.2656706</v>
      </c>
      <c r="AW131" s="1316">
        <f>SUM(AW114:AW130)</f>
        <v>0.0146495273553</v>
      </c>
      <c r="AX131" s="3602">
        <f>SUM(AX114:AX130)</f>
        <v>1.29555805444</v>
      </c>
      <c r="AZ131" s="3601">
        <f>SUM(AZ114:AZ130)</f>
        <v>34387.7383273</v>
      </c>
      <c r="BA131" s="1316">
        <f>SUM(BA114:BA130)</f>
        <v>0.0147960226289</v>
      </c>
      <c r="BB131" s="3602">
        <f>SUM(BB114:BB130)</f>
        <v>1.30851363498</v>
      </c>
      <c r="BD131" s="3601" t="n">
        <f t="array" ref="BD131">IFERROR($H131/12,0)</f>
        <v>1962.0833333333333</v>
      </c>
      <c r="BE131" s="1316">
        <f>H131+L131+P131+T131+X131+AB131+AF131+AJ131+AN131+AR131+AV131+AZ131</f>
        <v>380602.87742</v>
      </c>
      <c r="BF131" s="3602">
        <f>IFERROR(BE131/BE14,0)</f>
        <v>1.24136620163</v>
      </c>
    </row>
    <row r="132" s="1168" customFormat="1" ht="15.75" customHeight="1">
      <c r="A132" s="101" t="n"/>
      <c r="B132" s="1185" t="n"/>
      <c r="E132" s="3583" t="n"/>
      <c r="F132" s="1172" t="n"/>
      <c r="G132" s="1538" t="inlineStr">
        <is>
          <t xml:space="preserve">10%- Mean avg- can be anywhere from 8-12% avg.</t>
        </is>
      </c>
      <c r="H132" s="3571" t="n"/>
      <c r="I132" s="901" t="n">
        <v>0.1</v>
      </c>
      <c r="J132" s="3542" t="n"/>
      <c r="K132" s="1172" t="n"/>
      <c r="L132" s="3566" t="n"/>
      <c r="M132" s="1509" t="n">
        <f t="array" ref="M132">I132</f>
        <v>0.1</v>
      </c>
      <c r="N132" s="901" t="n"/>
      <c r="P132" s="3571" t="n"/>
      <c r="Q132" s="901" t="n">
        <f t="array" ref="Q132">M132</f>
        <v>0.1</v>
      </c>
      <c r="R132" s="3455" t="n"/>
      <c r="T132" s="3571" t="n"/>
      <c r="U132" s="1509" t="n">
        <f t="array" ref="U132">Q132</f>
        <v>0.1</v>
      </c>
      <c r="V132" s="3455" t="n"/>
      <c r="X132" s="3571" t="n"/>
      <c r="Y132" s="1509" t="n">
        <f t="array" ref="Y132">U132</f>
        <v>0.1</v>
      </c>
      <c r="Z132" s="3455" t="n"/>
      <c r="AB132" s="3571" t="n"/>
      <c r="AC132" s="1509" t="n">
        <v>0.1</v>
      </c>
      <c r="AD132" s="3455" t="n"/>
      <c r="AF132" s="3571" t="n"/>
      <c r="AG132" s="1509" t="n">
        <v>0.1</v>
      </c>
      <c r="AH132" s="3455" t="n"/>
      <c r="AJ132" s="3571" t="n"/>
      <c r="AK132" s="1509" t="n">
        <v>0.1</v>
      </c>
      <c r="AL132" s="3455" t="n"/>
      <c r="AN132" s="3571" t="n"/>
      <c r="AO132" s="1509" t="n">
        <v>0.1</v>
      </c>
      <c r="AP132" s="3455" t="n"/>
      <c r="AR132" s="3571" t="n"/>
      <c r="AS132" s="1509" t="n">
        <v>0.1</v>
      </c>
      <c r="AT132" s="3455" t="n"/>
      <c r="AV132" s="3571" t="n"/>
      <c r="AW132" s="1509" t="n">
        <v>0.1</v>
      </c>
      <c r="AX132" s="3455" t="n"/>
      <c r="AZ132" s="3571" t="n"/>
      <c r="BA132" s="1509" t="n">
        <v>0.1</v>
      </c>
      <c r="BB132" s="3455" t="n"/>
      <c r="BD132" s="3571" t="n"/>
      <c r="BE132" s="1269" t="n"/>
      <c r="BF132" s="3570" t="n"/>
    </row>
    <row r="133" s="1168" customFormat="1" ht="12.75" customHeight="1">
      <c r="A133" s="101" t="n"/>
      <c r="B133" s="1185" t="n"/>
      <c r="E133" s="3583" t="n"/>
      <c r="F133" s="1172" t="n"/>
      <c r="G133" s="1539" t="inlineStr">
        <is>
          <t xml:space="preserve">Other Payroll Costs</t>
        </is>
      </c>
      <c r="H133" s="1510" t="inlineStr">
        <is>
          <t xml:space="preserve">Budget</t>
        </is>
      </c>
      <c r="I133" s="1511" t="inlineStr">
        <is>
          <t xml:space="preserve">%</t>
        </is>
      </c>
      <c r="J133" s="1512" t="inlineStr">
        <is>
          <t xml:space="preserve">CPOR</t>
        </is>
      </c>
      <c r="K133" s="1172" t="n"/>
      <c r="L133" s="1510" t="inlineStr">
        <is>
          <t xml:space="preserve">Budget</t>
        </is>
      </c>
      <c r="M133" s="1511" t="inlineStr">
        <is>
          <t xml:space="preserve">%</t>
        </is>
      </c>
      <c r="N133" s="1512" t="inlineStr">
        <is>
          <t xml:space="preserve">CPOR</t>
        </is>
      </c>
      <c r="P133" s="1510" t="inlineStr">
        <is>
          <t xml:space="preserve">Budget</t>
        </is>
      </c>
      <c r="Q133" s="1511" t="inlineStr">
        <is>
          <t xml:space="preserve">%</t>
        </is>
      </c>
      <c r="R133" s="1512" t="inlineStr">
        <is>
          <t xml:space="preserve">CPOR</t>
        </is>
      </c>
      <c r="T133" s="1510" t="inlineStr">
        <is>
          <t xml:space="preserve">Budget</t>
        </is>
      </c>
      <c r="U133" s="1511" t="inlineStr">
        <is>
          <t xml:space="preserve">%</t>
        </is>
      </c>
      <c r="V133" s="1512" t="inlineStr">
        <is>
          <t xml:space="preserve">CPOR</t>
        </is>
      </c>
      <c r="X133" s="1510" t="inlineStr">
        <is>
          <t xml:space="preserve">Budget</t>
        </is>
      </c>
      <c r="Y133" s="1511" t="inlineStr">
        <is>
          <t xml:space="preserve">%</t>
        </is>
      </c>
      <c r="Z133" s="1512" t="inlineStr">
        <is>
          <t xml:space="preserve">CPOR</t>
        </is>
      </c>
      <c r="AB133" s="1510" t="inlineStr">
        <is>
          <t xml:space="preserve">Budget</t>
        </is>
      </c>
      <c r="AC133" s="1511" t="inlineStr">
        <is>
          <t xml:space="preserve">%</t>
        </is>
      </c>
      <c r="AD133" s="1512" t="inlineStr">
        <is>
          <t xml:space="preserve">CPOR</t>
        </is>
      </c>
      <c r="AF133" s="1510" t="inlineStr">
        <is>
          <t xml:space="preserve">Budget</t>
        </is>
      </c>
      <c r="AG133" s="1511" t="inlineStr">
        <is>
          <t xml:space="preserve">%</t>
        </is>
      </c>
      <c r="AH133" s="1512" t="inlineStr">
        <is>
          <t xml:space="preserve">CPOR</t>
        </is>
      </c>
      <c r="AJ133" s="1510" t="inlineStr">
        <is>
          <t xml:space="preserve">Budget</t>
        </is>
      </c>
      <c r="AK133" s="1511" t="inlineStr">
        <is>
          <t xml:space="preserve">%</t>
        </is>
      </c>
      <c r="AL133" s="1512" t="inlineStr">
        <is>
          <t xml:space="preserve">CPOR</t>
        </is>
      </c>
      <c r="AN133" s="1510" t="inlineStr">
        <is>
          <t xml:space="preserve">Budget</t>
        </is>
      </c>
      <c r="AO133" s="1511" t="inlineStr">
        <is>
          <t xml:space="preserve">%</t>
        </is>
      </c>
      <c r="AP133" s="1512" t="inlineStr">
        <is>
          <t xml:space="preserve">CPOR</t>
        </is>
      </c>
      <c r="AR133" s="1510" t="inlineStr">
        <is>
          <t xml:space="preserve">Budget</t>
        </is>
      </c>
      <c r="AS133" s="1511" t="inlineStr">
        <is>
          <t xml:space="preserve">%</t>
        </is>
      </c>
      <c r="AT133" s="1512" t="inlineStr">
        <is>
          <t xml:space="preserve">CPOR</t>
        </is>
      </c>
      <c r="AV133" s="1510" t="inlineStr">
        <is>
          <t xml:space="preserve">Budget</t>
        </is>
      </c>
      <c r="AW133" s="1511" t="inlineStr">
        <is>
          <t xml:space="preserve">%</t>
        </is>
      </c>
      <c r="AX133" s="1512" t="inlineStr">
        <is>
          <t xml:space="preserve">CPOR</t>
        </is>
      </c>
      <c r="AZ133" s="1510" t="inlineStr">
        <is>
          <t xml:space="preserve">Budget</t>
        </is>
      </c>
      <c r="BA133" s="1511" t="inlineStr">
        <is>
          <t xml:space="preserve">%</t>
        </is>
      </c>
      <c r="BB133" s="1512" t="inlineStr">
        <is>
          <t xml:space="preserve">CPOR</t>
        </is>
      </c>
      <c r="BC133" s="1426" t="n"/>
      <c r="BD133" s="1510" t="inlineStr">
        <is>
          <t xml:space="preserve">Budget</t>
        </is>
      </c>
      <c r="BE133" s="1511" t="inlineStr">
        <is>
          <t xml:space="preserve">%</t>
        </is>
      </c>
      <c r="BF133" s="1512" t="inlineStr">
        <is>
          <t xml:space="preserve">CPOR</t>
        </is>
      </c>
    </row>
    <row r="134" s="1168" customFormat="1" ht="15" customHeight="1">
      <c r="A134" s="101" t="n"/>
      <c r="B134" s="1185" t="n"/>
      <c r="E134" s="3583" t="n">
        <v>350</v>
      </c>
      <c r="F134" s="1172" t="n"/>
      <c r="G134" s="1433" t="inlineStr">
        <is>
          <t xml:space="preserve">Payroll Fees</t>
        </is>
      </c>
      <c r="H134" s="3641">
        <f>J134*$I$14</f>
        <v>4200</v>
      </c>
      <c r="I134" s="1378">
        <f>IFERROR(H134/$H$44,0)</f>
        <v>0.00282723570395</v>
      </c>
      <c r="J134" s="3639">
        <v>0.209215442092</v>
      </c>
      <c r="K134" s="1172" t="n"/>
      <c r="L134" s="3640">
        <f>N134*$M$14</f>
        <v>5013.27272727</v>
      </c>
      <c r="M134" s="1381">
        <f>IFERROR(L134/$L$44,0)</f>
        <v>0.00279951770685</v>
      </c>
      <c r="N134" s="3639">
        <f>J134*(1+$L$6)</f>
        <v>0.211307596513</v>
      </c>
      <c r="P134" s="3640">
        <f>R134*$Q$14</f>
        <v>5608.69527273</v>
      </c>
      <c r="Q134" s="1381">
        <f>IFERROR(P134/$P$44,0)</f>
        <v>0.00277207145482</v>
      </c>
      <c r="R134" s="3639">
        <f>N134*(1+$L$6)</f>
        <v>0.213420672478</v>
      </c>
      <c r="T134" s="3640">
        <f>V134*$U$14</f>
        <v>5664.78222545</v>
      </c>
      <c r="U134" s="1381">
        <f>IFERROR(T134/$T$44,0)</f>
        <v>0.0027448942837</v>
      </c>
      <c r="V134" s="3639">
        <f>R134*(1+$L$6)</f>
        <v>0.215554879203</v>
      </c>
      <c r="X134" s="3640">
        <f>Z134*$Y$14</f>
        <v>5721.43004771</v>
      </c>
      <c r="Y134" s="1381">
        <f>IFERROR(X134/$X$44,0)</f>
        <v>0.00271798355543</v>
      </c>
      <c r="Z134" s="3639">
        <f>V134*(1+$L$6)</f>
        <v>0.217710427995</v>
      </c>
      <c r="AB134" s="3640">
        <f>AD134*$AC$14</f>
        <v>5778.64434819</v>
      </c>
      <c r="AC134" s="1381">
        <f>IFERROR(AB134/$AB$44,0)</f>
        <v>0.00269133665782</v>
      </c>
      <c r="AD134" s="3639">
        <f>Z134*(1+$L$6)</f>
        <v>0.219887532275</v>
      </c>
      <c r="AF134" s="3640">
        <f>AH134*$AG$14</f>
        <v>5836.43079167</v>
      </c>
      <c r="AG134" s="1381">
        <f>IFERROR(AF134/$AF$44,0)</f>
        <v>0.00266495100432</v>
      </c>
      <c r="AH134" s="3639">
        <f>AD134*(1+$L$6)</f>
        <v>0.222086407598</v>
      </c>
      <c r="AJ134" s="3640">
        <f>AL134*$AK$14</f>
        <v>5894.79509958</v>
      </c>
      <c r="AK134" s="1381">
        <f>IFERROR(AJ134/$AJ$44,0)</f>
        <v>0.00263882403368</v>
      </c>
      <c r="AL134" s="3639">
        <f>AH134*(1+$L$6)</f>
        <v>0.224307271674</v>
      </c>
      <c r="AN134" s="3640">
        <f>AP134*$AO$14</f>
        <v>5953.74305058</v>
      </c>
      <c r="AO134" s="1381">
        <f>IFERROR(AN134/$AN$44,0)</f>
        <v>0.00261295320982</v>
      </c>
      <c r="AP134" s="3639">
        <f>AL134*(1+$L$6)</f>
        <v>0.22655034439</v>
      </c>
      <c r="AR134" s="3640">
        <f>AT134*$AS$14</f>
        <v>6013.28048109</v>
      </c>
      <c r="AS134" s="1381">
        <f>IFERROR(AR134/$AR$44,0)</f>
        <v>0.00258733602149</v>
      </c>
      <c r="AT134" s="3639">
        <f>AP134*(1+$L$6)</f>
        <v>0.228815847834</v>
      </c>
      <c r="AV134" s="3640">
        <f>AX134*$AW$14</f>
        <v>6073.4132859</v>
      </c>
      <c r="AW134" s="1381">
        <f>IFERROR(AV134/$AV$44,0)</f>
        <v>0.00261320938171</v>
      </c>
      <c r="AX134" s="3639">
        <f>AT134*(1+$L$6)</f>
        <v>0.231104006313</v>
      </c>
      <c r="AZ134" s="3640">
        <f>BB134*$BA$14</f>
        <v>6134.14741876</v>
      </c>
      <c r="BA134" s="1381">
        <f>IFERROR(AZ134/$AZ$44,0)</f>
        <v>0.00263934147553</v>
      </c>
      <c r="BB134" s="3639">
        <f>AX134*(1+$L$6)</f>
        <v>0.233415046376</v>
      </c>
      <c r="BC134" s="1426" t="n"/>
      <c r="BD134" s="3640" t="n">
        <f t="array" ref="BD134">IFERROR($H134/12,0)</f>
        <v>350</v>
      </c>
      <c r="BE134" s="1381" t="n">
        <f t="array" ref="BE134">IFERROR($H134/$H$44,0)</f>
        <v>0.0028272357039480327</v>
      </c>
      <c r="BF134" s="3639" t="n">
        <f t="array" ref="BF134">IFERROR(($H134/12)/1650,0)</f>
        <v>0.21212121212121213</v>
      </c>
    </row>
    <row r="135" s="1168" customFormat="1" ht="15" customHeight="1">
      <c r="A135" s="101" t="n"/>
      <c r="B135" s="1185" t="n"/>
      <c r="E135" s="3583" t="n"/>
      <c r="F135" s="1172" t="n"/>
      <c r="G135" s="1433" t="inlineStr">
        <is>
          <t xml:space="preserve">Employee Insurance</t>
        </is>
      </c>
      <c r="H135" s="3641">
        <f>J135*$I$14</f>
        <v>0</v>
      </c>
      <c r="I135" s="1378">
        <f>IFERROR(H135/$H$44,0)</f>
        <v>0</v>
      </c>
      <c r="J135" s="3639">
        <v>0</v>
      </c>
      <c r="K135" s="1172" t="n"/>
      <c r="L135" s="3640">
        <f>N135*$M$14</f>
        <v>0</v>
      </c>
      <c r="M135" s="1381">
        <f>IFERROR(L135/$L$44,0)</f>
        <v>0</v>
      </c>
      <c r="N135" s="3639">
        <f>J135*(1+$L$6)</f>
        <v>0</v>
      </c>
      <c r="P135" s="3640">
        <f>R135*$Q$14</f>
        <v>0</v>
      </c>
      <c r="Q135" s="1381">
        <f>IFERROR(P135/$P$44,0)</f>
        <v>0</v>
      </c>
      <c r="R135" s="3639">
        <f>N135*(1+$L$6)</f>
        <v>0</v>
      </c>
      <c r="T135" s="3640">
        <f>V135*$U$14</f>
        <v>0</v>
      </c>
      <c r="U135" s="1381">
        <f>IFERROR(T135/$T$44,0)</f>
        <v>0</v>
      </c>
      <c r="V135" s="3639">
        <f>R135*(1+$L$6)</f>
        <v>0</v>
      </c>
      <c r="X135" s="3640">
        <f>Z135*$Y$14</f>
        <v>0</v>
      </c>
      <c r="Y135" s="1381">
        <f>IFERROR(X135/$X$44,0)</f>
        <v>0</v>
      </c>
      <c r="Z135" s="3639">
        <f>V135*(1+$L$6)</f>
        <v>0</v>
      </c>
      <c r="AB135" s="3640">
        <f>AD135*$AC$14</f>
        <v>0</v>
      </c>
      <c r="AC135" s="1381">
        <f>IFERROR(AB135/$AB$44,0)</f>
        <v>0</v>
      </c>
      <c r="AD135" s="3639">
        <f>Z135*(1+$L$6)</f>
        <v>0</v>
      </c>
      <c r="AF135" s="3640">
        <f>AH135*$AG$14</f>
        <v>0</v>
      </c>
      <c r="AG135" s="1381">
        <f>IFERROR(AF135/$AF$44,0)</f>
        <v>0</v>
      </c>
      <c r="AH135" s="3639">
        <f>AD135*(1+$L$6)</f>
        <v>0</v>
      </c>
      <c r="AJ135" s="3640">
        <f>AL135*$AK$14</f>
        <v>0</v>
      </c>
      <c r="AK135" s="1381">
        <f>IFERROR(AJ135/$AJ$44,0)</f>
        <v>0</v>
      </c>
      <c r="AL135" s="3639">
        <f>AH135*(1+$L$6)</f>
        <v>0</v>
      </c>
      <c r="AN135" s="3640">
        <f>AP135*$AO$14</f>
        <v>0</v>
      </c>
      <c r="AO135" s="1381">
        <f>IFERROR(AN135/$AN$44,0)</f>
        <v>0</v>
      </c>
      <c r="AP135" s="3639">
        <f>AL135*(1+$L$6)</f>
        <v>0</v>
      </c>
      <c r="AR135" s="3640">
        <f>AT135*$AS$14</f>
        <v>0</v>
      </c>
      <c r="AS135" s="1381">
        <f>IFERROR(AR135/$AR$44,0)</f>
        <v>0</v>
      </c>
      <c r="AT135" s="3639">
        <f>AP135*(1+$L$6)</f>
        <v>0</v>
      </c>
      <c r="AV135" s="3640">
        <f>AX135*$AW$14</f>
        <v>0</v>
      </c>
      <c r="AW135" s="1381">
        <f>IFERROR(AV135/$AV$44,0)</f>
        <v>0</v>
      </c>
      <c r="AX135" s="3639">
        <f>AT135*(1+$L$6)</f>
        <v>0</v>
      </c>
      <c r="AZ135" s="3640">
        <f>BB135*$BA$14</f>
        <v>0</v>
      </c>
      <c r="BA135" s="1381">
        <f>IFERROR(AZ135/$AZ$44,0)</f>
        <v>0</v>
      </c>
      <c r="BB135" s="3639">
        <f>AX135*(1+$L$6)</f>
        <v>0</v>
      </c>
      <c r="BC135" s="1426" t="n"/>
      <c r="BD135" s="3640" t="n">
        <f t="array" ref="BD135">IFERROR($H135/12,0)</f>
        <v>0</v>
      </c>
      <c r="BE135" s="1381" t="n">
        <f t="array" ref="BE135">IFERROR($H135/$H$44,0)</f>
        <v>0</v>
      </c>
      <c r="BF135" s="3639" t="n">
        <f t="array" ref="BF135">IFERROR(($H135/12)/1650,0)</f>
        <v>0</v>
      </c>
    </row>
    <row r="136" s="1168" customFormat="1" ht="15" customHeight="1">
      <c r="A136" s="101" t="n"/>
      <c r="B136" s="1185" t="n"/>
      <c r="E136" s="3583" t="n">
        <v>800</v>
      </c>
      <c r="F136" s="1172" t="n"/>
      <c r="G136" s="1433" t="inlineStr">
        <is>
          <t xml:space="preserve">Bookkeeper &amp; CPA</t>
        </is>
      </c>
      <c r="H136" s="3641">
        <f>J136*$I$14</f>
        <v>9600</v>
      </c>
      <c r="I136" s="1378">
        <f>IFERROR(H136/$H$44,0)</f>
        <v>0.0064622530376</v>
      </c>
      <c r="J136" s="3639">
        <v>0.478206724782</v>
      </c>
      <c r="K136" s="1172" t="n"/>
      <c r="L136" s="3640">
        <f>N136*$M$14</f>
        <v>11458.9090909</v>
      </c>
      <c r="M136" s="1381">
        <f>IFERROR(L136/$L$44,0)</f>
        <v>0.00639889761566</v>
      </c>
      <c r="N136" s="3639">
        <f>J136*(1+$L$6)</f>
        <v>0.48298879203</v>
      </c>
      <c r="P136" s="3640">
        <f>R136*$Q$14</f>
        <v>12819.8749091</v>
      </c>
      <c r="Q136" s="1381">
        <f>IFERROR(P136/$P$44,0)</f>
        <v>0.00633616332531</v>
      </c>
      <c r="R136" s="3639">
        <f>N136*(1+$L$6)</f>
        <v>0.48781867995</v>
      </c>
      <c r="T136" s="3640">
        <f>V136*$U$14</f>
        <v>12948.0736582</v>
      </c>
      <c r="U136" s="1381">
        <f>IFERROR(T136/$T$44,0)</f>
        <v>0.00627404407702</v>
      </c>
      <c r="V136" s="3639">
        <f>R136*(1+$L$6)</f>
        <v>0.49269686675</v>
      </c>
      <c r="X136" s="3640">
        <f>Z136*$Y$14</f>
        <v>13077.5543948</v>
      </c>
      <c r="Y136" s="1381">
        <f>IFERROR(X136/$X$44,0)</f>
        <v>0.00621253384097</v>
      </c>
      <c r="Z136" s="3639">
        <f>V136*(1+$L$6)</f>
        <v>0.497623835417</v>
      </c>
      <c r="AB136" s="3640">
        <f>AD136*$AC$14</f>
        <v>13208.3299387</v>
      </c>
      <c r="AC136" s="1381">
        <f>IFERROR(AB136/$AB$44,0)</f>
        <v>0.00615162664645</v>
      </c>
      <c r="AD136" s="3639">
        <f>Z136*(1+$L$6)</f>
        <v>0.502600073771</v>
      </c>
      <c r="AF136" s="3640">
        <f>AH136*$AG$14</f>
        <v>13340.4132381</v>
      </c>
      <c r="AG136" s="1381">
        <f>IFERROR(AF136/$AF$44,0)</f>
        <v>0.00609131658129</v>
      </c>
      <c r="AH136" s="3639">
        <f>AD136*(1+$L$6)</f>
        <v>0.507626074509</v>
      </c>
      <c r="AJ136" s="3640">
        <f>AL136*$AK$14</f>
        <v>13473.8173705</v>
      </c>
      <c r="AK136" s="1381">
        <f>IFERROR(AJ136/$AJ$44,0)</f>
        <v>0.00603159779128</v>
      </c>
      <c r="AL136" s="3639">
        <f>AH136*(1+$L$6)</f>
        <v>0.512702335254</v>
      </c>
      <c r="AN136" s="3640">
        <f>AP136*$AO$14</f>
        <v>13608.5555442</v>
      </c>
      <c r="AO136" s="1381">
        <f>IFERROR(AN136/$AN$44,0)</f>
        <v>0.0059724644796</v>
      </c>
      <c r="AP136" s="3639">
        <f>AL136*(1+$L$6)</f>
        <v>0.517829358607</v>
      </c>
      <c r="AR136" s="3640">
        <f>AT136*$AS$14</f>
        <v>13744.6410996</v>
      </c>
      <c r="AS136" s="1381">
        <f>IFERROR(AR136/$AR$44,0)</f>
        <v>0.00591391090627</v>
      </c>
      <c r="AT136" s="3639">
        <f>AP136*(1+$L$6)</f>
        <v>0.523007652193</v>
      </c>
      <c r="AV136" s="3640">
        <f>AX136*$AW$14</f>
        <v>13882.0875106</v>
      </c>
      <c r="AW136" s="1381">
        <f>IFERROR(AV136/$AV$44,0)</f>
        <v>0.00597305001533</v>
      </c>
      <c r="AX136" s="3639">
        <f>AT136*(1+$L$6)</f>
        <v>0.528237728715</v>
      </c>
      <c r="AZ136" s="3640">
        <f>BB136*$BA$14</f>
        <v>14020.9083857</v>
      </c>
      <c r="BA136" s="1381">
        <f>IFERROR(AZ136/$AZ$44,0)</f>
        <v>0.00603278051549</v>
      </c>
      <c r="BB136" s="3639">
        <f>AX136*(1+$L$6)</f>
        <v>0.533520106002</v>
      </c>
      <c r="BC136" s="1426" t="n"/>
      <c r="BD136" s="3640" t="n">
        <f t="array" ref="BD136">IFERROR($H136/12,0)</f>
        <v>800</v>
      </c>
      <c r="BE136" s="1381" t="n">
        <f t="array" ref="BE136">IFERROR($H136/$H$44,0)</f>
        <v>0.006462253037595503</v>
      </c>
      <c r="BF136" s="3639" t="n">
        <f t="array" ref="BF136">IFERROR(($H136/12)/1650,0)</f>
        <v>0.48484848484848486</v>
      </c>
    </row>
    <row r="137" s="1168" customFormat="1" ht="15" customHeight="1">
      <c r="A137" s="101" t="n"/>
      <c r="B137" s="1185" t="n"/>
      <c r="E137" s="3583" t="n"/>
      <c r="F137" s="1172" t="n"/>
      <c r="G137" s="1376" t="inlineStr">
        <is>
          <t xml:space="preserve">Bonuses - Admin</t>
        </is>
      </c>
      <c r="H137" s="3718">
        <f>J137*$I$14</f>
        <v>0</v>
      </c>
      <c r="I137" s="1514">
        <f>IFERROR(H137/$H$44,0)</f>
        <v>0</v>
      </c>
      <c r="J137" s="3719">
        <v>0</v>
      </c>
      <c r="K137" s="1172" t="n"/>
      <c r="L137" s="3732">
        <f>N137*$M$14</f>
        <v>0</v>
      </c>
      <c r="M137" s="1516">
        <f>IFERROR(L137/$L$44,0)</f>
        <v>0</v>
      </c>
      <c r="N137" s="3719">
        <f>J137*(1+$L$6)</f>
        <v>0</v>
      </c>
      <c r="P137" s="3732">
        <f>R137*$Q$14</f>
        <v>0</v>
      </c>
      <c r="Q137" s="1516">
        <f>IFERROR(P137/$P$44,0)</f>
        <v>0</v>
      </c>
      <c r="R137" s="3719">
        <f>N137*(1+$L$6)</f>
        <v>0</v>
      </c>
      <c r="T137" s="3732">
        <f>V137*$U$14</f>
        <v>0</v>
      </c>
      <c r="U137" s="1516">
        <f>IFERROR(T137/$T$44,0)</f>
        <v>0</v>
      </c>
      <c r="V137" s="3719">
        <f>R137*(1+$L$6)</f>
        <v>0</v>
      </c>
      <c r="X137" s="3732">
        <f>Z137*$Y$14</f>
        <v>0</v>
      </c>
      <c r="Y137" s="1516">
        <f>IFERROR(X137/$X$44,0)</f>
        <v>0</v>
      </c>
      <c r="Z137" s="3719">
        <f>V137*(1+$L$6)</f>
        <v>0</v>
      </c>
      <c r="AB137" s="3732">
        <f>AD137*$AC$14</f>
        <v>0</v>
      </c>
      <c r="AC137" s="1516">
        <f>IFERROR(AB137/$AB$44,0)</f>
        <v>0</v>
      </c>
      <c r="AD137" s="3719">
        <f>Z137*(1+$L$6)</f>
        <v>0</v>
      </c>
      <c r="AF137" s="3732">
        <f>AH137*$AG$14</f>
        <v>0</v>
      </c>
      <c r="AG137" s="1516">
        <f>IFERROR(AF137/$AF$44,0)</f>
        <v>0</v>
      </c>
      <c r="AH137" s="3719">
        <f>AD137*(1+$L$6)</f>
        <v>0</v>
      </c>
      <c r="AJ137" s="3732">
        <f>AL137*$AK$14</f>
        <v>0</v>
      </c>
      <c r="AK137" s="1516">
        <f>IFERROR(AJ137/$AJ$44,0)</f>
        <v>0</v>
      </c>
      <c r="AL137" s="3719">
        <f>AH137*(1+$L$6)</f>
        <v>0</v>
      </c>
      <c r="AN137" s="3732">
        <f>AP137*$AO$14</f>
        <v>0</v>
      </c>
      <c r="AO137" s="1516">
        <f>IFERROR(AN137/$AN$44,0)</f>
        <v>0</v>
      </c>
      <c r="AP137" s="3719">
        <f>AL137*(1+$L$6)</f>
        <v>0</v>
      </c>
      <c r="AR137" s="3732">
        <f>AT137*$AS$14</f>
        <v>0</v>
      </c>
      <c r="AS137" s="1516">
        <f>IFERROR(AR137/$AR$44,0)</f>
        <v>0</v>
      </c>
      <c r="AT137" s="3719">
        <f>AP137*(1+$L$6)</f>
        <v>0</v>
      </c>
      <c r="AV137" s="3732">
        <f>AX137*$AW$14</f>
        <v>0</v>
      </c>
      <c r="AW137" s="1516">
        <f>IFERROR(AV137/$AV$44,0)</f>
        <v>0</v>
      </c>
      <c r="AX137" s="3719">
        <f>AT137*(1+$L$6)</f>
        <v>0</v>
      </c>
      <c r="AZ137" s="3732">
        <f>BB137*$BA$14</f>
        <v>0</v>
      </c>
      <c r="BA137" s="1516">
        <f>IFERROR(AZ137/$AZ$44,0)</f>
        <v>0</v>
      </c>
      <c r="BB137" s="3719">
        <f>AX137*(1+$L$6)</f>
        <v>0</v>
      </c>
      <c r="BC137" s="1426" t="n"/>
      <c r="BD137" s="3718" t="n">
        <f t="array" ref="BD137">IFERROR($H137/12,0)</f>
        <v>0</v>
      </c>
      <c r="BE137" s="1516" t="n">
        <f t="array" ref="BE137">IFERROR($H137/$H$44,0)</f>
        <v>0</v>
      </c>
      <c r="BF137" s="3719" t="n">
        <f t="array" ref="BF137">IFERROR(($H137/12)/1650,0)</f>
        <v>0</v>
      </c>
    </row>
    <row r="138" s="1168" customFormat="1" ht="15" customHeight="1">
      <c r="A138" s="101" t="n"/>
      <c r="B138" s="1185" t="n"/>
      <c r="E138" s="3583" t="n"/>
      <c r="F138" s="1172" t="n"/>
      <c r="G138" s="1283" t="inlineStr">
        <is>
          <t xml:space="preserve">Bonuses - Adv</t>
        </is>
      </c>
      <c r="H138" s="3718">
        <f>J138*$I$14</f>
        <v>0</v>
      </c>
      <c r="I138" s="1514">
        <f>IFERROR(H138/$H$44,0)</f>
        <v>0</v>
      </c>
      <c r="J138" s="3719">
        <v>0</v>
      </c>
      <c r="K138" s="1172" t="n"/>
      <c r="L138" s="3732">
        <f>N138*$M$14</f>
        <v>0</v>
      </c>
      <c r="M138" s="1516">
        <f>IFERROR(L138/$L$44,0)</f>
        <v>0</v>
      </c>
      <c r="N138" s="3719">
        <f>J138*(1+$L$6)</f>
        <v>0</v>
      </c>
      <c r="P138" s="3732">
        <f>R138*$Q$14</f>
        <v>0</v>
      </c>
      <c r="Q138" s="1516">
        <f>IFERROR(P138/$P$44,0)</f>
        <v>0</v>
      </c>
      <c r="R138" s="3719">
        <f>N138*(1+$L$6)</f>
        <v>0</v>
      </c>
      <c r="T138" s="3732">
        <f>V138*$U$14</f>
        <v>0</v>
      </c>
      <c r="U138" s="1516">
        <f>IFERROR(T138/$T$44,0)</f>
        <v>0</v>
      </c>
      <c r="V138" s="3719">
        <f>R138*(1+$L$6)</f>
        <v>0</v>
      </c>
      <c r="X138" s="3732">
        <f>Z138*$Y$14</f>
        <v>0</v>
      </c>
      <c r="Y138" s="1516">
        <f>IFERROR(X138/$X$44,0)</f>
        <v>0</v>
      </c>
      <c r="Z138" s="3719">
        <f>V138*(1+$L$6)</f>
        <v>0</v>
      </c>
      <c r="AB138" s="3732">
        <f>AD138*$AC$14</f>
        <v>0</v>
      </c>
      <c r="AC138" s="1516">
        <f>IFERROR(AB138/$AB$44,0)</f>
        <v>0</v>
      </c>
      <c r="AD138" s="3719">
        <f>Z138*(1+$L$6)</f>
        <v>0</v>
      </c>
      <c r="AF138" s="3732">
        <f>AH138*$AG$14</f>
        <v>0</v>
      </c>
      <c r="AG138" s="1516">
        <f>IFERROR(AF138/$AF$44,0)</f>
        <v>0</v>
      </c>
      <c r="AH138" s="3719">
        <f>AD138*(1+$L$6)</f>
        <v>0</v>
      </c>
      <c r="AJ138" s="3732">
        <f>AL138*$AK$14</f>
        <v>0</v>
      </c>
      <c r="AK138" s="1516">
        <f>IFERROR(AJ138/$AJ$44,0)</f>
        <v>0</v>
      </c>
      <c r="AL138" s="3719">
        <f>AH138*(1+$L$6)</f>
        <v>0</v>
      </c>
      <c r="AN138" s="3732">
        <f>AP138*$AO$14</f>
        <v>0</v>
      </c>
      <c r="AO138" s="1516">
        <f>IFERROR(AN138/$AN$44,0)</f>
        <v>0</v>
      </c>
      <c r="AP138" s="3719">
        <f>AL138*(1+$L$6)</f>
        <v>0</v>
      </c>
      <c r="AR138" s="3732">
        <f>AT138*$AS$14</f>
        <v>0</v>
      </c>
      <c r="AS138" s="1516">
        <f>IFERROR(AR138/$AR$44,0)</f>
        <v>0</v>
      </c>
      <c r="AT138" s="3719">
        <f>AP138*(1+$L$6)</f>
        <v>0</v>
      </c>
      <c r="AV138" s="3732">
        <f>AX138*$AW$14</f>
        <v>0</v>
      </c>
      <c r="AW138" s="1516">
        <f>IFERROR(AV138/$AV$44,0)</f>
        <v>0</v>
      </c>
      <c r="AX138" s="3719">
        <f>AT138*(1+$L$6)</f>
        <v>0</v>
      </c>
      <c r="AZ138" s="3732">
        <f>BB138*$BA$14</f>
        <v>0</v>
      </c>
      <c r="BA138" s="1516">
        <f>IFERROR(AZ138/$AZ$44,0)</f>
        <v>0</v>
      </c>
      <c r="BB138" s="3719">
        <f>AX138*(1+$L$6)</f>
        <v>0</v>
      </c>
      <c r="BC138" s="1426" t="n"/>
      <c r="BD138" s="3718" t="n">
        <f t="array" ref="BD138">IFERROR($H138/12,0)</f>
        <v>0</v>
      </c>
      <c r="BE138" s="1516" t="n">
        <f t="array" ref="BE138">IFERROR($H138/$H$44,0)</f>
        <v>0</v>
      </c>
      <c r="BF138" s="3719" t="n">
        <f t="array" ref="BF138">IFERROR(($H138/12)/1650,0)</f>
        <v>0</v>
      </c>
    </row>
    <row r="139" s="1168" customFormat="1" ht="15" customHeight="1">
      <c r="A139" s="101" t="n"/>
      <c r="B139" s="1185" t="n"/>
      <c r="E139" s="3583" t="n"/>
      <c r="F139" s="1172" t="n"/>
      <c r="G139" s="1283" t="inlineStr">
        <is>
          <t xml:space="preserve">Incentive Rooms</t>
        </is>
      </c>
      <c r="H139" s="3718">
        <f>J139*$I$14</f>
        <v>0</v>
      </c>
      <c r="I139" s="1514">
        <f>IFERROR(H139/$H$44,0)</f>
        <v>0</v>
      </c>
      <c r="J139" s="3719">
        <v>0</v>
      </c>
      <c r="K139" s="1172" t="n"/>
      <c r="L139" s="3732">
        <f>N139*$M$14</f>
        <v>0</v>
      </c>
      <c r="M139" s="1516">
        <f>IFERROR(L139/$L$44,0)</f>
        <v>0</v>
      </c>
      <c r="N139" s="3719">
        <f>J139*(1+$L$6)</f>
        <v>0</v>
      </c>
      <c r="P139" s="3732">
        <f>R139*$Q$14</f>
        <v>0</v>
      </c>
      <c r="Q139" s="1516">
        <f>IFERROR(P139/$P$44,0)</f>
        <v>0</v>
      </c>
      <c r="R139" s="3719">
        <f>N139*(1+$L$6)</f>
        <v>0</v>
      </c>
      <c r="T139" s="3732">
        <f>V139*$U$14</f>
        <v>0</v>
      </c>
      <c r="U139" s="1516">
        <f>IFERROR(T139/$T$44,0)</f>
        <v>0</v>
      </c>
      <c r="V139" s="3719">
        <f>R139*(1+$L$6)</f>
        <v>0</v>
      </c>
      <c r="X139" s="3732">
        <f>Z139*$Y$14</f>
        <v>0</v>
      </c>
      <c r="Y139" s="1516">
        <f>IFERROR(X139/$X$44,0)</f>
        <v>0</v>
      </c>
      <c r="Z139" s="3719">
        <f>V139*(1+$L$6)</f>
        <v>0</v>
      </c>
      <c r="AB139" s="3732">
        <f>AD139*$AC$14</f>
        <v>0</v>
      </c>
      <c r="AC139" s="1516">
        <f>IFERROR(AB139/$AB$44,0)</f>
        <v>0</v>
      </c>
      <c r="AD139" s="3719">
        <f>Z139*(1+$L$6)</f>
        <v>0</v>
      </c>
      <c r="AF139" s="3732">
        <f>AH139*$AG$14</f>
        <v>0</v>
      </c>
      <c r="AG139" s="1516">
        <f>IFERROR(AF139/$AF$44,0)</f>
        <v>0</v>
      </c>
      <c r="AH139" s="3719">
        <f>AD139*(1+$L$6)</f>
        <v>0</v>
      </c>
      <c r="AJ139" s="3732">
        <f>AL139*$AK$14</f>
        <v>0</v>
      </c>
      <c r="AK139" s="1516">
        <f>IFERROR(AJ139/$AJ$44,0)</f>
        <v>0</v>
      </c>
      <c r="AL139" s="3719">
        <f>AH139*(1+$L$6)</f>
        <v>0</v>
      </c>
      <c r="AN139" s="3732">
        <f>AP139*$AO$14</f>
        <v>0</v>
      </c>
      <c r="AO139" s="1516">
        <f>IFERROR(AN139/$AN$44,0)</f>
        <v>0</v>
      </c>
      <c r="AP139" s="3719">
        <f>AL139*(1+$L$6)</f>
        <v>0</v>
      </c>
      <c r="AR139" s="3732">
        <f>AT139*$AS$14</f>
        <v>0</v>
      </c>
      <c r="AS139" s="1516">
        <f>IFERROR(AR139/$AR$44,0)</f>
        <v>0</v>
      </c>
      <c r="AT139" s="3719">
        <f>AP139*(1+$L$6)</f>
        <v>0</v>
      </c>
      <c r="AV139" s="3732">
        <f>AX139*$AW$14</f>
        <v>0</v>
      </c>
      <c r="AW139" s="1516">
        <f>IFERROR(AV139/$AV$44,0)</f>
        <v>0</v>
      </c>
      <c r="AX139" s="3719">
        <f>AT139*(1+$L$6)</f>
        <v>0</v>
      </c>
      <c r="AZ139" s="3732">
        <f>BB139*$BA$14</f>
        <v>0</v>
      </c>
      <c r="BA139" s="1516">
        <f>IFERROR(AZ139/$AZ$44,0)</f>
        <v>0</v>
      </c>
      <c r="BB139" s="3719">
        <f>AX139*(1+$L$6)</f>
        <v>0</v>
      </c>
      <c r="BC139" s="1426" t="n"/>
      <c r="BD139" s="3718" t="n">
        <f t="array" ref="BD139">IFERROR($H139/12,0)</f>
        <v>0</v>
      </c>
      <c r="BE139" s="1516" t="n">
        <f t="array" ref="BE139">IFERROR($H139/$H$44,0)</f>
        <v>0</v>
      </c>
      <c r="BF139" s="3719" t="n">
        <f t="array" ref="BF139">IFERROR(($H139/12)/1650,0)</f>
        <v>0</v>
      </c>
    </row>
    <row r="140" s="1168" customFormat="1" ht="15" customHeight="1">
      <c r="E140" s="3583" t="n"/>
      <c r="F140" s="1172" t="n"/>
      <c r="G140" s="1325" t="inlineStr">
        <is>
          <t xml:space="preserve">X- mass Bonus- Employees</t>
        </is>
      </c>
      <c r="H140" s="3718">
        <f>J140*$I$14</f>
        <v>0</v>
      </c>
      <c r="I140" s="1514">
        <f>IFERROR(H140/$H$44,0)</f>
        <v>0</v>
      </c>
      <c r="J140" s="3719">
        <v>0</v>
      </c>
      <c r="K140" s="1172" t="n"/>
      <c r="L140" s="3732">
        <f>N140*$M$14</f>
        <v>0</v>
      </c>
      <c r="M140" s="1516">
        <f>IFERROR(L140/$L$44,0)</f>
        <v>0</v>
      </c>
      <c r="N140" s="3719">
        <f>J140*(1+$L$6)</f>
        <v>0</v>
      </c>
      <c r="P140" s="3732">
        <f>R140*$Q$14</f>
        <v>0</v>
      </c>
      <c r="Q140" s="1516">
        <f>IFERROR(P140/$P$44,0)</f>
        <v>0</v>
      </c>
      <c r="R140" s="3719">
        <f>N140*(1+$L$6)</f>
        <v>0</v>
      </c>
      <c r="T140" s="3732">
        <f>V140*$U$14</f>
        <v>0</v>
      </c>
      <c r="U140" s="1516">
        <f>IFERROR(T140/$T$44,0)</f>
        <v>0</v>
      </c>
      <c r="V140" s="3719">
        <f>R140*(1+$L$6)</f>
        <v>0</v>
      </c>
      <c r="X140" s="3732">
        <f>Z140*$Y$14</f>
        <v>0</v>
      </c>
      <c r="Y140" s="1516">
        <f>IFERROR(X140/$X$44,0)</f>
        <v>0</v>
      </c>
      <c r="Z140" s="3719">
        <f>V140*(1+$L$6)</f>
        <v>0</v>
      </c>
      <c r="AB140" s="3732">
        <f>AD140*$AC$14</f>
        <v>0</v>
      </c>
      <c r="AC140" s="1516">
        <f>IFERROR(AB140/$AB$44,0)</f>
        <v>0</v>
      </c>
      <c r="AD140" s="3719">
        <f>Z140*(1+$L$6)</f>
        <v>0</v>
      </c>
      <c r="AF140" s="3732">
        <f>AH140*$AG$14</f>
        <v>0</v>
      </c>
      <c r="AG140" s="1516">
        <f>IFERROR(AF140/$AF$44,0)</f>
        <v>0</v>
      </c>
      <c r="AH140" s="3719">
        <f>AD140*(1+$L$6)</f>
        <v>0</v>
      </c>
      <c r="AJ140" s="3732">
        <f>AL140*$AK$14</f>
        <v>0</v>
      </c>
      <c r="AK140" s="1516">
        <f>IFERROR(AJ140/$AJ$44,0)</f>
        <v>0</v>
      </c>
      <c r="AL140" s="3719">
        <f>AH140*(1+$L$6)</f>
        <v>0</v>
      </c>
      <c r="AN140" s="3732">
        <f>AP140*$AO$14</f>
        <v>0</v>
      </c>
      <c r="AO140" s="1516">
        <f>IFERROR(AN140/$AN$44,0)</f>
        <v>0</v>
      </c>
      <c r="AP140" s="3719">
        <f>AL140*(1+$L$6)</f>
        <v>0</v>
      </c>
      <c r="AR140" s="3732">
        <f>AT140*$AS$14</f>
        <v>0</v>
      </c>
      <c r="AS140" s="1516">
        <f>IFERROR(AR140/$AR$44,0)</f>
        <v>0</v>
      </c>
      <c r="AT140" s="3719">
        <f>AP140*(1+$L$6)</f>
        <v>0</v>
      </c>
      <c r="AV140" s="3732">
        <f>AX140*$AW$14</f>
        <v>0</v>
      </c>
      <c r="AW140" s="1516">
        <f>IFERROR(AV140/$AV$44,0)</f>
        <v>0</v>
      </c>
      <c r="AX140" s="3719">
        <f>AT140*(1+$L$6)</f>
        <v>0</v>
      </c>
      <c r="AZ140" s="3732">
        <f>BB140*$BA$14</f>
        <v>0</v>
      </c>
      <c r="BA140" s="1516">
        <f>IFERROR(AZ140/$AZ$44,0)</f>
        <v>0</v>
      </c>
      <c r="BB140" s="3719">
        <f>AX140*(1+$L$6)</f>
        <v>0</v>
      </c>
      <c r="BC140" s="1426" t="n"/>
      <c r="BD140" s="3718" t="n">
        <f t="array" ref="BD140">IFERROR($H140/12,0)</f>
        <v>0</v>
      </c>
      <c r="BE140" s="1516" t="n">
        <f t="array" ref="BE140">IFERROR($H140/$H$44,0)</f>
        <v>0</v>
      </c>
      <c r="BF140" s="3719" t="n">
        <f t="array" ref="BF140">IFERROR(($H140/12)/1650,0)</f>
        <v>0</v>
      </c>
    </row>
    <row r="141" s="1168" customFormat="1" ht="15" customHeight="1">
      <c r="E141" s="3583" t="n"/>
      <c r="F141" s="1172" t="n"/>
      <c r="G141" s="1541" t="inlineStr">
        <is>
          <t xml:space="preserve">Insurance</t>
        </is>
      </c>
      <c r="H141" s="3733">
        <f>J141*$I$14</f>
        <v>20013.25</v>
      </c>
      <c r="I141" s="1543">
        <f>IFERROR(H141/$H$44,0)</f>
        <v>0.0134719464172</v>
      </c>
      <c r="J141" s="3734">
        <v>0.996924034869</v>
      </c>
      <c r="K141" s="1172" t="n"/>
      <c r="L141" s="3732">
        <f>N141*$M$14</f>
        <v>23888.5429545</v>
      </c>
      <c r="M141" s="1516">
        <f>IFERROR(L141/$L$44,0)</f>
        <v>0.0133398685111</v>
      </c>
      <c r="N141" s="3719">
        <f>J141*(1+$L$6)</f>
        <v>1.00689327522</v>
      </c>
      <c r="P141" s="3732">
        <f>R141*$Q$14</f>
        <v>26725.7668255</v>
      </c>
      <c r="Q141" s="1516">
        <f>IFERROR(P141/$P$44,0)</f>
        <v>0.0132090854865</v>
      </c>
      <c r="R141" s="3719">
        <f>N141*(1+$L$6)</f>
        <v>1.01696220797</v>
      </c>
      <c r="T141" s="3732">
        <f>V141*$U$14</f>
        <v>26993.0244937</v>
      </c>
      <c r="U141" s="1516">
        <f>IFERROR(T141/$T$44,0)</f>
        <v>0.0130795846484</v>
      </c>
      <c r="V141" s="3719">
        <f>R141*(1+$L$6)</f>
        <v>1.02713183005</v>
      </c>
      <c r="X141" s="3732">
        <f>Z141*$Y$14</f>
        <v>27262.9547386</v>
      </c>
      <c r="Y141" s="1516">
        <f>IFERROR(X141/$X$44,0)</f>
        <v>0.0129513534263</v>
      </c>
      <c r="Z141" s="3719">
        <f>V141*(1+$L$6)</f>
        <v>1.03740314835</v>
      </c>
      <c r="AB141" s="3732">
        <f>AD141*$AC$14</f>
        <v>27535.584286</v>
      </c>
      <c r="AC141" s="1516">
        <f>IFERROR(AB141/$AB$44,0)</f>
        <v>0.0128243793731</v>
      </c>
      <c r="AD141" s="3719">
        <f>Z141*(1+$L$6)</f>
        <v>1.04777717983</v>
      </c>
      <c r="AF141" s="3732">
        <f>AH141*$AG$14</f>
        <v>27810.9401289</v>
      </c>
      <c r="AG141" s="1516">
        <f>IFERROR(AF141/$AF$44,0)</f>
        <v>0.0126986501636</v>
      </c>
      <c r="AH141" s="3719">
        <f>AD141*(1+$L$6)</f>
        <v>1.05825495163</v>
      </c>
      <c r="AJ141" s="3732">
        <f>AL141*$AK$14</f>
        <v>28089.0495302</v>
      </c>
      <c r="AK141" s="1516">
        <f>IFERROR(AJ141/$AJ$44,0)</f>
        <v>0.0125741535934</v>
      </c>
      <c r="AL141" s="3719">
        <f>AH141*(1+$L$6)</f>
        <v>1.06883750115</v>
      </c>
      <c r="AN141" s="3732">
        <f>AP141*$AO$14</f>
        <v>28369.9400255</v>
      </c>
      <c r="AO141" s="1516">
        <f>IFERROR(AN141/$AN$44,0)</f>
        <v>0.0124508775777</v>
      </c>
      <c r="AP141" s="3719">
        <f>AL141*(1+$L$6)</f>
        <v>1.07952587616</v>
      </c>
      <c r="AR141" s="3732">
        <f>AT141*$AS$14</f>
        <v>28653.6394257</v>
      </c>
      <c r="AS141" s="1516">
        <f>IFERROR(AR141/$AR$44,0)</f>
        <v>0.0123288101505</v>
      </c>
      <c r="AT141" s="3719">
        <f>AP141*(1+$L$6)</f>
        <v>1.09032113492</v>
      </c>
      <c r="AV141" s="3732">
        <f>AX141*$AW$14</f>
        <v>28940.17582</v>
      </c>
      <c r="AW141" s="1516">
        <f>IFERROR(AV141/$AV$44,0)</f>
        <v>0.012452098252</v>
      </c>
      <c r="AX141" s="3719">
        <f>AT141*(1+$L$6)</f>
        <v>1.10122434627</v>
      </c>
      <c r="AZ141" s="3732">
        <f>BB141*$BA$14</f>
        <v>29229.5775782</v>
      </c>
      <c r="BA141" s="1516">
        <f>IFERROR(AZ141/$AZ$44,0)</f>
        <v>0.0125766192345</v>
      </c>
      <c r="BB141" s="3719">
        <f>AX141*(1+$L$6)</f>
        <v>1.11223658973</v>
      </c>
      <c r="BC141" s="1426" t="n"/>
      <c r="BD141" s="3718" t="n">
        <f t="array" ref="BD141">IFERROR($H141/12,0)</f>
        <v>1667.7708333333333</v>
      </c>
      <c r="BE141" s="1516" t="n">
        <f t="array" ref="BE141">IFERROR($H141/$H$44,0)</f>
        <v>0.013471946417151897</v>
      </c>
      <c r="BF141" s="3719" t="n">
        <f t="array" ref="BF141">IFERROR(($H141/12)/1650,0)</f>
        <v>1.010770202020202</v>
      </c>
    </row>
    <row r="142" s="1168" customFormat="1" ht="15" customHeight="1">
      <c r="E142" s="3583" t="n"/>
      <c r="F142" s="1172" t="n"/>
      <c r="G142" s="1376" t="inlineStr">
        <is>
          <t xml:space="preserve">TBA</t>
        </is>
      </c>
      <c r="H142" s="3718">
        <f>J142*$I$14</f>
        <v>0</v>
      </c>
      <c r="I142" s="1514">
        <f>IFERROR(H142/$H$44,0)</f>
        <v>0</v>
      </c>
      <c r="J142" s="3719">
        <v>0</v>
      </c>
      <c r="K142" s="1172" t="n"/>
      <c r="L142" s="3732">
        <f>N142*$M$14</f>
        <v>0</v>
      </c>
      <c r="M142" s="1516">
        <f>IFERROR(L142/$L$44,0)</f>
        <v>0</v>
      </c>
      <c r="N142" s="3719">
        <f>J142*(1+$L$6)</f>
        <v>0</v>
      </c>
      <c r="P142" s="3732">
        <f>R142*$Q$14</f>
        <v>0</v>
      </c>
      <c r="Q142" s="1516">
        <f>IFERROR(P142/$P$44,0)</f>
        <v>0</v>
      </c>
      <c r="R142" s="3719">
        <f>N142*(1+$L$6)</f>
        <v>0</v>
      </c>
      <c r="T142" s="3732">
        <f>V142*$U$14</f>
        <v>0</v>
      </c>
      <c r="U142" s="1516">
        <f>IFERROR(T142/$T$44,0)</f>
        <v>0</v>
      </c>
      <c r="V142" s="3719">
        <f>R142*(1+$L$6)</f>
        <v>0</v>
      </c>
      <c r="X142" s="3732">
        <f>Z142*$Y$14</f>
        <v>0</v>
      </c>
      <c r="Y142" s="1516">
        <f>IFERROR(X142/$X$44,0)</f>
        <v>0</v>
      </c>
      <c r="Z142" s="3719">
        <f>V142*(1+$L$6)</f>
        <v>0</v>
      </c>
      <c r="AB142" s="3732">
        <f>AD142*$AC$14</f>
        <v>0</v>
      </c>
      <c r="AC142" s="1516">
        <f>IFERROR(AB142/$AB$44,0)</f>
        <v>0</v>
      </c>
      <c r="AD142" s="3719">
        <f>Z142*(1+$L$6)</f>
        <v>0</v>
      </c>
      <c r="AF142" s="3732">
        <f>AH142*$AG$14</f>
        <v>0</v>
      </c>
      <c r="AG142" s="1516">
        <f>IFERROR(AF142/$AF$44,0)</f>
        <v>0</v>
      </c>
      <c r="AH142" s="3719">
        <f>AD142*(1+$L$6)</f>
        <v>0</v>
      </c>
      <c r="AJ142" s="3732">
        <f>AL142*$AK$14</f>
        <v>0</v>
      </c>
      <c r="AK142" s="1516">
        <f>IFERROR(AJ142/$AJ$44,0)</f>
        <v>0</v>
      </c>
      <c r="AL142" s="3719">
        <f>AH142*(1+$L$6)</f>
        <v>0</v>
      </c>
      <c r="AN142" s="3732">
        <f>AP142*$AO$14</f>
        <v>0</v>
      </c>
      <c r="AO142" s="1516">
        <f>IFERROR(AN142/$AN$44,0)</f>
        <v>0</v>
      </c>
      <c r="AP142" s="3719">
        <f>AL142*(1+$L$6)</f>
        <v>0</v>
      </c>
      <c r="AR142" s="3732">
        <f>AT142*$AS$14</f>
        <v>0</v>
      </c>
      <c r="AS142" s="1516">
        <f>IFERROR(AR142/$AR$44,0)</f>
        <v>0</v>
      </c>
      <c r="AT142" s="3719">
        <f>AP142*(1+$L$6)</f>
        <v>0</v>
      </c>
      <c r="AV142" s="3732">
        <f>AX142*$AW$14</f>
        <v>0</v>
      </c>
      <c r="AW142" s="1516">
        <f>IFERROR(AV142/$AV$44,0)</f>
        <v>0</v>
      </c>
      <c r="AX142" s="3719">
        <f>AT142*(1+$L$6)</f>
        <v>0</v>
      </c>
      <c r="AZ142" s="3732">
        <f>BB142*$BA$14</f>
        <v>0</v>
      </c>
      <c r="BA142" s="1516">
        <f>IFERROR(AZ142/$AZ$44,0)</f>
        <v>0</v>
      </c>
      <c r="BB142" s="3719">
        <f>AX142*(1+$L$6)</f>
        <v>0</v>
      </c>
      <c r="BC142" s="1426" t="n"/>
      <c r="BD142" s="3718" t="n">
        <f t="array" ref="BD142">IFERROR($H142/12,0)</f>
        <v>0</v>
      </c>
      <c r="BE142" s="1516" t="n">
        <f t="array" ref="BE142">IFERROR($H142/$H$44,0)</f>
        <v>0</v>
      </c>
      <c r="BF142" s="3719" t="n">
        <f t="array" ref="BF142">IFERROR(($H142/12)/1650,0)</f>
        <v>0</v>
      </c>
    </row>
    <row r="143" s="1168" customFormat="1" ht="15.75" customHeight="1">
      <c r="E143" s="3583" t="n"/>
      <c r="F143" s="1172" t="n"/>
      <c r="G143" s="1415" t="inlineStr">
        <is>
          <t xml:space="preserve">TBA</t>
        </is>
      </c>
      <c r="H143" s="3721">
        <f>J143*$I$14</f>
        <v>0</v>
      </c>
      <c r="I143" s="1520">
        <f>IFERROR(H143/$H$44,0)</f>
        <v>0</v>
      </c>
      <c r="J143" s="3722">
        <v>0</v>
      </c>
      <c r="K143" s="1172" t="n"/>
      <c r="L143" s="3735">
        <f>N143*$M$14</f>
        <v>0</v>
      </c>
      <c r="M143" s="1522">
        <f>IFERROR(L143/$L$44,0)</f>
        <v>0</v>
      </c>
      <c r="N143" s="3722">
        <f>J143*(1+$L$6)</f>
        <v>0</v>
      </c>
      <c r="P143" s="3735">
        <f>R143*$Q$14</f>
        <v>0</v>
      </c>
      <c r="Q143" s="1522">
        <f>IFERROR(P143/$P$44,0)</f>
        <v>0</v>
      </c>
      <c r="R143" s="3722">
        <f>N143*(1+$L$6)</f>
        <v>0</v>
      </c>
      <c r="T143" s="3735">
        <f>V143*$U$14</f>
        <v>0</v>
      </c>
      <c r="U143" s="1522">
        <f>IFERROR(T143/$T$44,0)</f>
        <v>0</v>
      </c>
      <c r="V143" s="3722">
        <f>R143*(1+$L$6)</f>
        <v>0</v>
      </c>
      <c r="X143" s="3735">
        <f>Z143*$Y$14</f>
        <v>0</v>
      </c>
      <c r="Y143" s="1522">
        <f>IFERROR(X143/$X$44,0)</f>
        <v>0</v>
      </c>
      <c r="Z143" s="3722">
        <f>V143*(1+$L$6)</f>
        <v>0</v>
      </c>
      <c r="AB143" s="3735">
        <f>AD143*$AC$14</f>
        <v>0</v>
      </c>
      <c r="AC143" s="1522">
        <f>IFERROR(AB143/$AB$44,0)</f>
        <v>0</v>
      </c>
      <c r="AD143" s="3722">
        <f>Z143*(1+$L$6)</f>
        <v>0</v>
      </c>
      <c r="AF143" s="3735">
        <f>AH143*$AG$14</f>
        <v>0</v>
      </c>
      <c r="AG143" s="1522">
        <f>IFERROR(AF143/$AF$44,0)</f>
        <v>0</v>
      </c>
      <c r="AH143" s="3722">
        <f>AD143*(1+$L$6)</f>
        <v>0</v>
      </c>
      <c r="AJ143" s="3735">
        <f>AL143*$AK$14</f>
        <v>0</v>
      </c>
      <c r="AK143" s="1522">
        <f>IFERROR(AJ143/$AJ$44,0)</f>
        <v>0</v>
      </c>
      <c r="AL143" s="3722">
        <f>AH143*(1+$L$6)</f>
        <v>0</v>
      </c>
      <c r="AN143" s="3735">
        <f>AP143*$AO$14</f>
        <v>0</v>
      </c>
      <c r="AO143" s="1522">
        <f>IFERROR(AN143/$AN$44,0)</f>
        <v>0</v>
      </c>
      <c r="AP143" s="3722">
        <f>AL143*(1+$L$6)</f>
        <v>0</v>
      </c>
      <c r="AR143" s="3735">
        <f>AT143*$AS$14</f>
        <v>0</v>
      </c>
      <c r="AS143" s="1522">
        <f>IFERROR(AR143/$AR$44,0)</f>
        <v>0</v>
      </c>
      <c r="AT143" s="3722">
        <f>AP143*(1+$L$6)</f>
        <v>0</v>
      </c>
      <c r="AV143" s="3735">
        <f>AX143*$AW$14</f>
        <v>0</v>
      </c>
      <c r="AW143" s="1522">
        <f>IFERROR(AV143/$AV$44,0)</f>
        <v>0</v>
      </c>
      <c r="AX143" s="3722">
        <f>AT143*(1+$L$6)</f>
        <v>0</v>
      </c>
      <c r="AZ143" s="3735">
        <f>BB143*$BA$14</f>
        <v>0</v>
      </c>
      <c r="BA143" s="1522">
        <f>IFERROR(AZ143/$AZ$44,0)</f>
        <v>0</v>
      </c>
      <c r="BB143" s="3722">
        <f>AX143*(1+$L$6)</f>
        <v>0</v>
      </c>
      <c r="BC143" s="1426" t="n"/>
      <c r="BD143" s="3721" t="n">
        <f t="array" ref="BD143">IFERROR($H143/12,0)</f>
        <v>0</v>
      </c>
      <c r="BE143" s="1522" t="n">
        <f t="array" ref="BE143">IFERROR($H143/$H$44,0)</f>
        <v>0</v>
      </c>
      <c r="BF143" s="3722" t="n">
        <f t="array" ref="BF143">IFERROR(($H143/12)/1650,0)</f>
        <v>0</v>
      </c>
    </row>
    <row r="144" s="1168" customFormat="1" ht="13.5" customHeight="1">
      <c r="E144" s="3583" t="n"/>
      <c r="F144" s="1172" t="n"/>
      <c r="G144" s="1458" t="inlineStr">
        <is>
          <t xml:space="preserve">Total Other Payroll Costs</t>
        </is>
      </c>
      <c r="H144" s="3601">
        <f>SUM(H134:H143)</f>
        <v>33813.25</v>
      </c>
      <c r="I144" s="1316">
        <f>SUM(I134:I143)</f>
        <v>0.0227614351587</v>
      </c>
      <c r="J144" s="3602">
        <f>SUM(J134:J143)</f>
        <v>1.68434620174</v>
      </c>
      <c r="K144" s="1172" t="n"/>
      <c r="L144" s="3603">
        <f>SUM(L134:L143)</f>
        <v>40360.7247727</v>
      </c>
      <c r="M144" s="1319">
        <f>SUM(M134:M143)</f>
        <v>0.0225382838336</v>
      </c>
      <c r="N144" s="3602">
        <f>SUM(N134:N143)</f>
        <v>1.70118966376</v>
      </c>
      <c r="P144" s="3603">
        <f>SUM(P134:P143)</f>
        <v>45154.3370073</v>
      </c>
      <c r="Q144" s="1319">
        <f>SUM(Q134:Q143)</f>
        <v>0.0223173202666</v>
      </c>
      <c r="R144" s="3602">
        <f>SUM(R134:R143)</f>
        <v>1.7182015604</v>
      </c>
      <c r="T144" s="3603">
        <f>SUM(T134:T143)</f>
        <v>45605.8803773</v>
      </c>
      <c r="U144" s="1319">
        <f>SUM(U134:U143)</f>
        <v>0.0220985230091</v>
      </c>
      <c r="V144" s="3602">
        <f>SUM(V134:V143)</f>
        <v>1.735383576</v>
      </c>
      <c r="X144" s="3603">
        <f>SUM(X134:X143)</f>
        <v>46061.9391811</v>
      </c>
      <c r="Y144" s="1319">
        <f>SUM(Y134:Y143)</f>
        <v>0.0218818708227</v>
      </c>
      <c r="Z144" s="3602">
        <f>SUM(Z134:Z143)</f>
        <v>1.75273741176</v>
      </c>
      <c r="AB144" s="3603">
        <f>SUM(AB134:AB143)</f>
        <v>46522.5585729</v>
      </c>
      <c r="AC144" s="1319">
        <f>SUM(AC134:AC143)</f>
        <v>0.0216673426774</v>
      </c>
      <c r="AD144" s="3602">
        <f>SUM(AD134:AD143)</f>
        <v>1.77026478588</v>
      </c>
      <c r="AF144" s="3603">
        <f>SUM(AF134:AF143)</f>
        <v>46987.7841587</v>
      </c>
      <c r="AG144" s="1319">
        <f>SUM(AG134:AG143)</f>
        <v>0.0214549177492</v>
      </c>
      <c r="AH144" s="3602">
        <f>SUM(AH134:AH143)</f>
        <v>1.78796743374</v>
      </c>
      <c r="AJ144" s="3603">
        <f>SUM(AJ134:AJ143)</f>
        <v>47457.6620002</v>
      </c>
      <c r="AK144" s="1319">
        <f>SUM(AK134:AK143)</f>
        <v>0.0212445754183</v>
      </c>
      <c r="AL144" s="3602">
        <f>SUM(AL134:AL143)</f>
        <v>1.80584710808</v>
      </c>
      <c r="AN144" s="3603">
        <f>SUM(AN134:AN143)</f>
        <v>47932.2386202</v>
      </c>
      <c r="AO144" s="1319">
        <f>SUM(AO134:AO143)</f>
        <v>0.0210362952672</v>
      </c>
      <c r="AP144" s="3602">
        <f>SUM(AP134:AP143)</f>
        <v>1.82390557916</v>
      </c>
      <c r="AR144" s="3603">
        <f>SUM(AR134:AR143)</f>
        <v>48411.5610065</v>
      </c>
      <c r="AS144" s="1319">
        <f>SUM(AS134:AS143)</f>
        <v>0.0208300570783</v>
      </c>
      <c r="AT144" s="3602">
        <f>SUM(AT134:AT143)</f>
        <v>1.84214463495</v>
      </c>
      <c r="AV144" s="3603">
        <f>SUM(AV134:AV143)</f>
        <v>48895.6766165</v>
      </c>
      <c r="AW144" s="1319">
        <f>SUM(AW134:AW143)</f>
        <v>0.0210383576491</v>
      </c>
      <c r="AX144" s="3602">
        <f>SUM(AX134:AX143)</f>
        <v>1.8605660813</v>
      </c>
      <c r="AZ144" s="3603">
        <f>SUM(AZ134:AZ143)</f>
        <v>49384.6333827</v>
      </c>
      <c r="BA144" s="1319">
        <f>SUM(BA134:BA143)</f>
        <v>0.0212487412255</v>
      </c>
      <c r="BB144" s="3602">
        <f>SUM(BB134:BB143)</f>
        <v>1.87917174211</v>
      </c>
      <c r="BD144" s="3603" t="n">
        <f t="array" ref="BD144">IFERROR($H144/12,0)</f>
        <v>2817.7708333333335</v>
      </c>
      <c r="BE144" s="1319">
        <f>H144+L144+P144+T144+X144+AB144+AF144+AJ144+AN144+AR144+AV144+AZ144</f>
        <v>546588.245696</v>
      </c>
      <c r="BF144" s="3602">
        <f>IFERROR(BE144/BE14,0)</f>
        <v>1.78274052738</v>
      </c>
    </row>
    <row r="145" s="1168" customFormat="1" ht="15.75" customHeight="1">
      <c r="E145" s="3583" t="n"/>
      <c r="F145" s="1172" t="n"/>
      <c r="H145" s="3571" t="n"/>
      <c r="I145" s="1460" t="n"/>
      <c r="J145" s="3565" t="n"/>
      <c r="K145" s="1172" t="n"/>
      <c r="L145" s="3566" t="n"/>
      <c r="M145" s="1269" t="n"/>
      <c r="N145" s="1460" t="n"/>
      <c r="P145" s="3571" t="n"/>
      <c r="Q145" s="1460" t="n"/>
      <c r="R145" s="3570" t="n"/>
      <c r="T145" s="3571" t="n"/>
      <c r="U145" s="1269" t="n"/>
      <c r="V145" s="3570" t="n"/>
      <c r="X145" s="3571" t="n"/>
      <c r="Y145" s="1269" t="n"/>
      <c r="Z145" s="3570" t="n"/>
      <c r="AB145" s="3571" t="n"/>
      <c r="AC145" s="1269" t="n"/>
      <c r="AD145" s="3570" t="n"/>
      <c r="AF145" s="3571" t="n"/>
      <c r="AG145" s="1269" t="n"/>
      <c r="AH145" s="3570" t="n"/>
      <c r="AJ145" s="3571" t="n"/>
      <c r="AK145" s="1269" t="n"/>
      <c r="AL145" s="3570" t="n"/>
      <c r="AN145" s="3571" t="n"/>
      <c r="AO145" s="1269" t="n"/>
      <c r="AP145" s="3570" t="n"/>
      <c r="AR145" s="3571" t="n"/>
      <c r="AS145" s="1269" t="n"/>
      <c r="AT145" s="3570" t="n"/>
      <c r="AV145" s="3571" t="n"/>
      <c r="AW145" s="1269" t="n"/>
      <c r="AX145" s="3570" t="n"/>
      <c r="AZ145" s="3571" t="n"/>
      <c r="BA145" s="1269" t="n"/>
      <c r="BB145" s="3570" t="n"/>
      <c r="BD145" s="3571" t="n"/>
      <c r="BE145" s="1269" t="n"/>
      <c r="BF145" s="3570" t="n"/>
    </row>
    <row r="146" s="1168" customFormat="1" ht="13.5" customHeight="1">
      <c r="E146" s="3583" t="n"/>
      <c r="F146" s="1172" t="n"/>
      <c r="G146" s="1458" t="inlineStr">
        <is>
          <t xml:space="preserve">Total Payroll Costs</t>
        </is>
      </c>
      <c r="H146" s="3601">
        <f>SUM(H144,H131,H111)</f>
        <v>292808.25</v>
      </c>
      <c r="I146" s="1316">
        <f>SUM(I111+I131+I144)</f>
        <v>0.197104271145</v>
      </c>
      <c r="J146" s="3602">
        <f>IFERROR(H146/I14,0)</f>
        <v>14.5857160648</v>
      </c>
      <c r="K146" s="1172" t="n"/>
      <c r="L146" s="3601">
        <f>SUM(L144,L131,L111)</f>
        <v>349506.574773</v>
      </c>
      <c r="M146" s="1316">
        <f>SUM(M111+M131+M144)</f>
        <v>0.19517187633</v>
      </c>
      <c r="N146" s="3602">
        <f>IFERROR(L146/M14,0)</f>
        <v>14.7315732254</v>
      </c>
      <c r="P146" s="3601">
        <f>SUM(P144,P131,P111)</f>
        <v>391017.201807</v>
      </c>
      <c r="Q146" s="1316">
        <f>SUM(Q111+Q131+Q144)</f>
        <v>0.193258426562</v>
      </c>
      <c r="R146" s="3602">
        <f>IFERROR(P146/Q14,0)</f>
        <v>14.8788889577</v>
      </c>
      <c r="T146" s="3601">
        <f>SUM(T144,T131,T111)</f>
        <v>394927.373825</v>
      </c>
      <c r="U146" s="1319">
        <f>SUM(U111+U131+U144)</f>
        <v>0.191363736106</v>
      </c>
      <c r="V146" s="3683">
        <f>IFERROR(T146/U14,0)</f>
        <v>15.0276778472</v>
      </c>
      <c r="X146" s="3601">
        <f>SUM(X144,X131,X111)</f>
        <v>398876.647564</v>
      </c>
      <c r="Y146" s="1319">
        <f>SUM(Y111+Y131+Y144)</f>
        <v>0.189487621046</v>
      </c>
      <c r="Z146" s="3683">
        <f>IFERROR(X146/Y14,0)</f>
        <v>15.1779546257</v>
      </c>
      <c r="AB146" s="3601">
        <f>SUM(AB144,AB131,AB111)</f>
        <v>402865.414039</v>
      </c>
      <c r="AC146" s="1319">
        <f>SUM(AC111+AC131+AC144)</f>
        <v>0.187629899271</v>
      </c>
      <c r="AD146" s="3683">
        <f>IFERROR(AB146/AC14,0)</f>
        <v>15.329734172</v>
      </c>
      <c r="AF146" s="3601">
        <f>SUM(AF144,AF131,AF111)</f>
        <v>406894.06818</v>
      </c>
      <c r="AG146" s="1319">
        <f>SUM(AG111+AG131+AG144)</f>
        <v>0.185790390455</v>
      </c>
      <c r="AH146" s="3683">
        <f>IFERROR(AF146/AG14,0)</f>
        <v>15.4830315137</v>
      </c>
      <c r="AJ146" s="3601">
        <f>SUM(AJ144,AJ131,AJ111)</f>
        <v>410963.008861</v>
      </c>
      <c r="AK146" s="1319">
        <f>SUM(AK111+AK131+AK144)</f>
        <v>0.183968916038</v>
      </c>
      <c r="AL146" s="3683">
        <f>IFERROR(AJ146/AK14,0)</f>
        <v>15.6378618288</v>
      </c>
      <c r="AN146" s="3601">
        <f>SUM(AN144,AN131,AN111)</f>
        <v>415072.63895</v>
      </c>
      <c r="AO146" s="1319">
        <f>SUM(AO111+AO131+AO144)</f>
        <v>0.182165299214</v>
      </c>
      <c r="AP146" s="3683">
        <f>IFERROR(AN146/AO14,0)</f>
        <v>15.7942404471</v>
      </c>
      <c r="AR146" s="3601">
        <f>SUM(AR144,AR131,AR111)</f>
        <v>419223.36534</v>
      </c>
      <c r="AS146" s="1319">
        <f>SUM(AS111+AS131+AS144)</f>
        <v>0.180379364908</v>
      </c>
      <c r="AT146" s="3683">
        <f>IFERROR(AR146/AS14,0)</f>
        <v>15.9521828516</v>
      </c>
      <c r="AV146" s="3601">
        <f>SUM(AV144,AV131,AV111)</f>
        <v>423415.598993</v>
      </c>
      <c r="AW146" s="1319">
        <f>SUM(AW111+AW131+AW144)</f>
        <v>0.182183158558</v>
      </c>
      <c r="AX146" s="3683">
        <f>IFERROR(AV146/AW14,0)</f>
        <v>16.1117046801</v>
      </c>
      <c r="AZ146" s="3601">
        <f>SUM(AZ144,AZ131,AZ111)</f>
        <v>427649.754983</v>
      </c>
      <c r="BA146" s="1319">
        <f>SUM(BA111+BA131+BA144)</f>
        <v>0.184004990143</v>
      </c>
      <c r="BB146" s="3683">
        <f>IFERROR(AZ146/BA14,0)</f>
        <v>16.2728217269</v>
      </c>
      <c r="BD146" s="3601" t="n">
        <f t="array" ref="BD146">IFERROR($H146/12,0)</f>
        <v>24400.6875</v>
      </c>
      <c r="BE146" s="1319">
        <f>H146+L146+P146+T146+X146+AB146+AF146+AJ146+AN146+AR146+AV146+AZ146</f>
        <v>4733219.89731</v>
      </c>
      <c r="BF146" s="3683">
        <f>IFERROR(BE146/BE14,0)</f>
        <v>15.4377687453</v>
      </c>
    </row>
    <row r="147" s="1168" customFormat="1" ht="13.5" customHeight="1">
      <c r="A147" s="3445" t="n"/>
      <c r="B147" s="3538" t="n"/>
      <c r="E147" s="3464" t="n"/>
      <c r="F147" s="1172" t="n"/>
      <c r="H147" s="3736" t="n"/>
      <c r="I147" s="901" t="n"/>
      <c r="J147" s="3542" t="n"/>
      <c r="K147" s="1410" t="n"/>
      <c r="L147" s="3737" t="n"/>
      <c r="M147" s="1509" t="n"/>
      <c r="N147" s="1548" t="n"/>
      <c r="O147" s="1476" t="n"/>
      <c r="P147" s="3738" t="n"/>
      <c r="Q147" s="901" t="n"/>
      <c r="R147" s="3739" t="n"/>
      <c r="S147" s="1476" t="n"/>
      <c r="T147" s="3738" t="n"/>
      <c r="U147" s="1509" t="n"/>
      <c r="V147" s="3739" t="n"/>
      <c r="W147" s="1476" t="n"/>
      <c r="X147" s="3738" t="n"/>
      <c r="Y147" s="1509" t="n"/>
      <c r="Z147" s="3739" t="n"/>
      <c r="AA147" s="1476" t="n"/>
      <c r="AB147" s="3738" t="n"/>
      <c r="AC147" s="1509" t="n"/>
      <c r="AD147" s="3739" t="n"/>
      <c r="AE147" s="1476" t="n"/>
      <c r="AF147" s="3738" t="n"/>
      <c r="AG147" s="1509" t="n"/>
      <c r="AH147" s="3739" t="n"/>
      <c r="AI147" s="1476" t="n"/>
      <c r="AJ147" s="3738" t="n"/>
      <c r="AK147" s="1509" t="n"/>
      <c r="AL147" s="3739" t="n"/>
      <c r="AM147" s="1476" t="n"/>
      <c r="AN147" s="3738" t="n"/>
      <c r="AO147" s="1509" t="n"/>
      <c r="AP147" s="3739" t="n"/>
      <c r="AQ147" s="1476" t="n"/>
      <c r="AR147" s="3738" t="n"/>
      <c r="AS147" s="1509" t="n"/>
      <c r="AT147" s="3739" t="n"/>
      <c r="AU147" s="1476" t="n"/>
      <c r="AV147" s="3738" t="n"/>
      <c r="AW147" s="1509" t="n"/>
      <c r="AX147" s="3739" t="n"/>
      <c r="AY147" s="1476" t="n"/>
      <c r="AZ147" s="3738" t="n"/>
      <c r="BA147" s="1509" t="n"/>
      <c r="BB147" s="3543" t="n"/>
      <c r="BC147" s="1413" t="n"/>
      <c r="BD147" s="3740" t="n"/>
      <c r="BE147" s="1509" t="n"/>
      <c r="BF147" s="3739" t="n"/>
      <c r="BG147" s="1476" t="n"/>
    </row>
    <row r="148" s="1168" customFormat="1" ht="15" customHeight="1">
      <c r="E148" s="3583" t="n"/>
      <c r="F148" s="1172" t="n"/>
      <c r="G148" s="1272" t="inlineStr">
        <is>
          <t xml:space="preserve">Administrative &amp; General Expenses</t>
        </is>
      </c>
      <c r="H148" s="3572" t="n"/>
      <c r="I148" s="1323" t="n"/>
      <c r="J148" s="3574" t="n"/>
      <c r="K148" s="1172" t="n"/>
      <c r="L148" s="3575" t="n"/>
      <c r="M148" s="1280" t="n"/>
      <c r="N148" s="1324" t="n"/>
      <c r="P148" s="3572" t="n"/>
      <c r="Q148" s="1323" t="n"/>
      <c r="R148" s="3578" t="n"/>
      <c r="T148" s="3572" t="n"/>
      <c r="U148" s="1280" t="n"/>
      <c r="V148" s="3578" t="n"/>
      <c r="X148" s="3572" t="n"/>
      <c r="Y148" s="1280" t="n"/>
      <c r="Z148" s="3578" t="n"/>
      <c r="AB148" s="3572" t="n"/>
      <c r="AC148" s="1280" t="n"/>
      <c r="AD148" s="3578" t="n"/>
      <c r="AF148" s="3572" t="n"/>
      <c r="AG148" s="1280" t="n"/>
      <c r="AH148" s="3578" t="n"/>
      <c r="AJ148" s="3572" t="n"/>
      <c r="AK148" s="1280" t="n"/>
      <c r="AL148" s="3578" t="n"/>
      <c r="AN148" s="3572" t="n"/>
      <c r="AO148" s="1280" t="n"/>
      <c r="AP148" s="3578" t="n"/>
      <c r="AR148" s="3572" t="n"/>
      <c r="AS148" s="1280" t="n"/>
      <c r="AT148" s="3578" t="n"/>
      <c r="AV148" s="3572" t="n"/>
      <c r="AW148" s="1280" t="n"/>
      <c r="AX148" s="3578" t="n"/>
      <c r="AZ148" s="3572" t="n"/>
      <c r="BA148" s="1280" t="n"/>
      <c r="BB148" s="3578" t="n"/>
      <c r="BD148" s="3572" t="n"/>
      <c r="BE148" s="1280" t="n"/>
      <c r="BF148" s="3578" t="n"/>
    </row>
    <row r="149" s="1168" customFormat="1" ht="15" customHeight="1">
      <c r="E149" s="3583" t="n"/>
      <c r="F149" s="1172" t="n"/>
      <c r="G149" s="1283" t="inlineStr">
        <is>
          <t xml:space="preserve">Meals &amp; Entertainment</t>
        </is>
      </c>
      <c r="H149" s="3586">
        <f>J149*$I$14</f>
        <v>0</v>
      </c>
      <c r="I149" s="1171">
        <f>IFERROR(H149/$H$44,0)</f>
        <v>0</v>
      </c>
      <c r="J149" s="3662">
        <v>0</v>
      </c>
      <c r="K149" s="1172" t="n"/>
      <c r="L149" s="3585">
        <f>N149*$M$14</f>
        <v>0</v>
      </c>
      <c r="M149" s="1289">
        <f>IFERROR(L149/$L$44,0)</f>
        <v>0</v>
      </c>
      <c r="N149" s="3662">
        <f>J149*(1+$L$6)</f>
        <v>0</v>
      </c>
      <c r="P149" s="3586">
        <f>R149*$Q$14</f>
        <v>0</v>
      </c>
      <c r="Q149" s="1292">
        <f>IFERROR(P149/$P$44,0)</f>
        <v>0</v>
      </c>
      <c r="R149" s="3662">
        <f>N149*(1+$L$6)</f>
        <v>0</v>
      </c>
      <c r="T149" s="3586">
        <f>V149*$U$14</f>
        <v>0</v>
      </c>
      <c r="U149" s="1289">
        <f>IFERROR(T149/$T$44,0)</f>
        <v>0</v>
      </c>
      <c r="V149" s="3662">
        <f>R149*(1+$L$6)</f>
        <v>0</v>
      </c>
      <c r="X149" s="3586">
        <f>Z149*$Y$14</f>
        <v>0</v>
      </c>
      <c r="Y149" s="1289">
        <f>IFERROR(X149/$X$44,0)</f>
        <v>0</v>
      </c>
      <c r="Z149" s="3662">
        <f>V149*(1+$L$6)</f>
        <v>0</v>
      </c>
      <c r="AB149" s="3586">
        <f>AD149*$AC$14</f>
        <v>0</v>
      </c>
      <c r="AC149" s="1289">
        <f>IFERROR(AB149/$AB$44,0)</f>
        <v>0</v>
      </c>
      <c r="AD149" s="3662">
        <f>Z149*(1+$L$6)</f>
        <v>0</v>
      </c>
      <c r="AF149" s="3586">
        <f>AH149*$AG$14</f>
        <v>0</v>
      </c>
      <c r="AG149" s="1289">
        <f>IFERROR(AF149/$AF$44,0)</f>
        <v>0</v>
      </c>
      <c r="AH149" s="3662">
        <f>AD149*(1+$L$6)</f>
        <v>0</v>
      </c>
      <c r="AJ149" s="3586">
        <f>AL149*$AK$14</f>
        <v>0</v>
      </c>
      <c r="AK149" s="1289">
        <f>IFERROR(AJ149/$AJ$44,0)</f>
        <v>0</v>
      </c>
      <c r="AL149" s="3662">
        <f>AH149*(1+$L$6)</f>
        <v>0</v>
      </c>
      <c r="AN149" s="3586">
        <f>AP149*$AO$14</f>
        <v>0</v>
      </c>
      <c r="AO149" s="1289">
        <f>IFERROR(AN149/$AN$44,0)</f>
        <v>0</v>
      </c>
      <c r="AP149" s="3662">
        <f>AL149*(1+$L$6)</f>
        <v>0</v>
      </c>
      <c r="AR149" s="3586">
        <f>AT149*$AS$14</f>
        <v>0</v>
      </c>
      <c r="AS149" s="1289">
        <f>IFERROR(AR149/$AR$44,0)</f>
        <v>0</v>
      </c>
      <c r="AT149" s="3662">
        <f>AP149*(1+$L$6)</f>
        <v>0</v>
      </c>
      <c r="AV149" s="3586">
        <f>AX149*$AW$14</f>
        <v>0</v>
      </c>
      <c r="AW149" s="1289">
        <f>IFERROR(AV149/$AV$44,0)</f>
        <v>0</v>
      </c>
      <c r="AX149" s="3662">
        <f>AT149*(1+$L$6)</f>
        <v>0</v>
      </c>
      <c r="AZ149" s="3586">
        <f>BB149*$BA$14</f>
        <v>0</v>
      </c>
      <c r="BA149" s="1289">
        <f>IFERROR(AZ149/$AZ$44,0)</f>
        <v>0</v>
      </c>
      <c r="BB149" s="3662">
        <f>AX149*(1+$L$6)</f>
        <v>0</v>
      </c>
      <c r="BD149" s="3586" t="n">
        <f t="array" ref="BD149">IFERROR($H149/12,0)</f>
        <v>0</v>
      </c>
      <c r="BE149" s="1289" t="n">
        <f t="array" ref="BE149">IFERROR($H149/$H$44,0)</f>
        <v>0</v>
      </c>
      <c r="BF149" s="3662" t="n">
        <f t="array" ref="BF149">IFERROR(($H149/12)/1650,0)</f>
        <v>0</v>
      </c>
    </row>
    <row r="150" s="1168" customFormat="1" ht="15" customHeight="1">
      <c r="E150" s="3583" t="n"/>
      <c r="F150" s="1172" t="n"/>
      <c r="G150" s="1283" t="inlineStr">
        <is>
          <t xml:space="preserve">Employee Training/ GM Confrence/ Shool</t>
        </is>
      </c>
      <c r="H150" s="3586">
        <f>J150*$I$14</f>
        <v>1485.55</v>
      </c>
      <c r="I150" s="1171">
        <f>IFERROR(H150/$H$44,0)</f>
        <v>0.001</v>
      </c>
      <c r="J150" s="3662">
        <v>0.074</v>
      </c>
      <c r="K150" s="1172" t="n"/>
      <c r="L150" s="3585">
        <f>N150*$M$14</f>
        <v>1773.2065</v>
      </c>
      <c r="M150" s="1289">
        <f>IFERROR(L150/$L$44,0)</f>
        <v>0.000990196078431</v>
      </c>
      <c r="N150" s="3662">
        <f>J150*(1+$L$6)</f>
        <v>0.07474</v>
      </c>
      <c r="P150" s="3586">
        <f>R150*$Q$14</f>
        <v>1983.808872</v>
      </c>
      <c r="Q150" s="1292">
        <f>IFERROR(P150/$P$44,0)</f>
        <v>0.000980488273741</v>
      </c>
      <c r="R150" s="3662">
        <f>N150*(1+$L$6)</f>
        <v>0.0754874</v>
      </c>
      <c r="T150" s="3586">
        <f>V150*$U$14</f>
        <v>2003.64696072</v>
      </c>
      <c r="U150" s="1289">
        <f>IFERROR(T150/$T$44,0)</f>
        <v>0.000970875643606</v>
      </c>
      <c r="V150" s="3662">
        <f>R150*(1+$L$6)</f>
        <v>0.076242274</v>
      </c>
      <c r="X150" s="3586">
        <f>Z150*$Y$14</f>
        <v>2023.68343033</v>
      </c>
      <c r="Y150" s="1289">
        <f>IFERROR(X150/$X$44,0)</f>
        <v>0.000961357254943</v>
      </c>
      <c r="Z150" s="3662">
        <f>V150*(1+$L$6)</f>
        <v>0.07700469674</v>
      </c>
      <c r="AB150" s="3586">
        <f>AD150*$AC$14</f>
        <v>2043.92026463</v>
      </c>
      <c r="AC150" s="1289">
        <f>IFERROR(AB150/$AB$44,0)</f>
        <v>0.000951932183816</v>
      </c>
      <c r="AD150" s="3662">
        <f>Z150*(1+$L$6)</f>
        <v>0.0777747437074</v>
      </c>
      <c r="AF150" s="3586">
        <f>AH150*$AG$14</f>
        <v>2064.35946728</v>
      </c>
      <c r="AG150" s="1289">
        <f>IFERROR(AF150/$AF$44,0)</f>
        <v>0.000942599515348</v>
      </c>
      <c r="AH150" s="3662">
        <f>AD150*(1+$L$6)</f>
        <v>0.0785524911445</v>
      </c>
      <c r="AJ150" s="3586">
        <f>AL150*$AK$14</f>
        <v>2085.00306195</v>
      </c>
      <c r="AK150" s="1289">
        <f>IFERROR(AJ150/$AJ$44,0)</f>
        <v>0.000933358343629</v>
      </c>
      <c r="AL150" s="3662">
        <f>AH150*(1+$L$6)</f>
        <v>0.0793380160559</v>
      </c>
      <c r="AN150" s="3586">
        <f>AP150*$AO$14</f>
        <v>2105.85309257</v>
      </c>
      <c r="AO150" s="1289">
        <f>IFERROR(AN150/$AN$44,0)</f>
        <v>0.000924207771632</v>
      </c>
      <c r="AP150" s="3662">
        <f>AL150*(1+$L$6)</f>
        <v>0.0801313962165</v>
      </c>
      <c r="AR150" s="3586">
        <f>AT150*$AS$14</f>
        <v>2126.91162349</v>
      </c>
      <c r="AS150" s="1289">
        <f>IFERROR(AR150/$AR$44,0)</f>
        <v>0.000915146911126</v>
      </c>
      <c r="AT150" s="3662">
        <f>AP150*(1+$L$6)</f>
        <v>0.0809327101786</v>
      </c>
      <c r="AV150" s="3586">
        <f>AX150*$AW$14</f>
        <v>2148.18073973</v>
      </c>
      <c r="AW150" s="1289">
        <f>IFERROR(AV150/$AV$44,0)</f>
        <v>0.000924298380237</v>
      </c>
      <c r="AX150" s="3662">
        <f>AT150*(1+$L$6)</f>
        <v>0.0817420372804</v>
      </c>
      <c r="AZ150" s="3586">
        <f>BB150*$BA$14</f>
        <v>2169.66254713</v>
      </c>
      <c r="BA150" s="1289">
        <f>IFERROR(AZ150/$AZ$44,0)</f>
        <v>0.00093354136404</v>
      </c>
      <c r="BB150" s="3662">
        <f>AX150*(1+$L$6)</f>
        <v>0.0825594576532</v>
      </c>
      <c r="BD150" s="3586" t="n">
        <f t="array" ref="BD150">IFERROR($H150/12,0)</f>
        <v>123.79583333333333</v>
      </c>
      <c r="BE150" s="1289" t="n">
        <f t="array" ref="BE150">IFERROR($H150/$H$44,0)</f>
        <v>0.001</v>
      </c>
      <c r="BF150" s="3662" t="n">
        <f t="array" ref="BF150">IFERROR(($H150/12)/1650,0)</f>
        <v>0.07502777777777778</v>
      </c>
    </row>
    <row r="151" s="1168" customFormat="1" ht="15" customHeight="1">
      <c r="E151" s="3583" t="n"/>
      <c r="F151" s="1172" t="n"/>
      <c r="G151" s="1283" t="inlineStr">
        <is>
          <t xml:space="preserve">Postage &amp; Freight (eliminated — no printer, digital-only ops)</t>
        </is>
      </c>
      <c r="H151" s="3586">
        <f>J151*$I$14</f>
        <v>0</v>
      </c>
      <c r="I151" s="1171">
        <f>IFERROR(H151/$H$44,0)</f>
        <v>0</v>
      </c>
      <c r="J151" s="3662">
        <v>0</v>
      </c>
      <c r="K151" s="1172" t="n"/>
      <c r="L151" s="3585">
        <f>N151*$M$14</f>
        <v>0</v>
      </c>
      <c r="M151" s="1289">
        <f>IFERROR(L151/$L$44,0)</f>
        <v>0</v>
      </c>
      <c r="N151" s="3662">
        <f>J151*(1+$L$6)</f>
        <v>0</v>
      </c>
      <c r="P151" s="3586">
        <f>R151*$Q$14</f>
        <v>0</v>
      </c>
      <c r="Q151" s="1292">
        <f>IFERROR(P151/$P$44,0)</f>
        <v>0</v>
      </c>
      <c r="R151" s="3662">
        <f>N151*(1+$L$6)</f>
        <v>0</v>
      </c>
      <c r="T151" s="3586">
        <f>V151*$U$14</f>
        <v>0</v>
      </c>
      <c r="U151" s="1289">
        <f>IFERROR(T151/$T$44,0)</f>
        <v>0</v>
      </c>
      <c r="V151" s="3662">
        <f>R151*(1+$L$6)</f>
        <v>0</v>
      </c>
      <c r="X151" s="3586">
        <f>Z151*$Y$14</f>
        <v>0</v>
      </c>
      <c r="Y151" s="1289">
        <f>IFERROR(X151/$X$44,0)</f>
        <v>0</v>
      </c>
      <c r="Z151" s="3662">
        <f>V151*(1+$L$6)</f>
        <v>0</v>
      </c>
      <c r="AB151" s="3586">
        <f>AD151*$AC$14</f>
        <v>0</v>
      </c>
      <c r="AC151" s="1289">
        <f>IFERROR(AB151/$AB$44,0)</f>
        <v>0</v>
      </c>
      <c r="AD151" s="3662">
        <f>Z151*(1+$L$6)</f>
        <v>0</v>
      </c>
      <c r="AF151" s="3586">
        <f>AH151*$AG$14</f>
        <v>0</v>
      </c>
      <c r="AG151" s="1289">
        <f>IFERROR(AF151/$AF$44,0)</f>
        <v>0</v>
      </c>
      <c r="AH151" s="3662">
        <f>AD151*(1+$L$6)</f>
        <v>0</v>
      </c>
      <c r="AJ151" s="3586">
        <f>AL151*$AK$14</f>
        <v>0</v>
      </c>
      <c r="AK151" s="1289">
        <f>IFERROR(AJ151/$AJ$44,0)</f>
        <v>0</v>
      </c>
      <c r="AL151" s="3662">
        <f>AH151*(1+$L$6)</f>
        <v>0</v>
      </c>
      <c r="AN151" s="3586">
        <f>AP151*$AO$14</f>
        <v>0</v>
      </c>
      <c r="AO151" s="1289">
        <f>IFERROR(AN151/$AN$44,0)</f>
        <v>0</v>
      </c>
      <c r="AP151" s="3662">
        <f>AL151*(1+$L$6)</f>
        <v>0</v>
      </c>
      <c r="AR151" s="3586">
        <f>AT151*$AS$14</f>
        <v>0</v>
      </c>
      <c r="AS151" s="1289">
        <f>IFERROR(AR151/$AR$44,0)</f>
        <v>0</v>
      </c>
      <c r="AT151" s="3662">
        <f>AP151*(1+$L$6)</f>
        <v>0</v>
      </c>
      <c r="AV151" s="3586">
        <f>AX151*$AW$14</f>
        <v>0</v>
      </c>
      <c r="AW151" s="1289">
        <f>IFERROR(AV151/$AV$44,0)</f>
        <v>0</v>
      </c>
      <c r="AX151" s="3662">
        <f>AT151*(1+$L$6)</f>
        <v>0</v>
      </c>
      <c r="AZ151" s="3586">
        <f>BB151*$BA$14</f>
        <v>0</v>
      </c>
      <c r="BA151" s="1289">
        <f>IFERROR(AZ151/$AZ$44,0)</f>
        <v>0</v>
      </c>
      <c r="BB151" s="3662">
        <f>AX151*(1+$L$6)</f>
        <v>0</v>
      </c>
      <c r="BD151" s="3586" t="n">
        <f t="array" ref="BD151">IFERROR($H151/12,0)</f>
        <v>0</v>
      </c>
      <c r="BE151" s="1289" t="n">
        <f t="array" ref="BE151">IFERROR($H151/$H$44,0)</f>
        <v>0</v>
      </c>
      <c r="BF151" s="3662" t="n">
        <f t="array" ref="BF151">IFERROR(($H151/12)/1650,0)</f>
        <v>0</v>
      </c>
    </row>
    <row r="152" s="1168" customFormat="1" ht="15" customHeight="1">
      <c r="E152" s="3583" t="n"/>
      <c r="F152" s="1172" t="n"/>
      <c r="G152" s="1325" t="inlineStr">
        <is>
          <t xml:space="preserve">Office Supplies (eliminated — digital-only, no printer)</t>
        </is>
      </c>
      <c r="H152" s="3620">
        <f>J152*$I$14</f>
        <v>0</v>
      </c>
      <c r="I152" s="1429">
        <f>IFERROR(H152/$H$44,0)</f>
        <v>0</v>
      </c>
      <c r="J152" s="3667">
        <v>0</v>
      </c>
      <c r="K152" s="1172" t="n"/>
      <c r="L152" s="3608">
        <f>N152*$M$14</f>
        <v>0</v>
      </c>
      <c r="M152" s="1330">
        <f>IFERROR(L152/$L$44,0)</f>
        <v>0</v>
      </c>
      <c r="N152" s="3667">
        <f>J152*(1+$L$6)</f>
        <v>0</v>
      </c>
      <c r="P152" s="3620">
        <f>R152*$Q$14</f>
        <v>0</v>
      </c>
      <c r="Q152" s="1332">
        <f>IFERROR(P152/$P$44,0)</f>
        <v>0</v>
      </c>
      <c r="R152" s="3667">
        <f>N152*(1+$L$6)</f>
        <v>0</v>
      </c>
      <c r="T152" s="3620">
        <f>V152*$U$14</f>
        <v>0</v>
      </c>
      <c r="U152" s="1330">
        <f>IFERROR(T152/$T$44,0)</f>
        <v>0</v>
      </c>
      <c r="V152" s="3667">
        <f>R152*(1+$L$6)</f>
        <v>0</v>
      </c>
      <c r="X152" s="3620">
        <f>Z152*$Y$14</f>
        <v>0</v>
      </c>
      <c r="Y152" s="1330">
        <f>IFERROR(X152/$X$44,0)</f>
        <v>0</v>
      </c>
      <c r="Z152" s="3667">
        <f>V152*(1+$L$6)</f>
        <v>0</v>
      </c>
      <c r="AB152" s="3620">
        <f>AD152*$AC$14</f>
        <v>0</v>
      </c>
      <c r="AC152" s="1330">
        <f>IFERROR(AB152/$AB$44,0)</f>
        <v>0</v>
      </c>
      <c r="AD152" s="3667">
        <f>Z152*(1+$L$6)</f>
        <v>0</v>
      </c>
      <c r="AF152" s="3620">
        <f>AH152*$AG$14</f>
        <v>0</v>
      </c>
      <c r="AG152" s="1330">
        <f>IFERROR(AF152/$AF$44,0)</f>
        <v>0</v>
      </c>
      <c r="AH152" s="3667">
        <f>AD152*(1+$L$6)</f>
        <v>0</v>
      </c>
      <c r="AJ152" s="3620">
        <f>AL152*$AK$14</f>
        <v>0</v>
      </c>
      <c r="AK152" s="1330">
        <f>IFERROR(AJ152/$AJ$44,0)</f>
        <v>0</v>
      </c>
      <c r="AL152" s="3667">
        <f>AH152*(1+$L$6)</f>
        <v>0</v>
      </c>
      <c r="AN152" s="3620">
        <f>AP152*$AO$14</f>
        <v>0</v>
      </c>
      <c r="AO152" s="1330">
        <f>IFERROR(AN152/$AN$44,0)</f>
        <v>0</v>
      </c>
      <c r="AP152" s="3667">
        <f>AL152*(1+$L$6)</f>
        <v>0</v>
      </c>
      <c r="AR152" s="3620">
        <f>AT152*$AS$14</f>
        <v>0</v>
      </c>
      <c r="AS152" s="1330">
        <f>IFERROR(AR152/$AR$44,0)</f>
        <v>0</v>
      </c>
      <c r="AT152" s="3667">
        <f>AP152*(1+$L$6)</f>
        <v>0</v>
      </c>
      <c r="AV152" s="3620">
        <f>AX152*$AW$14</f>
        <v>0</v>
      </c>
      <c r="AW152" s="1330">
        <f>IFERROR(AV152/$AV$44,0)</f>
        <v>0</v>
      </c>
      <c r="AX152" s="3667">
        <f>AT152*(1+$L$6)</f>
        <v>0</v>
      </c>
      <c r="AZ152" s="3620">
        <f>BB152*$BA$14</f>
        <v>0</v>
      </c>
      <c r="BA152" s="1330">
        <f>IFERROR(AZ152/$AZ$44,0)</f>
        <v>0</v>
      </c>
      <c r="BB152" s="3667">
        <f>AX152*(1+$L$6)</f>
        <v>0</v>
      </c>
      <c r="BD152" s="3620" t="n">
        <f t="array" ref="BD152">IFERROR($H152/12,0)</f>
        <v>0</v>
      </c>
      <c r="BE152" s="1330" t="n">
        <f t="array" ref="BE152">IFERROR($H152/$H$44,0)</f>
        <v>0</v>
      </c>
      <c r="BF152" s="3667" t="n">
        <f t="array" ref="BF152">IFERROR(($H152/12)/1650,0)</f>
        <v>0</v>
      </c>
    </row>
    <row r="153" s="1168" customFormat="1" ht="15" customHeight="1">
      <c r="E153" s="3583" t="n">
        <v>200</v>
      </c>
      <c r="F153" s="1172" t="n"/>
      <c r="G153" s="1433" t="inlineStr">
        <is>
          <t xml:space="preserve">Legal Fees</t>
        </is>
      </c>
      <c r="H153" s="3638">
        <f>J153*$I$14</f>
        <v>2400</v>
      </c>
      <c r="I153" s="1434">
        <f>IFERROR(H153/$H$44,0)</f>
        <v>0.0016155632594</v>
      </c>
      <c r="J153" s="3741">
        <v>0.119551681196</v>
      </c>
      <c r="K153" s="1172" t="n"/>
      <c r="L153" s="3640">
        <f>N153*$M$14</f>
        <v>2864.72727273</v>
      </c>
      <c r="M153" s="1381">
        <f>IFERROR(L153/$L$44,0)</f>
        <v>0.00159972440391</v>
      </c>
      <c r="N153" s="3741">
        <f>J153*(1+$L$6)</f>
        <v>0.120747198007</v>
      </c>
      <c r="P153" s="3641">
        <f>R153*$Q$14</f>
        <v>3204.96872727</v>
      </c>
      <c r="Q153" s="1378">
        <f>IFERROR(P153/$P$44,0)</f>
        <v>0.00158404083133</v>
      </c>
      <c r="R153" s="3741">
        <f>N153*(1+$L$6)</f>
        <v>0.121954669988</v>
      </c>
      <c r="T153" s="3641">
        <f>V153*$U$14</f>
        <v>3237.01841455</v>
      </c>
      <c r="U153" s="1381">
        <f>IFERROR(T153/$T$44,0)</f>
        <v>0.00156851101926</v>
      </c>
      <c r="V153" s="3741">
        <f>R153*(1+$L$6)</f>
        <v>0.123174216687</v>
      </c>
      <c r="X153" s="3641">
        <f>Z153*$Y$14</f>
        <v>3269.38859869</v>
      </c>
      <c r="Y153" s="1381">
        <f>IFERROR(X153/$X$44,0)</f>
        <v>0.00155313346024</v>
      </c>
      <c r="Z153" s="3741">
        <f>V153*(1+$L$6)</f>
        <v>0.124405958854</v>
      </c>
      <c r="AB153" s="3641">
        <f>AD153*$AC$14</f>
        <v>3302.08248468</v>
      </c>
      <c r="AC153" s="1381">
        <f>IFERROR(AB153/$AB$44,0)</f>
        <v>0.00153790666161</v>
      </c>
      <c r="AD153" s="3741">
        <f>Z153*(1+$L$6)</f>
        <v>0.125650018443</v>
      </c>
      <c r="AF153" s="3641">
        <f>AH153*$AG$14</f>
        <v>3335.10330952</v>
      </c>
      <c r="AG153" s="1381">
        <f>IFERROR(AF153/$AF$44,0)</f>
        <v>0.00152282914532</v>
      </c>
      <c r="AH153" s="3741">
        <f>AD153*(1+$L$6)</f>
        <v>0.126906518627</v>
      </c>
      <c r="AJ153" s="3641">
        <f>AL153*$AK$14</f>
        <v>3368.45434262</v>
      </c>
      <c r="AK153" s="1381">
        <f>IFERROR(AJ153/$AJ$44,0)</f>
        <v>0.00150789944782</v>
      </c>
      <c r="AL153" s="3741">
        <f>AH153*(1+$L$6)</f>
        <v>0.128175583814</v>
      </c>
      <c r="AN153" s="3641">
        <f>AP153*$AO$14</f>
        <v>3402.13888605</v>
      </c>
      <c r="AO153" s="1381">
        <f>IFERROR(AN153/$AN$44,0)</f>
        <v>0.0014931161199</v>
      </c>
      <c r="AP153" s="3741">
        <f>AL153*(1+$L$6)</f>
        <v>0.129457339652</v>
      </c>
      <c r="AR153" s="3641">
        <f>AT153*$AS$14</f>
        <v>3436.16027491</v>
      </c>
      <c r="AS153" s="1381">
        <f>IFERROR(AR153/$AR$44,0)</f>
        <v>0.00147847772657</v>
      </c>
      <c r="AT153" s="3741">
        <f>AP153*(1+$L$6)</f>
        <v>0.130751913048</v>
      </c>
      <c r="AV153" s="3641">
        <f>AX153*$AW$14</f>
        <v>3470.52187766</v>
      </c>
      <c r="AW153" s="1381">
        <f>IFERROR(AV153/$AV$44,0)</f>
        <v>0.00149326250383</v>
      </c>
      <c r="AX153" s="3741">
        <f>AT153*(1+$L$6)</f>
        <v>0.132059432179</v>
      </c>
      <c r="AZ153" s="3641">
        <f>BB153*$BA$14</f>
        <v>3505.22709643</v>
      </c>
      <c r="BA153" s="1381">
        <f>IFERROR(AZ153/$AZ$44,0)</f>
        <v>0.00150819512887</v>
      </c>
      <c r="BB153" s="3741">
        <f>AX153*(1+$L$6)</f>
        <v>0.1333800265</v>
      </c>
      <c r="BD153" s="3641" t="n">
        <f t="array" ref="BD153">IFERROR($H153/12,0)</f>
        <v>200</v>
      </c>
      <c r="BE153" s="1381" t="n">
        <f t="array" ref="BE153">IFERROR($H153/$H$44,0)</f>
        <v>0.0016155632593988758</v>
      </c>
      <c r="BF153" s="3741" t="n">
        <f t="array" ref="BF153">IFERROR(($H153/12)/1650,0)</f>
        <v>0.12121212121212122</v>
      </c>
    </row>
    <row r="154" s="1168" customFormat="1" ht="15" customHeight="1">
      <c r="E154" s="3583" t="n"/>
      <c r="F154" s="1172" t="n"/>
      <c r="G154" s="1439" t="inlineStr">
        <is>
          <t xml:space="preserve">Office Equipment &amp; Rental</t>
        </is>
      </c>
      <c r="H154" s="3673">
        <f>J154*$I$14</f>
        <v>0</v>
      </c>
      <c r="I154" s="1441">
        <f>IFERROR(H154/$H$44,0)</f>
        <v>0</v>
      </c>
      <c r="J154" s="3674">
        <v>0</v>
      </c>
      <c r="K154" s="1172" t="n"/>
      <c r="L154" s="3673">
        <f>N154*$M$14</f>
        <v>0</v>
      </c>
      <c r="M154" s="1444">
        <f>IFERROR(L154/$L$44,0)</f>
        <v>0</v>
      </c>
      <c r="N154" s="3674">
        <f>J154*(1+$L$6)</f>
        <v>0</v>
      </c>
      <c r="P154" s="3673">
        <f>R154*$Q$14</f>
        <v>0</v>
      </c>
      <c r="Q154" s="1553">
        <f>IFERROR(P154/$P$44,0)</f>
        <v>0</v>
      </c>
      <c r="R154" s="3674">
        <f>N154*(1+$L$6)</f>
        <v>0</v>
      </c>
      <c r="T154" s="3673">
        <f>V154*$U$14</f>
        <v>0</v>
      </c>
      <c r="U154" s="1444">
        <f>IFERROR(T154/$T$44,0)</f>
        <v>0</v>
      </c>
      <c r="V154" s="3674">
        <f>R154*(1+$L$6)</f>
        <v>0</v>
      </c>
      <c r="X154" s="3673">
        <f>Z154*$Y$14</f>
        <v>0</v>
      </c>
      <c r="Y154" s="1444">
        <f>IFERROR(X154/$X$44,0)</f>
        <v>0</v>
      </c>
      <c r="Z154" s="3674">
        <f>V154*(1+$L$6)</f>
        <v>0</v>
      </c>
      <c r="AB154" s="3673">
        <f>AD154*$AC$14</f>
        <v>0</v>
      </c>
      <c r="AC154" s="1444">
        <f>IFERROR(AB154/$AB$44,0)</f>
        <v>0</v>
      </c>
      <c r="AD154" s="3674">
        <f>Z154*(1+$L$6)</f>
        <v>0</v>
      </c>
      <c r="AF154" s="3673">
        <f>AH154*$AG$14</f>
        <v>0</v>
      </c>
      <c r="AG154" s="1444">
        <f>IFERROR(AF154/$AF$44,0)</f>
        <v>0</v>
      </c>
      <c r="AH154" s="3674">
        <f>AD154*(1+$L$6)</f>
        <v>0</v>
      </c>
      <c r="AJ154" s="3673">
        <f>AL154*$AK$14</f>
        <v>0</v>
      </c>
      <c r="AK154" s="1444">
        <f>IFERROR(AJ154/$AJ$44,0)</f>
        <v>0</v>
      </c>
      <c r="AL154" s="3674">
        <f>AH154*(1+$L$6)</f>
        <v>0</v>
      </c>
      <c r="AN154" s="3673">
        <f>AP154*$AO$14</f>
        <v>0</v>
      </c>
      <c r="AO154" s="1444">
        <f>IFERROR(AN154/$AN$44,0)</f>
        <v>0</v>
      </c>
      <c r="AP154" s="3674">
        <f>AL154*(1+$L$6)</f>
        <v>0</v>
      </c>
      <c r="AR154" s="3673">
        <f>AT154*$AS$14</f>
        <v>0</v>
      </c>
      <c r="AS154" s="1444">
        <f>IFERROR(AR154/$AR$44,0)</f>
        <v>0</v>
      </c>
      <c r="AT154" s="3674">
        <f>AP154*(1+$L$6)</f>
        <v>0</v>
      </c>
      <c r="AV154" s="3673">
        <f>AX154*$AW$14</f>
        <v>0</v>
      </c>
      <c r="AW154" s="1444">
        <f>IFERROR(AV154/$AV$44,0)</f>
        <v>0</v>
      </c>
      <c r="AX154" s="3674">
        <f>AT154*(1+$L$6)</f>
        <v>0</v>
      </c>
      <c r="AZ154" s="3673">
        <f>BB154*$BA$14</f>
        <v>0</v>
      </c>
      <c r="BA154" s="1444">
        <f>IFERROR(AZ154/$AZ$44,0)</f>
        <v>0</v>
      </c>
      <c r="BB154" s="3674">
        <f>AX154*(1+$L$6)</f>
        <v>0</v>
      </c>
      <c r="BD154" s="3673" t="n">
        <f t="array" ref="BD154">IFERROR($H154/12,0)</f>
        <v>0</v>
      </c>
      <c r="BE154" s="1444" t="n">
        <f t="array" ref="BE154">IFERROR($H154/$H$44,0)</f>
        <v>0</v>
      </c>
      <c r="BF154" s="3674" t="n">
        <f t="array" ref="BF154">IFERROR(($H154/12)/1650,0)</f>
        <v>0</v>
      </c>
    </row>
    <row r="155" s="1168" customFormat="1" ht="15" customHeight="1">
      <c r="E155" s="3583" t="n">
        <v>125</v>
      </c>
      <c r="F155" s="1172" t="n"/>
      <c r="G155" s="1433" t="inlineStr">
        <is>
          <t xml:space="preserve">Background Music/ Musac</t>
        </is>
      </c>
      <c r="H155" s="3638">
        <f>J155*$I$14</f>
        <v>0</v>
      </c>
      <c r="I155" s="1434">
        <f>IFERROR(H155/$H$44,0)</f>
        <v>0</v>
      </c>
      <c r="J155" s="3741">
        <v>0</v>
      </c>
      <c r="K155" s="1172" t="n"/>
      <c r="L155" s="3640">
        <f>N155*$M$14</f>
        <v>0</v>
      </c>
      <c r="M155" s="1381">
        <f>IFERROR(L155/$L$44,0)</f>
        <v>0</v>
      </c>
      <c r="N155" s="3741">
        <f>J155*(1+$L$6)</f>
        <v>0</v>
      </c>
      <c r="P155" s="3641">
        <f>R155*$Q$14</f>
        <v>0</v>
      </c>
      <c r="Q155" s="1378">
        <f>IFERROR(P155/$P$44,0)</f>
        <v>0</v>
      </c>
      <c r="R155" s="3741">
        <f>N155*(1+$L$6)</f>
        <v>0</v>
      </c>
      <c r="T155" s="3641">
        <f>V155*$U$14</f>
        <v>0</v>
      </c>
      <c r="U155" s="1381">
        <f>IFERROR(T155/$T$44,0)</f>
        <v>0</v>
      </c>
      <c r="V155" s="3741">
        <f>R155*(1+$L$6)</f>
        <v>0</v>
      </c>
      <c r="X155" s="3641">
        <f>Z155*$Y$14</f>
        <v>0</v>
      </c>
      <c r="Y155" s="1381">
        <f>IFERROR(X155/$X$44,0)</f>
        <v>0</v>
      </c>
      <c r="Z155" s="3741">
        <f>V155*(1+$L$6)</f>
        <v>0</v>
      </c>
      <c r="AB155" s="3641">
        <f>AD155*$AC$14</f>
        <v>0</v>
      </c>
      <c r="AC155" s="1381">
        <f>IFERROR(AB155/$AB$44,0)</f>
        <v>0</v>
      </c>
      <c r="AD155" s="3741">
        <f>Z155*(1+$L$6)</f>
        <v>0</v>
      </c>
      <c r="AF155" s="3641">
        <f>AH155*$AG$14</f>
        <v>0</v>
      </c>
      <c r="AG155" s="1381">
        <f>IFERROR(AF155/$AF$44,0)</f>
        <v>0</v>
      </c>
      <c r="AH155" s="3741">
        <f>AD155*(1+$L$6)</f>
        <v>0</v>
      </c>
      <c r="AJ155" s="3641">
        <f>AL155*$AK$14</f>
        <v>0</v>
      </c>
      <c r="AK155" s="1381">
        <f>IFERROR(AJ155/$AJ$44,0)</f>
        <v>0</v>
      </c>
      <c r="AL155" s="3741">
        <f>AH155*(1+$L$6)</f>
        <v>0</v>
      </c>
      <c r="AN155" s="3641">
        <f>AP155*$AO$14</f>
        <v>0</v>
      </c>
      <c r="AO155" s="1381">
        <f>IFERROR(AN155/$AN$44,0)</f>
        <v>0</v>
      </c>
      <c r="AP155" s="3741">
        <f>AL155*(1+$L$6)</f>
        <v>0</v>
      </c>
      <c r="AR155" s="3641">
        <f>AT155*$AS$14</f>
        <v>0</v>
      </c>
      <c r="AS155" s="1381">
        <f>IFERROR(AR155/$AR$44,0)</f>
        <v>0</v>
      </c>
      <c r="AT155" s="3741">
        <f>AP155*(1+$L$6)</f>
        <v>0</v>
      </c>
      <c r="AV155" s="3641">
        <f>AX155*$AW$14</f>
        <v>0</v>
      </c>
      <c r="AW155" s="1381">
        <f>IFERROR(AV155/$AV$44,0)</f>
        <v>0</v>
      </c>
      <c r="AX155" s="3741">
        <f>AT155*(1+$L$6)</f>
        <v>0</v>
      </c>
      <c r="AZ155" s="3641">
        <f>BB155*$BA$14</f>
        <v>0</v>
      </c>
      <c r="BA155" s="1381">
        <f>IFERROR(AZ155/$AZ$44,0)</f>
        <v>0</v>
      </c>
      <c r="BB155" s="3741">
        <f>AX155*(1+$L$6)</f>
        <v>0</v>
      </c>
      <c r="BD155" s="3641" t="n">
        <f t="array" ref="BD155">IFERROR($H155/12,0)</f>
        <v>0</v>
      </c>
      <c r="BE155" s="1381" t="n">
        <f t="array" ref="BE155">IFERROR($H155/$H$44,0)</f>
        <v>0</v>
      </c>
      <c r="BF155" s="3741" t="n">
        <f t="array" ref="BF155">IFERROR(($H155/12)/1650,0)</f>
        <v>0</v>
      </c>
    </row>
    <row r="156" s="1168" customFormat="1" ht="15" customHeight="1">
      <c r="E156" s="3583" t="n">
        <v>300</v>
      </c>
      <c r="F156" s="1172" t="n"/>
      <c r="G156" s="1433" t="inlineStr">
        <is>
          <t xml:space="preserve">Dues &amp; Subscriptions</t>
        </is>
      </c>
      <c r="H156" s="3638">
        <f>J156*$I$14</f>
        <v>3600</v>
      </c>
      <c r="I156" s="1434">
        <f>IFERROR(H156/$H$44,0)</f>
        <v>0.0024233448891</v>
      </c>
      <c r="J156" s="3741">
        <v>0.179327521793</v>
      </c>
      <c r="K156" s="1172" t="n"/>
      <c r="L156" s="3640">
        <f>N156*$M$14</f>
        <v>4297.09090909</v>
      </c>
      <c r="M156" s="1381">
        <f>IFERROR(L156/$L$44,0)</f>
        <v>0.00239958660587</v>
      </c>
      <c r="N156" s="3741">
        <f>J156*(1+$L$6)</f>
        <v>0.181120797011</v>
      </c>
      <c r="P156" s="3641">
        <f>R156*$Q$14</f>
        <v>4807.45309091</v>
      </c>
      <c r="Q156" s="1378">
        <f>IFERROR(P156/$P$44,0)</f>
        <v>0.00237606124699</v>
      </c>
      <c r="R156" s="3741">
        <f>N156*(1+$L$6)</f>
        <v>0.182932004981</v>
      </c>
      <c r="T156" s="3641">
        <f>V156*$U$14</f>
        <v>4855.52762182</v>
      </c>
      <c r="U156" s="1381">
        <f>IFERROR(T156/$T$44,0)</f>
        <v>0.00235276652888</v>
      </c>
      <c r="V156" s="3741">
        <f>R156*(1+$L$6)</f>
        <v>0.184761325031</v>
      </c>
      <c r="X156" s="3641">
        <f>Z156*$Y$14</f>
        <v>4904.08289804</v>
      </c>
      <c r="Y156" s="1381">
        <f>IFERROR(X156/$X$44,0)</f>
        <v>0.00232970019036</v>
      </c>
      <c r="Z156" s="3741">
        <f>V156*(1+$L$6)</f>
        <v>0.186608938281</v>
      </c>
      <c r="AB156" s="3641">
        <f>AD156*$AC$14</f>
        <v>4953.12372702</v>
      </c>
      <c r="AC156" s="1381">
        <f>IFERROR(AB156/$AB$44,0)</f>
        <v>0.00230685999242</v>
      </c>
      <c r="AD156" s="3741">
        <f>Z156*(1+$L$6)</f>
        <v>0.188475027664</v>
      </c>
      <c r="AF156" s="3641">
        <f>AH156*$AG$14</f>
        <v>5002.65496429</v>
      </c>
      <c r="AG156" s="1381">
        <f>IFERROR(AF156/$AF$44,0)</f>
        <v>0.00228424371798</v>
      </c>
      <c r="AH156" s="3741">
        <f>AD156*(1+$L$6)</f>
        <v>0.190359777941</v>
      </c>
      <c r="AJ156" s="3641">
        <f>AL156*$AK$14</f>
        <v>5052.68151393</v>
      </c>
      <c r="AK156" s="1381">
        <f>IFERROR(AJ156/$AJ$44,0)</f>
        <v>0.00226184917173</v>
      </c>
      <c r="AL156" s="3741">
        <f>AH156*(1+$L$6)</f>
        <v>0.19226337572</v>
      </c>
      <c r="AN156" s="3641">
        <f>AP156*$AO$14</f>
        <v>5103.20832907</v>
      </c>
      <c r="AO156" s="1381">
        <f>IFERROR(AN156/$AN$44,0)</f>
        <v>0.00223967417985</v>
      </c>
      <c r="AP156" s="3741">
        <f>AL156*(1+$L$6)</f>
        <v>0.194186009478</v>
      </c>
      <c r="AR156" s="3641">
        <f>AT156*$AS$14</f>
        <v>5154.24041236</v>
      </c>
      <c r="AS156" s="1381">
        <f>IFERROR(AR156/$AR$44,0)</f>
        <v>0.00221771658985</v>
      </c>
      <c r="AT156" s="3741">
        <f>AP156*(1+$L$6)</f>
        <v>0.196127869572</v>
      </c>
      <c r="AV156" s="3641">
        <f>AX156*$AW$14</f>
        <v>5205.78281648</v>
      </c>
      <c r="AW156" s="1381">
        <f>IFERROR(AV156/$AV$44,0)</f>
        <v>0.00223989375575</v>
      </c>
      <c r="AX156" s="3741">
        <f>AT156*(1+$L$6)</f>
        <v>0.198089148268</v>
      </c>
      <c r="AZ156" s="3641">
        <f>BB156*$BA$14</f>
        <v>5257.84064465</v>
      </c>
      <c r="BA156" s="1381">
        <f>IFERROR(AZ156/$AZ$44,0)</f>
        <v>0.00226229269331</v>
      </c>
      <c r="BB156" s="3741">
        <f>AX156*(1+$L$6)</f>
        <v>0.200070039751</v>
      </c>
      <c r="BD156" s="3641" t="n">
        <f t="array" ref="BD156">IFERROR($H156/12,0)</f>
        <v>300</v>
      </c>
      <c r="BE156" s="1381" t="n">
        <f t="array" ref="BE156">IFERROR($H156/$H$44,0)</f>
        <v>0.0024233448890983137</v>
      </c>
      <c r="BF156" s="3741" t="n">
        <f t="array" ref="BF156">IFERROR(($H156/12)/1650,0)</f>
        <v>0.18181818181818182</v>
      </c>
    </row>
    <row r="157" s="1168" customFormat="1" ht="15" customHeight="1">
      <c r="E157" s="3583" t="n"/>
      <c r="F157" s="1172" t="n"/>
      <c r="G157" s="1439" t="inlineStr">
        <is>
          <t xml:space="preserve">Computer Equipment &amp; Supplies (eliminated — no printer/paper)</t>
        </is>
      </c>
      <c r="H157" s="3673">
        <f>J157*$I$14</f>
        <v>0</v>
      </c>
      <c r="I157" s="1441">
        <f>IFERROR(H157/$H$44,0)</f>
        <v>0</v>
      </c>
      <c r="J157" s="3674">
        <v>0</v>
      </c>
      <c r="K157" s="1172" t="n"/>
      <c r="L157" s="3675">
        <f>N157*$M$14</f>
        <v>0</v>
      </c>
      <c r="M157" s="1444">
        <f>IFERROR(L157/$L$44,0)</f>
        <v>0</v>
      </c>
      <c r="N157" s="3674">
        <f>J157*(1+$L$6)</f>
        <v>0</v>
      </c>
      <c r="P157" s="3673">
        <f>R157*$Q$14</f>
        <v>0</v>
      </c>
      <c r="Q157" s="1553">
        <f>IFERROR(P157/$P$44,0)</f>
        <v>0</v>
      </c>
      <c r="R157" s="3674">
        <f>N157*(1+$L$6)</f>
        <v>0</v>
      </c>
      <c r="T157" s="3673">
        <f>V157*$U$14</f>
        <v>0</v>
      </c>
      <c r="U157" s="1444">
        <f>IFERROR(T157/$T$44,0)</f>
        <v>0</v>
      </c>
      <c r="V157" s="3674">
        <f>R157*(1+$L$6)</f>
        <v>0</v>
      </c>
      <c r="X157" s="3673">
        <f>Z157*$Y$14</f>
        <v>0</v>
      </c>
      <c r="Y157" s="1444">
        <f>IFERROR(X157/$X$44,0)</f>
        <v>0</v>
      </c>
      <c r="Z157" s="3674">
        <f>V157*(1+$L$6)</f>
        <v>0</v>
      </c>
      <c r="AB157" s="3673">
        <f>AD157*$AC$14</f>
        <v>0</v>
      </c>
      <c r="AC157" s="1444">
        <f>IFERROR(AB157/$AB$44,0)</f>
        <v>0</v>
      </c>
      <c r="AD157" s="3674">
        <f>Z157*(1+$L$6)</f>
        <v>0</v>
      </c>
      <c r="AF157" s="3673">
        <f>AH157*$AG$14</f>
        <v>0</v>
      </c>
      <c r="AG157" s="1444">
        <f>IFERROR(AF157/$AF$44,0)</f>
        <v>0</v>
      </c>
      <c r="AH157" s="3674">
        <f>AD157*(1+$L$6)</f>
        <v>0</v>
      </c>
      <c r="AJ157" s="3673">
        <f>AL157*$AK$14</f>
        <v>0</v>
      </c>
      <c r="AK157" s="1444">
        <f>IFERROR(AJ157/$AJ$44,0)</f>
        <v>0</v>
      </c>
      <c r="AL157" s="3674">
        <f>AH157*(1+$L$6)</f>
        <v>0</v>
      </c>
      <c r="AN157" s="3673">
        <f>AP157*$AO$14</f>
        <v>0</v>
      </c>
      <c r="AO157" s="1444">
        <f>IFERROR(AN157/$AN$44,0)</f>
        <v>0</v>
      </c>
      <c r="AP157" s="3674">
        <f>AL157*(1+$L$6)</f>
        <v>0</v>
      </c>
      <c r="AR157" s="3673">
        <f>AT157*$AS$14</f>
        <v>0</v>
      </c>
      <c r="AS157" s="1444">
        <f>IFERROR(AR157/$AR$44,0)</f>
        <v>0</v>
      </c>
      <c r="AT157" s="3674">
        <f>AP157*(1+$L$6)</f>
        <v>0</v>
      </c>
      <c r="AV157" s="3673">
        <f>AX157*$AW$14</f>
        <v>0</v>
      </c>
      <c r="AW157" s="1444">
        <f>IFERROR(AV157/$AV$44,0)</f>
        <v>0</v>
      </c>
      <c r="AX157" s="3674">
        <f>AT157*(1+$L$6)</f>
        <v>0</v>
      </c>
      <c r="AZ157" s="3673">
        <f>BB157*$BA$14</f>
        <v>0</v>
      </c>
      <c r="BA157" s="1444">
        <f>IFERROR(AZ157/$AZ$44,0)</f>
        <v>0</v>
      </c>
      <c r="BB157" s="3674">
        <f>AX157*(1+$L$6)</f>
        <v>0</v>
      </c>
      <c r="BD157" s="3673" t="n">
        <f t="array" ref="BD157">IFERROR($H157/12,0)</f>
        <v>0</v>
      </c>
      <c r="BE157" s="1444" t="n">
        <f t="array" ref="BE157">IFERROR($H157/$H$44,0)</f>
        <v>0</v>
      </c>
      <c r="BF157" s="3674" t="n">
        <f t="array" ref="BF157">IFERROR(($H157/12)/1650,0)</f>
        <v>0</v>
      </c>
    </row>
    <row r="158" s="1168" customFormat="1" ht="15" customHeight="1">
      <c r="E158" s="3583" t="n">
        <v>300</v>
      </c>
      <c r="F158" s="1172" t="n"/>
      <c r="G158" s="1433" t="inlineStr">
        <is>
          <t xml:space="preserve">License &amp; Tax</t>
        </is>
      </c>
      <c r="H158" s="3641">
        <f>J158*$I$14</f>
        <v>3600</v>
      </c>
      <c r="I158" s="1434">
        <f>IFERROR(H158/$H$44,0)</f>
        <v>0.0024233448891</v>
      </c>
      <c r="J158" s="3741">
        <v>0.179327521793</v>
      </c>
      <c r="K158" s="1172" t="n"/>
      <c r="L158" s="3640">
        <f>N158*$M$14</f>
        <v>4297.09090909</v>
      </c>
      <c r="M158" s="1381">
        <f>IFERROR(L158/$L$44,0)</f>
        <v>0.00239958660587</v>
      </c>
      <c r="N158" s="3741">
        <f>J158*(1+$L$6)</f>
        <v>0.181120797011</v>
      </c>
      <c r="P158" s="3641">
        <f>R158*$Q$14</f>
        <v>4807.45309091</v>
      </c>
      <c r="Q158" s="1378">
        <f>IFERROR(P158/$P$44,0)</f>
        <v>0.00237606124699</v>
      </c>
      <c r="R158" s="3741">
        <f>N158*(1+$L$6)</f>
        <v>0.182932004981</v>
      </c>
      <c r="T158" s="3641">
        <f>V158*$U$14</f>
        <v>4855.52762182</v>
      </c>
      <c r="U158" s="1381">
        <f>IFERROR(T158/$T$44,0)</f>
        <v>0.00235276652888</v>
      </c>
      <c r="V158" s="3741">
        <f>R158*(1+$L$6)</f>
        <v>0.184761325031</v>
      </c>
      <c r="X158" s="3641">
        <f>Z158*$Y$14</f>
        <v>4904.08289804</v>
      </c>
      <c r="Y158" s="1381">
        <f>IFERROR(X158/$X$44,0)</f>
        <v>0.00232970019036</v>
      </c>
      <c r="Z158" s="3741">
        <f>V158*(1+$L$6)</f>
        <v>0.186608938281</v>
      </c>
      <c r="AB158" s="3641">
        <f>AD158*$AC$14</f>
        <v>4953.12372702</v>
      </c>
      <c r="AC158" s="1381">
        <f>IFERROR(AB158/$AB$44,0)</f>
        <v>0.00230685999242</v>
      </c>
      <c r="AD158" s="3741">
        <f>Z158*(1+$L$6)</f>
        <v>0.188475027664</v>
      </c>
      <c r="AF158" s="3641">
        <f>AH158*$AG$14</f>
        <v>5002.65496429</v>
      </c>
      <c r="AG158" s="1381">
        <f>IFERROR(AF158/$AF$44,0)</f>
        <v>0.00228424371798</v>
      </c>
      <c r="AH158" s="3741">
        <f>AD158*(1+$L$6)</f>
        <v>0.190359777941</v>
      </c>
      <c r="AJ158" s="3641">
        <f>AL158*$AK$14</f>
        <v>5052.68151393</v>
      </c>
      <c r="AK158" s="1381">
        <f>IFERROR(AJ158/$AJ$44,0)</f>
        <v>0.00226184917173</v>
      </c>
      <c r="AL158" s="3741">
        <f>AH158*(1+$L$6)</f>
        <v>0.19226337572</v>
      </c>
      <c r="AN158" s="3641">
        <f>AP158*$AO$14</f>
        <v>5103.20832907</v>
      </c>
      <c r="AO158" s="1381">
        <f>IFERROR(AN158/$AN$44,0)</f>
        <v>0.00223967417985</v>
      </c>
      <c r="AP158" s="3741">
        <f>AL158*(1+$L$6)</f>
        <v>0.194186009478</v>
      </c>
      <c r="AR158" s="3641">
        <f>AT158*$AS$14</f>
        <v>5154.24041236</v>
      </c>
      <c r="AS158" s="1381">
        <f>IFERROR(AR158/$AR$44,0)</f>
        <v>0.00221771658985</v>
      </c>
      <c r="AT158" s="3741">
        <f>AP158*(1+$L$6)</f>
        <v>0.196127869572</v>
      </c>
      <c r="AV158" s="3641">
        <f>AX158*$AW$14</f>
        <v>5205.78281648</v>
      </c>
      <c r="AW158" s="1381">
        <f>IFERROR(AV158/$AV$44,0)</f>
        <v>0.00223989375575</v>
      </c>
      <c r="AX158" s="3741">
        <f>AT158*(1+$L$6)</f>
        <v>0.198089148268</v>
      </c>
      <c r="AZ158" s="3641">
        <f>BB158*$BA$14</f>
        <v>5257.84064465</v>
      </c>
      <c r="BA158" s="1381">
        <f>IFERROR(AZ158/$AZ$44,0)</f>
        <v>0.00226229269331</v>
      </c>
      <c r="BB158" s="3741">
        <f>AX158*(1+$L$6)</f>
        <v>0.200070039751</v>
      </c>
      <c r="BD158" s="3641" t="n">
        <f t="array" ref="BD158">IFERROR($H158/12,0)</f>
        <v>300</v>
      </c>
      <c r="BE158" s="1381" t="n">
        <f t="array" ref="BE158">IFERROR($H158/$H$44,0)</f>
        <v>0.0024233448890983137</v>
      </c>
      <c r="BF158" s="3741" t="n">
        <f t="array" ref="BF158">IFERROR(($H158/12)/1650,0)</f>
        <v>0.18181818181818182</v>
      </c>
    </row>
    <row r="159" s="1168" customFormat="1" ht="15" customHeight="1">
      <c r="E159" s="3583" t="n"/>
      <c r="F159" s="1172" t="n"/>
      <c r="G159" s="1376" t="inlineStr">
        <is>
          <t xml:space="preserve">Travel Expense</t>
        </is>
      </c>
      <c r="H159" s="3678">
        <f>J159*$I$14</f>
        <v>3713.875</v>
      </c>
      <c r="I159" s="1448">
        <f>IFERROR(H159/$H$44,0)</f>
        <v>0.0025</v>
      </c>
      <c r="J159" s="3562">
        <v>0.185</v>
      </c>
      <c r="K159" s="1172" t="n"/>
      <c r="L159" s="3679">
        <f>N159*$M$14</f>
        <v>4433.01625</v>
      </c>
      <c r="M159" s="1450">
        <f>IFERROR(L159/$L$44,0)</f>
        <v>0.00247549019608</v>
      </c>
      <c r="N159" s="3562">
        <f>J159*(1+$L$6)</f>
        <v>0.18685</v>
      </c>
      <c r="P159" s="3678">
        <f>R159*$Q$14</f>
        <v>4959.52218</v>
      </c>
      <c r="Q159" s="1465">
        <f>IFERROR(P159/$P$44,0)</f>
        <v>0.00245122068435</v>
      </c>
      <c r="R159" s="3562">
        <f>N159*(1+$L$6)</f>
        <v>0.1887185</v>
      </c>
      <c r="T159" s="3678">
        <f>V159*$U$14</f>
        <v>5009.1174018</v>
      </c>
      <c r="U159" s="1450">
        <f>IFERROR(T159/$T$44,0)</f>
        <v>0.00242718910902</v>
      </c>
      <c r="V159" s="3562">
        <f>R159*(1+$L$6)</f>
        <v>0.190605685</v>
      </c>
      <c r="X159" s="3678">
        <f>Z159*$Y$14</f>
        <v>5059.20857582</v>
      </c>
      <c r="Y159" s="1450">
        <f>IFERROR(X159/$X$44,0)</f>
        <v>0.00240339313736</v>
      </c>
      <c r="Z159" s="3562">
        <f>V159*(1+$L$6)</f>
        <v>0.19251174185</v>
      </c>
      <c r="AB159" s="3678">
        <f>AD159*$AC$14</f>
        <v>5109.80066158</v>
      </c>
      <c r="AC159" s="1450">
        <f>IFERROR(AB159/$AB$44,0)</f>
        <v>0.00237983045954</v>
      </c>
      <c r="AD159" s="3562">
        <f>Z159*(1+$L$6)</f>
        <v>0.194436859269</v>
      </c>
      <c r="AF159" s="3678">
        <f>AH159*$AG$14</f>
        <v>5160.89866819</v>
      </c>
      <c r="AG159" s="1450">
        <f>IFERROR(AF159/$AF$44,0)</f>
        <v>0.00235649878837</v>
      </c>
      <c r="AH159" s="3562">
        <f>AD159*(1+$L$6)</f>
        <v>0.196381227861</v>
      </c>
      <c r="AJ159" s="3678">
        <f>AL159*$AK$14</f>
        <v>5212.50765487</v>
      </c>
      <c r="AK159" s="1450">
        <f>IFERROR(AJ159/$AJ$44,0)</f>
        <v>0.00233339585907</v>
      </c>
      <c r="AL159" s="3562">
        <f>AH159*(1+$L$6)</f>
        <v>0.19834504014</v>
      </c>
      <c r="AN159" s="3678">
        <f>AP159*$AO$14</f>
        <v>5264.63273142</v>
      </c>
      <c r="AO159" s="1450">
        <f>IFERROR(AN159/$AN$44,0)</f>
        <v>0.00231051942908</v>
      </c>
      <c r="AP159" s="3562">
        <f>AL159*(1+$L$6)</f>
        <v>0.200328490541</v>
      </c>
      <c r="AR159" s="3678">
        <f>AT159*$AS$14</f>
        <v>5317.27905874</v>
      </c>
      <c r="AS159" s="1450">
        <f>IFERROR(AR159/$AR$44,0)</f>
        <v>0.00228786727782</v>
      </c>
      <c r="AT159" s="3562">
        <f>AP159*(1+$L$6)</f>
        <v>0.202331775447</v>
      </c>
      <c r="AV159" s="3678">
        <f>AX159*$AW$14</f>
        <v>5370.45184932</v>
      </c>
      <c r="AW159" s="1450">
        <f>IFERROR(AV159/$AV$44,0)</f>
        <v>0.00231074595059</v>
      </c>
      <c r="AX159" s="3562">
        <f>AT159*(1+$L$6)</f>
        <v>0.204355093201</v>
      </c>
      <c r="AZ159" s="3678">
        <f>BB159*$BA$14</f>
        <v>5424.15636782</v>
      </c>
      <c r="BA159" s="1450">
        <f>IFERROR(AZ159/$AZ$44,0)</f>
        <v>0.0023338534101</v>
      </c>
      <c r="BB159" s="3562">
        <f>AX159*(1+$L$6)</f>
        <v>0.206398644133</v>
      </c>
      <c r="BD159" s="3678" t="n">
        <f t="array" ref="BD159">IFERROR($H159/12,0)</f>
        <v>309.4895833333333</v>
      </c>
      <c r="BE159" s="1450" t="n">
        <f t="array" ref="BE159">IFERROR($H159/$H$44,0)</f>
        <v>0.0025</v>
      </c>
      <c r="BF159" s="3562" t="n">
        <f t="array" ref="BF159">IFERROR(($H159/12)/1650,0)</f>
        <v>0.18756944444444443</v>
      </c>
    </row>
    <row r="160" s="1168" customFormat="1" ht="15" customHeight="1">
      <c r="E160" s="3583" t="n"/>
      <c r="F160" s="1172" t="n"/>
      <c r="G160" s="1283" t="inlineStr">
        <is>
          <t xml:space="preserve">Donations</t>
        </is>
      </c>
      <c r="H160" s="3586">
        <f>J160*$I$14</f>
        <v>0</v>
      </c>
      <c r="I160" s="1171">
        <f>IFERROR(H160/$H$44,0)</f>
        <v>0</v>
      </c>
      <c r="J160" s="3662">
        <v>0</v>
      </c>
      <c r="K160" s="1172" t="n"/>
      <c r="L160" s="3585">
        <f>N160*$M$14</f>
        <v>0</v>
      </c>
      <c r="M160" s="1289">
        <f>IFERROR(L160/$L$44,0)</f>
        <v>0</v>
      </c>
      <c r="N160" s="3662">
        <f>J160*(1+$L$6)</f>
        <v>0</v>
      </c>
      <c r="P160" s="3586">
        <f>R160*$Q$14</f>
        <v>0</v>
      </c>
      <c r="Q160" s="1292">
        <f>IFERROR(P160/$P$44,0)</f>
        <v>0</v>
      </c>
      <c r="R160" s="3662">
        <f>N160*(1+$L$6)</f>
        <v>0</v>
      </c>
      <c r="T160" s="3586">
        <f>V160*$U$14</f>
        <v>0</v>
      </c>
      <c r="U160" s="1289">
        <f>IFERROR(T160/$T$44,0)</f>
        <v>0</v>
      </c>
      <c r="V160" s="3662">
        <f>R160*(1+$L$6)</f>
        <v>0</v>
      </c>
      <c r="X160" s="3586">
        <f>Z160*$Y$14</f>
        <v>0</v>
      </c>
      <c r="Y160" s="1289">
        <f>IFERROR(X160/$X$44,0)</f>
        <v>0</v>
      </c>
      <c r="Z160" s="3662">
        <f>V160*(1+$L$6)</f>
        <v>0</v>
      </c>
      <c r="AB160" s="3586">
        <f>AD160*$AC$14</f>
        <v>0</v>
      </c>
      <c r="AC160" s="1289">
        <f>IFERROR(AB160/$AB$44,0)</f>
        <v>0</v>
      </c>
      <c r="AD160" s="3662">
        <f>Z160*(1+$L$6)</f>
        <v>0</v>
      </c>
      <c r="AF160" s="3586">
        <f>AH160*$AG$14</f>
        <v>0</v>
      </c>
      <c r="AG160" s="1289">
        <f>IFERROR(AF160/$AF$44,0)</f>
        <v>0</v>
      </c>
      <c r="AH160" s="3662">
        <f>AD160*(1+$L$6)</f>
        <v>0</v>
      </c>
      <c r="AJ160" s="3586">
        <f>AL160*$AK$14</f>
        <v>0</v>
      </c>
      <c r="AK160" s="1289">
        <f>IFERROR(AJ160/$AJ$44,0)</f>
        <v>0</v>
      </c>
      <c r="AL160" s="3662">
        <f>AH160*(1+$L$6)</f>
        <v>0</v>
      </c>
      <c r="AN160" s="3586">
        <f>AP160*$AO$14</f>
        <v>0</v>
      </c>
      <c r="AO160" s="1289">
        <f>IFERROR(AN160/$AN$44,0)</f>
        <v>0</v>
      </c>
      <c r="AP160" s="3662">
        <f>AL160*(1+$L$6)</f>
        <v>0</v>
      </c>
      <c r="AR160" s="3586">
        <f>AT160*$AS$14</f>
        <v>0</v>
      </c>
      <c r="AS160" s="1289">
        <f>IFERROR(AR160/$AR$44,0)</f>
        <v>0</v>
      </c>
      <c r="AT160" s="3662">
        <f>AP160*(1+$L$6)</f>
        <v>0</v>
      </c>
      <c r="AV160" s="3586">
        <f>AX160*$AW$14</f>
        <v>0</v>
      </c>
      <c r="AW160" s="1289">
        <f>IFERROR(AV160/$AV$44,0)</f>
        <v>0</v>
      </c>
      <c r="AX160" s="3662">
        <f>AT160*(1+$L$6)</f>
        <v>0</v>
      </c>
      <c r="AZ160" s="3586">
        <f>BB160*$BA$14</f>
        <v>0</v>
      </c>
      <c r="BA160" s="1289">
        <f>IFERROR(AZ160/$AZ$44,0)</f>
        <v>0</v>
      </c>
      <c r="BB160" s="3662">
        <f>AX160*(1+$L$6)</f>
        <v>0</v>
      </c>
      <c r="BD160" s="3586" t="n">
        <f t="array" ref="BD160">IFERROR($H160/12,0)</f>
        <v>0</v>
      </c>
      <c r="BE160" s="1289" t="n">
        <f t="array" ref="BE160">IFERROR($H160/$H$44,0)</f>
        <v>0</v>
      </c>
      <c r="BF160" s="3662" t="n">
        <f t="array" ref="BF160">IFERROR(($H160/12)/1650,0)</f>
        <v>0</v>
      </c>
    </row>
    <row r="161" s="1168" customFormat="1" ht="15" customHeight="1">
      <c r="E161" s="3583" t="n"/>
      <c r="F161" s="1172" t="n"/>
      <c r="G161" s="1283" t="inlineStr">
        <is>
          <t xml:space="preserve">Bank Charges</t>
        </is>
      </c>
      <c r="H161" s="3586">
        <f>J161*$I$14</f>
        <v>297.11</v>
      </c>
      <c r="I161" s="1171">
        <f>IFERROR(H161/$H$44,0)</f>
        <v>0.0002</v>
      </c>
      <c r="J161" s="3662">
        <v>0.0148</v>
      </c>
      <c r="K161" s="1172" t="n"/>
      <c r="L161" s="3585">
        <f>N161*$M$14</f>
        <v>354.6413</v>
      </c>
      <c r="M161" s="1289">
        <f>IFERROR(L161/$L$44,0)</f>
        <v>0.000198039215686</v>
      </c>
      <c r="N161" s="3662">
        <f>J161*(1+$L$6)</f>
        <v>0.014948</v>
      </c>
      <c r="P161" s="3586">
        <f>R161*$Q$14</f>
        <v>396.7617744</v>
      </c>
      <c r="Q161" s="1292">
        <f>IFERROR(P161/$P$44,0)</f>
        <v>0.000196097654748</v>
      </c>
      <c r="R161" s="3662">
        <f>N161*(1+$L$6)</f>
        <v>0.01509748</v>
      </c>
      <c r="T161" s="3586">
        <f>V161*$U$14</f>
        <v>400.729392144</v>
      </c>
      <c r="U161" s="1289">
        <f>IFERROR(T161/$T$44,0)</f>
        <v>0.000194175128721</v>
      </c>
      <c r="V161" s="3662">
        <f>R161*(1+$L$6)</f>
        <v>0.0152484548</v>
      </c>
      <c r="X161" s="3586">
        <f>Z161*$Y$14</f>
        <v>404.736686065</v>
      </c>
      <c r="Y161" s="1289">
        <f>IFERROR(X161/$X$44,0)</f>
        <v>0.000192271450989</v>
      </c>
      <c r="Z161" s="3662">
        <f>V161*(1+$L$6)</f>
        <v>0.015400939348</v>
      </c>
      <c r="AB161" s="3586">
        <f>AD161*$AC$14</f>
        <v>408.784052926</v>
      </c>
      <c r="AC161" s="1289">
        <f>IFERROR(AB161/$AB$44,0)</f>
        <v>0.000190386436763</v>
      </c>
      <c r="AD161" s="3662">
        <f>Z161*(1+$L$6)</f>
        <v>0.0155549487415</v>
      </c>
      <c r="AF161" s="3586">
        <f>AH161*$AG$14</f>
        <v>412.871893455</v>
      </c>
      <c r="AG161" s="1289">
        <f>IFERROR(AF161/$AF$44,0)</f>
        <v>0.00018851990307</v>
      </c>
      <c r="AH161" s="3662">
        <f>AD161*(1+$L$6)</f>
        <v>0.0157104982289</v>
      </c>
      <c r="AJ161" s="3586">
        <f>AL161*$AK$14</f>
        <v>417.00061239</v>
      </c>
      <c r="AK161" s="1289">
        <f>IFERROR(AJ161/$AJ$44,0)</f>
        <v>0.000186671668726</v>
      </c>
      <c r="AL161" s="3662">
        <f>AH161*(1+$L$6)</f>
        <v>0.0158676032112</v>
      </c>
      <c r="AN161" s="3586">
        <f>AP161*$AO$14</f>
        <v>421.170618514</v>
      </c>
      <c r="AO161" s="1289">
        <f>IFERROR(AN161/$AN$44,0)</f>
        <v>0.000184841554326</v>
      </c>
      <c r="AP161" s="3662">
        <f>AL161*(1+$L$6)</f>
        <v>0.0160262792433</v>
      </c>
      <c r="AR161" s="3586">
        <f>AT161*$AS$14</f>
        <v>425.382324699</v>
      </c>
      <c r="AS161" s="1289">
        <f>IFERROR(AR161/$AR$44,0)</f>
        <v>0.000183029382225</v>
      </c>
      <c r="AT161" s="3662">
        <f>AP161*(1+$L$6)</f>
        <v>0.0161865420357</v>
      </c>
      <c r="AV161" s="3586">
        <f>AX161*$AW$14</f>
        <v>429.636147946</v>
      </c>
      <c r="AW161" s="1289">
        <f>IFERROR(AV161/$AV$44,0)</f>
        <v>0.000184859676047</v>
      </c>
      <c r="AX161" s="3662">
        <f>AT161*(1+$L$6)</f>
        <v>0.0163484074561</v>
      </c>
      <c r="AZ161" s="3586">
        <f>BB161*$BA$14</f>
        <v>433.932509425</v>
      </c>
      <c r="BA161" s="1289">
        <f>IFERROR(AZ161/$AZ$44,0)</f>
        <v>0.000186708272808</v>
      </c>
      <c r="BB161" s="3662">
        <f>AX161*(1+$L$6)</f>
        <v>0.0165118915306</v>
      </c>
      <c r="BD161" s="3586" t="n">
        <f t="array" ref="BD161">IFERROR($H161/12,0)</f>
        <v>24.75916666666667</v>
      </c>
      <c r="BE161" s="1289" t="n">
        <f t="array" ref="BE161">IFERROR($H161/$H$44,0)</f>
        <v>0.0002</v>
      </c>
      <c r="BF161" s="3662" t="n">
        <f t="array" ref="BF161">IFERROR(($H161/12)/1650,0)</f>
        <v>0.015005555555555557</v>
      </c>
    </row>
    <row r="162" s="1168" customFormat="1" ht="15" customHeight="1">
      <c r="E162" s="3583" t="n"/>
      <c r="F162" s="1172" t="n"/>
      <c r="G162" s="1283" t="inlineStr">
        <is>
          <t xml:space="preserve">Credit Card Discounts</t>
        </is>
      </c>
      <c r="H162" s="3586">
        <f>J162*$I$14</f>
        <v>37138.75</v>
      </c>
      <c r="I162" s="1171">
        <f>IFERROR(H162/$H$44,0)</f>
        <v>0.025</v>
      </c>
      <c r="J162" s="3662">
        <v>1.85</v>
      </c>
      <c r="K162" s="1172" t="n"/>
      <c r="L162" s="3585">
        <f>N162*$M$14</f>
        <v>44330.1625</v>
      </c>
      <c r="M162" s="1289">
        <f>IFERROR(L162/$L$44,0)</f>
        <v>0.0247549019608</v>
      </c>
      <c r="N162" s="3662">
        <f>J162*(1+$L$6)</f>
        <v>1.8685</v>
      </c>
      <c r="P162" s="3586">
        <f>R162*$Q$14</f>
        <v>49595.2218</v>
      </c>
      <c r="Q162" s="1292">
        <f>IFERROR(P162/$P$44,0)</f>
        <v>0.0245122068435</v>
      </c>
      <c r="R162" s="3662">
        <f>N162*(1+$L$6)</f>
        <v>1.887185</v>
      </c>
      <c r="T162" s="3586">
        <f>V162*$U$14</f>
        <v>50091.174018</v>
      </c>
      <c r="U162" s="1289">
        <f>IFERROR(T162/$T$44,0)</f>
        <v>0.0242718910902</v>
      </c>
      <c r="V162" s="3662">
        <f>R162*(1+$L$6)</f>
        <v>1.90605685</v>
      </c>
      <c r="X162" s="3586">
        <f>Z162*$Y$14</f>
        <v>50592.0857582</v>
      </c>
      <c r="Y162" s="1289">
        <f>IFERROR(X162/$X$44,0)</f>
        <v>0.0240339313736</v>
      </c>
      <c r="Z162" s="3662">
        <f>V162*(1+$L$6)</f>
        <v>1.9251174185</v>
      </c>
      <c r="AB162" s="3586">
        <f>AD162*$AC$14</f>
        <v>51098.0066158</v>
      </c>
      <c r="AC162" s="1289">
        <f>IFERROR(AB162/$AB$44,0)</f>
        <v>0.0237983045954</v>
      </c>
      <c r="AD162" s="3662">
        <f>Z162*(1+$L$6)</f>
        <v>1.94436859269</v>
      </c>
      <c r="AF162" s="3586">
        <f>AH162*$AG$14</f>
        <v>51608.9866819</v>
      </c>
      <c r="AG162" s="1289">
        <f>IFERROR(AF162/$AF$44,0)</f>
        <v>0.0235649878837</v>
      </c>
      <c r="AH162" s="3662">
        <f>AD162*(1+$L$6)</f>
        <v>1.96381227861</v>
      </c>
      <c r="AJ162" s="3586">
        <f>AL162*$AK$14</f>
        <v>52125.0765487</v>
      </c>
      <c r="AK162" s="1289">
        <f>IFERROR(AJ162/$AJ$44,0)</f>
        <v>0.0233339585907</v>
      </c>
      <c r="AL162" s="3662">
        <f>AH162*(1+$L$6)</f>
        <v>1.9834504014</v>
      </c>
      <c r="AN162" s="3586">
        <f>AP162*$AO$14</f>
        <v>52646.3273142</v>
      </c>
      <c r="AO162" s="1289">
        <f>IFERROR(AN162/$AN$44,0)</f>
        <v>0.0231051942908</v>
      </c>
      <c r="AP162" s="3662">
        <f>AL162*(1+$L$6)</f>
        <v>2.00328490541</v>
      </c>
      <c r="AR162" s="3586">
        <f>AT162*$AS$14</f>
        <v>53172.7905874</v>
      </c>
      <c r="AS162" s="1289">
        <f>IFERROR(AR162/$AR$44,0)</f>
        <v>0.0228786727782</v>
      </c>
      <c r="AT162" s="3662">
        <f>AP162*(1+$L$6)</f>
        <v>2.02331775447</v>
      </c>
      <c r="AV162" s="3586">
        <f>AX162*$AW$14</f>
        <v>53704.5184932</v>
      </c>
      <c r="AW162" s="1289">
        <f>IFERROR(AV162/$AV$44,0)</f>
        <v>0.0231074595059</v>
      </c>
      <c r="AX162" s="3662">
        <f>AT162*(1+$L$6)</f>
        <v>2.04355093201</v>
      </c>
      <c r="AZ162" s="3586">
        <f>BB162*$BA$14</f>
        <v>54241.5636782</v>
      </c>
      <c r="BA162" s="1289">
        <f>IFERROR(AZ162/$AZ$44,0)</f>
        <v>0.023338534101</v>
      </c>
      <c r="BB162" s="3662">
        <f>AX162*(1+$L$6)</f>
        <v>2.06398644133</v>
      </c>
      <c r="BD162" s="3586" t="n">
        <f t="array" ref="BD162">IFERROR($H162/12,0)</f>
        <v>3094.8958333333335</v>
      </c>
      <c r="BE162" s="1289" t="n">
        <f t="array" ref="BE162">IFERROR($H162/$H$44,0)</f>
        <v>0.025</v>
      </c>
      <c r="BF162" s="3662" t="n">
        <f t="array" ref="BF162">IFERROR(($H162/12)/1650,0)</f>
        <v>1.8756944444444446</v>
      </c>
    </row>
    <row r="163" s="1168" customFormat="1" ht="15" customHeight="1">
      <c r="E163" s="3583" t="n"/>
      <c r="F163" s="1172" t="n"/>
      <c r="G163" s="1283" t="inlineStr">
        <is>
          <t xml:space="preserve">Bad Debts</t>
        </is>
      </c>
      <c r="H163" s="3586">
        <f>J163*$I$14</f>
        <v>297.11</v>
      </c>
      <c r="I163" s="1171">
        <f>IFERROR(H163/$H$44,0)</f>
        <v>0.0002</v>
      </c>
      <c r="J163" s="3662">
        <v>0.0148</v>
      </c>
      <c r="K163" s="1172" t="n"/>
      <c r="L163" s="3585">
        <f>N163*$M$14</f>
        <v>354.6413</v>
      </c>
      <c r="M163" s="1289">
        <f>IFERROR(L163/$L$44,0)</f>
        <v>0.000198039215686</v>
      </c>
      <c r="N163" s="3662">
        <f>J163*(1+$L$6)</f>
        <v>0.014948</v>
      </c>
      <c r="P163" s="3586">
        <f>R163*$Q$14</f>
        <v>396.7617744</v>
      </c>
      <c r="Q163" s="1292">
        <f>IFERROR(P163/$P$44,0)</f>
        <v>0.000196097654748</v>
      </c>
      <c r="R163" s="3662">
        <f>N163*(1+$L$6)</f>
        <v>0.01509748</v>
      </c>
      <c r="T163" s="3586">
        <f>V163*$U$14</f>
        <v>400.729392144</v>
      </c>
      <c r="U163" s="1289">
        <f>IFERROR(T163/$T$44,0)</f>
        <v>0.000194175128721</v>
      </c>
      <c r="V163" s="3662">
        <f>R163*(1+$L$6)</f>
        <v>0.0152484548</v>
      </c>
      <c r="X163" s="3586">
        <f>Z163*$Y$14</f>
        <v>404.736686065</v>
      </c>
      <c r="Y163" s="1289">
        <f>IFERROR(X163/$X$44,0)</f>
        <v>0.000192271450989</v>
      </c>
      <c r="Z163" s="3662">
        <f>V163*(1+$L$6)</f>
        <v>0.015400939348</v>
      </c>
      <c r="AB163" s="3586">
        <f>AD163*$AC$14</f>
        <v>408.784052926</v>
      </c>
      <c r="AC163" s="1289">
        <f>IFERROR(AB163/$AB$44,0)</f>
        <v>0.000190386436763</v>
      </c>
      <c r="AD163" s="3662">
        <f>Z163*(1+$L$6)</f>
        <v>0.0155549487415</v>
      </c>
      <c r="AF163" s="3586">
        <f>AH163*$AG$14</f>
        <v>412.871893455</v>
      </c>
      <c r="AG163" s="1289">
        <f>IFERROR(AF163/$AF$44,0)</f>
        <v>0.00018851990307</v>
      </c>
      <c r="AH163" s="3662">
        <f>AD163*(1+$L$6)</f>
        <v>0.0157104982289</v>
      </c>
      <c r="AJ163" s="3586">
        <f>AL163*$AK$14</f>
        <v>417.00061239</v>
      </c>
      <c r="AK163" s="1289">
        <f>IFERROR(AJ163/$AJ$44,0)</f>
        <v>0.000186671668726</v>
      </c>
      <c r="AL163" s="3662">
        <f>AH163*(1+$L$6)</f>
        <v>0.0158676032112</v>
      </c>
      <c r="AN163" s="3586">
        <f>AP163*$AO$14</f>
        <v>421.170618514</v>
      </c>
      <c r="AO163" s="1289">
        <f>IFERROR(AN163/$AN$44,0)</f>
        <v>0.000184841554326</v>
      </c>
      <c r="AP163" s="3662">
        <f>AL163*(1+$L$6)</f>
        <v>0.0160262792433</v>
      </c>
      <c r="AR163" s="3586">
        <f>AT163*$AS$14</f>
        <v>425.382324699</v>
      </c>
      <c r="AS163" s="1289">
        <f>IFERROR(AR163/$AR$44,0)</f>
        <v>0.000183029382225</v>
      </c>
      <c r="AT163" s="3662">
        <f>AP163*(1+$L$6)</f>
        <v>0.0161865420357</v>
      </c>
      <c r="AV163" s="3586">
        <f>AX163*$AW$14</f>
        <v>429.636147946</v>
      </c>
      <c r="AW163" s="1289">
        <f>IFERROR(AV163/$AV$44,0)</f>
        <v>0.000184859676047</v>
      </c>
      <c r="AX163" s="3662">
        <f>AT163*(1+$L$6)</f>
        <v>0.0163484074561</v>
      </c>
      <c r="AZ163" s="3586">
        <f>BB163*$BA$14</f>
        <v>433.932509425</v>
      </c>
      <c r="BA163" s="1289">
        <f>IFERROR(AZ163/$AZ$44,0)</f>
        <v>0.000186708272808</v>
      </c>
      <c r="BB163" s="3662">
        <f>AX163*(1+$L$6)</f>
        <v>0.0165118915306</v>
      </c>
      <c r="BD163" s="3586" t="n">
        <f t="array" ref="BD163">IFERROR($H163/12,0)</f>
        <v>24.75916666666667</v>
      </c>
      <c r="BE163" s="1289" t="n">
        <f t="array" ref="BE163">IFERROR($H163/$H$44,0)</f>
        <v>0.0002</v>
      </c>
      <c r="BF163" s="3662" t="n">
        <f t="array" ref="BF163">IFERROR(($H163/12)/1650,0)</f>
        <v>0.015005555555555557</v>
      </c>
    </row>
    <row r="164" s="1168" customFormat="1" ht="15" customHeight="1">
      <c r="E164" s="3583" t="n"/>
      <c r="F164" s="1172" t="n"/>
      <c r="G164" s="1325" t="inlineStr">
        <is>
          <t xml:space="preserve">Cashier Over/Short</t>
        </is>
      </c>
      <c r="H164" s="3620">
        <f>J164*$I$14</f>
        <v>0</v>
      </c>
      <c r="I164" s="1429">
        <f>IFERROR(H164/$H$44,0)</f>
        <v>0</v>
      </c>
      <c r="J164" s="3667">
        <v>0</v>
      </c>
      <c r="K164" s="1172" t="n"/>
      <c r="L164" s="3608">
        <f>N164*$M$14</f>
        <v>0</v>
      </c>
      <c r="M164" s="1330">
        <f>IFERROR(L164/$L$44,0)</f>
        <v>0</v>
      </c>
      <c r="N164" s="3667">
        <f>J164*(1+$L$6)</f>
        <v>0</v>
      </c>
      <c r="P164" s="3620">
        <f>R164*$Q$14</f>
        <v>0</v>
      </c>
      <c r="Q164" s="1332">
        <f>IFERROR(P164/$P$44,0)</f>
        <v>0</v>
      </c>
      <c r="R164" s="3667">
        <f>N164*(1+$L$6)</f>
        <v>0</v>
      </c>
      <c r="T164" s="3620">
        <f>V164*$U$14</f>
        <v>0</v>
      </c>
      <c r="U164" s="1330">
        <f>IFERROR(T164/$T$44,0)</f>
        <v>0</v>
      </c>
      <c r="V164" s="3667">
        <f>R164*(1+$L$6)</f>
        <v>0</v>
      </c>
      <c r="X164" s="3620">
        <f>Z164*$Y$14</f>
        <v>0</v>
      </c>
      <c r="Y164" s="1330">
        <f>IFERROR(X164/$X$44,0)</f>
        <v>0</v>
      </c>
      <c r="Z164" s="3667">
        <f>V164*(1+$L$6)</f>
        <v>0</v>
      </c>
      <c r="AB164" s="3620">
        <f>AD164*$AC$14</f>
        <v>0</v>
      </c>
      <c r="AC164" s="1330">
        <f>IFERROR(AB164/$AB$44,0)</f>
        <v>0</v>
      </c>
      <c r="AD164" s="3667">
        <f>Z164*(1+$L$6)</f>
        <v>0</v>
      </c>
      <c r="AF164" s="3620">
        <f>AH164*$AG$14</f>
        <v>0</v>
      </c>
      <c r="AG164" s="1330">
        <f>IFERROR(AF164/$AF$44,0)</f>
        <v>0</v>
      </c>
      <c r="AH164" s="3667">
        <f>AD164*(1+$L$6)</f>
        <v>0</v>
      </c>
      <c r="AJ164" s="3620">
        <f>AL164*$AK$14</f>
        <v>0</v>
      </c>
      <c r="AK164" s="1330">
        <f>IFERROR(AJ164/$AJ$44,0)</f>
        <v>0</v>
      </c>
      <c r="AL164" s="3667">
        <f>AH164*(1+$L$6)</f>
        <v>0</v>
      </c>
      <c r="AN164" s="3620">
        <f>AP164*$AO$14</f>
        <v>0</v>
      </c>
      <c r="AO164" s="1330">
        <f>IFERROR(AN164/$AN$44,0)</f>
        <v>0</v>
      </c>
      <c r="AP164" s="3667">
        <f>AL164*(1+$L$6)</f>
        <v>0</v>
      </c>
      <c r="AR164" s="3620">
        <f>AT164*$AS$14</f>
        <v>0</v>
      </c>
      <c r="AS164" s="1330">
        <f>IFERROR(AR164/$AR$44,0)</f>
        <v>0</v>
      </c>
      <c r="AT164" s="3667">
        <f>AP164*(1+$L$6)</f>
        <v>0</v>
      </c>
      <c r="AV164" s="3620">
        <f>AX164*$AW$14</f>
        <v>0</v>
      </c>
      <c r="AW164" s="1330">
        <f>IFERROR(AV164/$AV$44,0)</f>
        <v>0</v>
      </c>
      <c r="AX164" s="3667">
        <f>AT164*(1+$L$6)</f>
        <v>0</v>
      </c>
      <c r="AZ164" s="3620">
        <f>BB164*$BA$14</f>
        <v>0</v>
      </c>
      <c r="BA164" s="1330">
        <f>IFERROR(AZ164/$AZ$44,0)</f>
        <v>0</v>
      </c>
      <c r="BB164" s="3667">
        <f>AX164*(1+$L$6)</f>
        <v>0</v>
      </c>
      <c r="BD164" s="3620" t="n">
        <f t="array" ref="BD164">IFERROR($H164/12,0)</f>
        <v>0</v>
      </c>
      <c r="BE164" s="1330" t="n">
        <f t="array" ref="BE164">IFERROR($H164/$H$44,0)</f>
        <v>0</v>
      </c>
      <c r="BF164" s="3667" t="n">
        <f t="array" ref="BF164">IFERROR(($H164/12)/1650,0)</f>
        <v>0</v>
      </c>
    </row>
    <row r="165" s="1168" customFormat="1" ht="15" customHeight="1">
      <c r="E165" s="3589" t="n">
        <v>4000</v>
      </c>
      <c r="F165" s="1172" t="n"/>
      <c r="G165" s="1433" t="inlineStr">
        <is>
          <t xml:space="preserve">Insurance-General Liability</t>
        </is>
      </c>
      <c r="H165" s="3638">
        <f>J165*$I$14</f>
        <v>48000</v>
      </c>
      <c r="I165" s="1378">
        <f>IFERROR(H165/$H$44,0)</f>
        <v>0.032311265188</v>
      </c>
      <c r="J165" s="3741">
        <v>2.39103362391</v>
      </c>
      <c r="K165" s="1172" t="n"/>
      <c r="L165" s="3640">
        <f>N165*$M$14</f>
        <v>57294.5454545</v>
      </c>
      <c r="M165" s="1381">
        <f>IFERROR(L165/$L$44,0)</f>
        <v>0.0319944880783</v>
      </c>
      <c r="N165" s="3741">
        <f>J165*(1+$L$6)</f>
        <v>2.41494396015</v>
      </c>
      <c r="P165" s="3641">
        <f>R165*$Q$14</f>
        <v>64099.3745455</v>
      </c>
      <c r="Q165" s="1378">
        <f>IFERROR(P165/$P$44,0)</f>
        <v>0.0316808166265</v>
      </c>
      <c r="R165" s="3741">
        <f>N165*(1+$L$6)</f>
        <v>2.43909339975</v>
      </c>
      <c r="T165" s="3641">
        <f>V165*$U$14</f>
        <v>64740.3682909</v>
      </c>
      <c r="U165" s="1381">
        <f>IFERROR(T165/$T$44,0)</f>
        <v>0.0313702203851</v>
      </c>
      <c r="V165" s="3741">
        <f>R165*(1+$L$6)</f>
        <v>2.46348433375</v>
      </c>
      <c r="X165" s="3641">
        <f>Z165*$Y$14</f>
        <v>65387.7719738</v>
      </c>
      <c r="Y165" s="1381">
        <f>IFERROR(X165/$X$44,0)</f>
        <v>0.0310626692049</v>
      </c>
      <c r="Z165" s="3741">
        <f>V165*(1+$L$6)</f>
        <v>2.48811917709</v>
      </c>
      <c r="AB165" s="3641">
        <f>AD165*$AC$14</f>
        <v>66041.6496936</v>
      </c>
      <c r="AC165" s="1381">
        <f>IFERROR(AB165/$AB$44,0)</f>
        <v>0.0307581332323</v>
      </c>
      <c r="AD165" s="3741">
        <f>Z165*(1+$L$6)</f>
        <v>2.51300036886</v>
      </c>
      <c r="AF165" s="3641">
        <f>AH165*$AG$14</f>
        <v>66702.0661905</v>
      </c>
      <c r="AG165" s="1381">
        <f>IFERROR(AF165/$AF$44,0)</f>
        <v>0.0304565829065</v>
      </c>
      <c r="AH165" s="3741">
        <f>AD165*(1+$L$6)</f>
        <v>2.53813037255</v>
      </c>
      <c r="AJ165" s="3641">
        <f>AL165*$AK$14</f>
        <v>67369.0868524</v>
      </c>
      <c r="AK165" s="1381">
        <f>IFERROR(AJ165/$AJ$44,0)</f>
        <v>0.0301579889564</v>
      </c>
      <c r="AL165" s="3741">
        <f>AH165*(1+$L$6)</f>
        <v>2.56351167627</v>
      </c>
      <c r="AN165" s="3641">
        <f>AP165*$AO$14</f>
        <v>68042.7777209</v>
      </c>
      <c r="AO165" s="1381">
        <f>IFERROR(AN165/$AN$44,0)</f>
        <v>0.029862322398</v>
      </c>
      <c r="AP165" s="3741">
        <f>AL165*(1+$L$6)</f>
        <v>2.58914679303</v>
      </c>
      <c r="AR165" s="3641">
        <f>AT165*$AS$14</f>
        <v>68723.2054981</v>
      </c>
      <c r="AS165" s="1381">
        <f>IFERROR(AR165/$AR$44,0)</f>
        <v>0.0295695545314</v>
      </c>
      <c r="AT165" s="3741">
        <f>AP165*(1+$L$6)</f>
        <v>2.61503826096</v>
      </c>
      <c r="AV165" s="3641">
        <f>AX165*$AW$14</f>
        <v>69410.4375531</v>
      </c>
      <c r="AW165" s="1381">
        <f>IFERROR(AV165/$AV$44,0)</f>
        <v>0.0298652500767</v>
      </c>
      <c r="AX165" s="3741">
        <f>AT165*(1+$L$6)</f>
        <v>2.64118864357</v>
      </c>
      <c r="AZ165" s="3641">
        <f>BB165*$BA$14</f>
        <v>70104.5419286</v>
      </c>
      <c r="BA165" s="1381">
        <f>IFERROR(AZ165/$AZ$44,0)</f>
        <v>0.0301639025774</v>
      </c>
      <c r="BB165" s="3741">
        <f>AX165*(1+$L$6)</f>
        <v>2.66760053001</v>
      </c>
      <c r="BD165" s="3641" t="n">
        <f t="array" ref="BD165">IFERROR($H165/12,0)</f>
        <v>4000</v>
      </c>
      <c r="BE165" s="1381" t="n">
        <f t="array" ref="BE165">IFERROR($H165/$H$44,0)</f>
        <v>0.032311265187977514</v>
      </c>
      <c r="BF165" s="3741" t="n">
        <f t="array" ref="BF165">IFERROR(($H165/12)/1650,0)</f>
        <v>2.4242424242424243</v>
      </c>
    </row>
    <row r="166" s="1168" customFormat="1" ht="15" customHeight="1">
      <c r="E166" s="3589" t="n">
        <v>1000</v>
      </c>
      <c r="F166" s="1172" t="n"/>
      <c r="G166" s="1433" t="inlineStr">
        <is>
          <t xml:space="preserve">Insurance-Workers Comp</t>
        </is>
      </c>
      <c r="H166" s="3638">
        <f>J166*$I$14</f>
        <v>12000</v>
      </c>
      <c r="I166" s="1378">
        <f>IFERROR(H166/$H$44,0)</f>
        <v>0.00807781629699</v>
      </c>
      <c r="J166" s="3741">
        <v>0.597758405978</v>
      </c>
      <c r="K166" s="1172" t="n"/>
      <c r="L166" s="3640">
        <f>N166*$M$14</f>
        <v>14323.6363636</v>
      </c>
      <c r="M166" s="1381">
        <f>IFERROR(L166/$L$44,0)</f>
        <v>0.00799862201957</v>
      </c>
      <c r="N166" s="3741">
        <f>J166*(1+$L$6)</f>
        <v>0.603735990037</v>
      </c>
      <c r="P166" s="3641">
        <f>R166*$Q$14</f>
        <v>16024.8436364</v>
      </c>
      <c r="Q166" s="1378">
        <f>IFERROR(P166/$P$44,0)</f>
        <v>0.00792020415664</v>
      </c>
      <c r="R166" s="3741">
        <f>N166*(1+$L$6)</f>
        <v>0.609773349938</v>
      </c>
      <c r="T166" s="3641">
        <f>V166*$U$14</f>
        <v>16185.0920727</v>
      </c>
      <c r="U166" s="1381">
        <f>IFERROR(T166/$T$44,0)</f>
        <v>0.00784255509628</v>
      </c>
      <c r="V166" s="3741">
        <f>R166*(1+$L$6)</f>
        <v>0.615871083437</v>
      </c>
      <c r="X166" s="3641">
        <f>Z166*$Y$14</f>
        <v>16346.9429935</v>
      </c>
      <c r="Y166" s="1381">
        <f>IFERROR(X166/$X$44,0)</f>
        <v>0.00776566730122</v>
      </c>
      <c r="Z166" s="3741">
        <f>V166*(1+$L$6)</f>
        <v>0.622029794271</v>
      </c>
      <c r="AB166" s="3641">
        <f>AD166*$AC$14</f>
        <v>16510.4124234</v>
      </c>
      <c r="AC166" s="1381">
        <f>IFERROR(AB166/$AB$44,0)</f>
        <v>0.00768953330807</v>
      </c>
      <c r="AD166" s="3741">
        <f>Z166*(1+$L$6)</f>
        <v>0.628250092214</v>
      </c>
      <c r="AF166" s="3641">
        <f>AH166*$AG$14</f>
        <v>16675.5165476</v>
      </c>
      <c r="AG166" s="1381">
        <f>IFERROR(AF166/$AF$44,0)</f>
        <v>0.00761414572661</v>
      </c>
      <c r="AH166" s="3741">
        <f>AD166*(1+$L$6)</f>
        <v>0.634532593136</v>
      </c>
      <c r="AJ166" s="3641">
        <f>AL166*$AK$14</f>
        <v>16842.2717131</v>
      </c>
      <c r="AK166" s="1381">
        <f>IFERROR(AJ166/$AJ$44,0)</f>
        <v>0.0075394972391</v>
      </c>
      <c r="AL166" s="3741">
        <f>AH166*(1+$L$6)</f>
        <v>0.640877919068</v>
      </c>
      <c r="AN166" s="3641">
        <f>AP166*$AO$14</f>
        <v>17010.6944302</v>
      </c>
      <c r="AO166" s="1381">
        <f>IFERROR(AN166/$AN$44,0)</f>
        <v>0.0074655805995</v>
      </c>
      <c r="AP166" s="3741">
        <f>AL166*(1+$L$6)</f>
        <v>0.647286698258</v>
      </c>
      <c r="AR166" s="3641">
        <f>AT166*$AS$14</f>
        <v>17180.8013745</v>
      </c>
      <c r="AS166" s="1381">
        <f>IFERROR(AR166/$AR$44,0)</f>
        <v>0.00739238863284</v>
      </c>
      <c r="AT166" s="3741">
        <f>AP166*(1+$L$6)</f>
        <v>0.653759565241</v>
      </c>
      <c r="AV166" s="3641">
        <f>AX166*$AW$14</f>
        <v>17352.6093883</v>
      </c>
      <c r="AW166" s="1381">
        <f>IFERROR(AV166/$AV$44,0)</f>
        <v>0.00746631251917</v>
      </c>
      <c r="AX166" s="3741">
        <f>AT166*(1+$L$6)</f>
        <v>0.660297160893</v>
      </c>
      <c r="AZ166" s="3641">
        <f>BB166*$BA$14</f>
        <v>17526.1354822</v>
      </c>
      <c r="BA166" s="1381">
        <f>IFERROR(AZ166/$AZ$44,0)</f>
        <v>0.00754097564436</v>
      </c>
      <c r="BB166" s="3741">
        <f>AX166*(1+$L$6)</f>
        <v>0.666900132502</v>
      </c>
      <c r="BD166" s="3641" t="n">
        <f t="array" ref="BD166">IFERROR($H166/12,0)</f>
        <v>1000</v>
      </c>
      <c r="BE166" s="1381" t="n">
        <f t="array" ref="BE166">IFERROR($H166/$H$44,0)</f>
        <v>0.008077816296994379</v>
      </c>
      <c r="BF166" s="3741" t="n">
        <f t="array" ref="BF166">IFERROR(($H166/12)/1650,0)</f>
        <v>0.6060606060606061</v>
      </c>
    </row>
    <row r="167" s="1168" customFormat="1" ht="15" customHeight="1">
      <c r="E167" s="3583" t="n">
        <v>0</v>
      </c>
      <c r="F167" s="1172" t="n"/>
      <c r="G167" s="1433" t="inlineStr">
        <is>
          <t xml:space="preserve">Automobile Expense</t>
        </is>
      </c>
      <c r="H167" s="3641">
        <f>J167*$I$14</f>
        <v>0</v>
      </c>
      <c r="I167" s="1434">
        <f>IFERROR(H167/$H$44,0)</f>
        <v>0</v>
      </c>
      <c r="J167" s="3741">
        <v>0</v>
      </c>
      <c r="K167" s="1172" t="n"/>
      <c r="L167" s="3640">
        <f>N167*$M$14</f>
        <v>0</v>
      </c>
      <c r="M167" s="1381">
        <f>IFERROR(L167/$L$44,0)</f>
        <v>0</v>
      </c>
      <c r="N167" s="3741">
        <f>J167*(1+$L$6)</f>
        <v>0</v>
      </c>
      <c r="P167" s="3641">
        <f>R167*$Q$14</f>
        <v>0</v>
      </c>
      <c r="Q167" s="1378">
        <f>IFERROR(P167/$P$44,0)</f>
        <v>0</v>
      </c>
      <c r="R167" s="3741">
        <f>N167*(1+$L$6)</f>
        <v>0</v>
      </c>
      <c r="T167" s="3641">
        <f>V167*$U$14</f>
        <v>0</v>
      </c>
      <c r="U167" s="1381">
        <f>IFERROR(T167/$T$44,0)</f>
        <v>0</v>
      </c>
      <c r="V167" s="3741">
        <f>R167*(1+$L$6)</f>
        <v>0</v>
      </c>
      <c r="X167" s="3641">
        <f>Z167*$Y$14</f>
        <v>0</v>
      </c>
      <c r="Y167" s="1381">
        <f>IFERROR(X167/$X$44,0)</f>
        <v>0</v>
      </c>
      <c r="Z167" s="3741">
        <f>V167*(1+$L$6)</f>
        <v>0</v>
      </c>
      <c r="AB167" s="3641">
        <f>AD167*$AC$14</f>
        <v>0</v>
      </c>
      <c r="AC167" s="1381">
        <f>IFERROR(AB167/$AB$44,0)</f>
        <v>0</v>
      </c>
      <c r="AD167" s="3741">
        <f>Z167*(1+$L$6)</f>
        <v>0</v>
      </c>
      <c r="AF167" s="3641">
        <f>AH167*$AG$14</f>
        <v>0</v>
      </c>
      <c r="AG167" s="1381">
        <f>IFERROR(AF167/$AF$44,0)</f>
        <v>0</v>
      </c>
      <c r="AH167" s="3741">
        <f>AD167*(1+$L$6)</f>
        <v>0</v>
      </c>
      <c r="AJ167" s="3641">
        <f>AL167*$AK$14</f>
        <v>0</v>
      </c>
      <c r="AK167" s="1381">
        <f>IFERROR(AJ167/$AJ$44,0)</f>
        <v>0</v>
      </c>
      <c r="AL167" s="3741">
        <f>AH167*(1+$L$6)</f>
        <v>0</v>
      </c>
      <c r="AN167" s="3641">
        <f>AP167*$AO$14</f>
        <v>0</v>
      </c>
      <c r="AO167" s="1381">
        <f>IFERROR(AN167/$AN$44,0)</f>
        <v>0</v>
      </c>
      <c r="AP167" s="3741">
        <f>AL167*(1+$L$6)</f>
        <v>0</v>
      </c>
      <c r="AR167" s="3641">
        <f>AT167*$AS$14</f>
        <v>0</v>
      </c>
      <c r="AS167" s="1381">
        <f>IFERROR(AR167/$AR$44,0)</f>
        <v>0</v>
      </c>
      <c r="AT167" s="3741">
        <f>AP167*(1+$L$6)</f>
        <v>0</v>
      </c>
      <c r="AV167" s="3641">
        <f>AX167*$AW$14</f>
        <v>0</v>
      </c>
      <c r="AW167" s="1381">
        <f>IFERROR(AV167/$AV$44,0)</f>
        <v>0</v>
      </c>
      <c r="AX167" s="3741">
        <f>AT167*(1+$L$6)</f>
        <v>0</v>
      </c>
      <c r="AZ167" s="3641">
        <f>BB167*$BA$14</f>
        <v>0</v>
      </c>
      <c r="BA167" s="1381">
        <f>IFERROR(AZ167/$AZ$44,0)</f>
        <v>0</v>
      </c>
      <c r="BB167" s="3741">
        <f>AX167*(1+$L$6)</f>
        <v>0</v>
      </c>
      <c r="BD167" s="3641" t="n">
        <f t="array" ref="BD167">IFERROR($H167/12,0)</f>
        <v>0</v>
      </c>
      <c r="BE167" s="1381" t="n">
        <f t="array" ref="BE167">IFERROR($H167/$H$44,0)</f>
        <v>0</v>
      </c>
      <c r="BF167" s="3741" t="n">
        <f t="array" ref="BF167">IFERROR(($H167/12)/1650,0)</f>
        <v>0</v>
      </c>
    </row>
    <row r="168" s="1168" customFormat="1" ht="15" customHeight="1">
      <c r="E168" s="3583" t="n">
        <v>0</v>
      </c>
      <c r="F168" s="1172" t="n"/>
      <c r="G168" s="1433" t="inlineStr">
        <is>
          <t xml:space="preserve">Cell Phone</t>
        </is>
      </c>
      <c r="H168" s="3641">
        <f>J168*$I$14</f>
        <v>0</v>
      </c>
      <c r="I168" s="1434">
        <f>IFERROR(H168/$H$44,0)</f>
        <v>0</v>
      </c>
      <c r="J168" s="3741">
        <v>0</v>
      </c>
      <c r="K168" s="1172" t="n"/>
      <c r="L168" s="3640">
        <f>N168*$M$14</f>
        <v>0</v>
      </c>
      <c r="M168" s="1381">
        <f>IFERROR(L168/$L$44,0)</f>
        <v>0</v>
      </c>
      <c r="N168" s="3741">
        <f>J168*(1+$L$6)</f>
        <v>0</v>
      </c>
      <c r="P168" s="3641">
        <f>R168*$Q$14</f>
        <v>0</v>
      </c>
      <c r="Q168" s="1378">
        <f>IFERROR(P168/$P$44,0)</f>
        <v>0</v>
      </c>
      <c r="R168" s="3741">
        <f>N168*(1+$L$6)</f>
        <v>0</v>
      </c>
      <c r="T168" s="3641">
        <f>V168*$U$14</f>
        <v>0</v>
      </c>
      <c r="U168" s="1381">
        <f>IFERROR(T168/$T$44,0)</f>
        <v>0</v>
      </c>
      <c r="V168" s="3741">
        <f>R168*(1+$L$6)</f>
        <v>0</v>
      </c>
      <c r="X168" s="3641">
        <f>Z168*$Y$14</f>
        <v>0</v>
      </c>
      <c r="Y168" s="1381">
        <f>IFERROR(X168/$X$44,0)</f>
        <v>0</v>
      </c>
      <c r="Z168" s="3741">
        <f>V168*(1+$L$6)</f>
        <v>0</v>
      </c>
      <c r="AB168" s="3641">
        <f>AD168*$AC$14</f>
        <v>0</v>
      </c>
      <c r="AC168" s="1381">
        <f>IFERROR(AB168/$AB$44,0)</f>
        <v>0</v>
      </c>
      <c r="AD168" s="3741">
        <f>Z168*(1+$L$6)</f>
        <v>0</v>
      </c>
      <c r="AF168" s="3641">
        <f>AH168*$AG$14</f>
        <v>0</v>
      </c>
      <c r="AG168" s="1381">
        <f>IFERROR(AF168/$AF$44,0)</f>
        <v>0</v>
      </c>
      <c r="AH168" s="3741">
        <f>AD168*(1+$L$6)</f>
        <v>0</v>
      </c>
      <c r="AJ168" s="3641">
        <f>AL168*$AK$14</f>
        <v>0</v>
      </c>
      <c r="AK168" s="1381">
        <f>IFERROR(AJ168/$AJ$44,0)</f>
        <v>0</v>
      </c>
      <c r="AL168" s="3741">
        <f>AH168*(1+$L$6)</f>
        <v>0</v>
      </c>
      <c r="AN168" s="3641">
        <f>AP168*$AO$14</f>
        <v>0</v>
      </c>
      <c r="AO168" s="1381">
        <f>IFERROR(AN168/$AN$44,0)</f>
        <v>0</v>
      </c>
      <c r="AP168" s="3741">
        <f>AL168*(1+$L$6)</f>
        <v>0</v>
      </c>
      <c r="AR168" s="3641">
        <f>AT168*$AS$14</f>
        <v>0</v>
      </c>
      <c r="AS168" s="1381">
        <f>IFERROR(AR168/$AR$44,0)</f>
        <v>0</v>
      </c>
      <c r="AT168" s="3741">
        <f>AP168*(1+$L$6)</f>
        <v>0</v>
      </c>
      <c r="AV168" s="3641">
        <f>AX168*$AW$14</f>
        <v>0</v>
      </c>
      <c r="AW168" s="1381">
        <f>IFERROR(AV168/$AV$44,0)</f>
        <v>0</v>
      </c>
      <c r="AX168" s="3741">
        <f>AT168*(1+$L$6)</f>
        <v>0</v>
      </c>
      <c r="AZ168" s="3641">
        <f>BB168*$BA$14</f>
        <v>0</v>
      </c>
      <c r="BA168" s="1381">
        <f>IFERROR(AZ168/$AZ$44,0)</f>
        <v>0</v>
      </c>
      <c r="BB168" s="3741">
        <f>AX168*(1+$L$6)</f>
        <v>0</v>
      </c>
      <c r="BD168" s="3641" t="n">
        <f t="array" ref="BD168">IFERROR($H168/12,0)</f>
        <v>0</v>
      </c>
      <c r="BE168" s="1381" t="n">
        <f t="array" ref="BE168">IFERROR($H168/$H$44,0)</f>
        <v>0</v>
      </c>
      <c r="BF168" s="3741" t="n">
        <f t="array" ref="BF168">IFERROR(($H168/12)/1650,0)</f>
        <v>0</v>
      </c>
    </row>
    <row r="169" s="1168" customFormat="1" ht="15" customHeight="1">
      <c r="E169" s="3583" t="n"/>
      <c r="F169" s="1172" t="n"/>
      <c r="G169" s="1433" t="inlineStr">
        <is>
          <t xml:space="preserve">TBA</t>
        </is>
      </c>
      <c r="H169" s="3641">
        <f>J169*$I$14</f>
        <v>0</v>
      </c>
      <c r="I169" s="1434">
        <f>IFERROR(H169/$H$44,0)</f>
        <v>0</v>
      </c>
      <c r="J169" s="3741">
        <v>0</v>
      </c>
      <c r="K169" s="1172" t="n"/>
      <c r="L169" s="3640">
        <f>N169*$M$14</f>
        <v>0</v>
      </c>
      <c r="M169" s="1381">
        <f>IFERROR(L169/$L$44,0)</f>
        <v>0</v>
      </c>
      <c r="N169" s="3741">
        <f>J169*(1+$L$6)</f>
        <v>0</v>
      </c>
      <c r="P169" s="3641">
        <f>R169*$Q$14</f>
        <v>0</v>
      </c>
      <c r="Q169" s="1378">
        <f>IFERROR(P169/$P$44,0)</f>
        <v>0</v>
      </c>
      <c r="R169" s="3741">
        <f>N169*(1+$L$6)</f>
        <v>0</v>
      </c>
      <c r="T169" s="3641">
        <f>V169*$U$14</f>
        <v>0</v>
      </c>
      <c r="U169" s="1381">
        <f>IFERROR(T169/$T$44,0)</f>
        <v>0</v>
      </c>
      <c r="V169" s="3741">
        <f>R169*(1+$L$6)</f>
        <v>0</v>
      </c>
      <c r="X169" s="3641">
        <f>Z169*$Y$14</f>
        <v>0</v>
      </c>
      <c r="Y169" s="1381">
        <f>IFERROR(X169/$X$44,0)</f>
        <v>0</v>
      </c>
      <c r="Z169" s="3741">
        <f>V169*(1+$L$6)</f>
        <v>0</v>
      </c>
      <c r="AB169" s="3641">
        <f>AD169*$AC$14</f>
        <v>0</v>
      </c>
      <c r="AC169" s="1381">
        <f>IFERROR(AB169/$AB$44,0)</f>
        <v>0</v>
      </c>
      <c r="AD169" s="3741">
        <f>Z169*(1+$L$6)</f>
        <v>0</v>
      </c>
      <c r="AF169" s="3641">
        <f>AH169*$AG$14</f>
        <v>0</v>
      </c>
      <c r="AG169" s="1381">
        <f>IFERROR(AF169/$AF$44,0)</f>
        <v>0</v>
      </c>
      <c r="AH169" s="3741">
        <f>AD169*(1+$L$6)</f>
        <v>0</v>
      </c>
      <c r="AJ169" s="3641">
        <f>AL169*$AK$14</f>
        <v>0</v>
      </c>
      <c r="AK169" s="1381">
        <f>IFERROR(AJ169/$AJ$44,0)</f>
        <v>0</v>
      </c>
      <c r="AL169" s="3741">
        <f>AH169*(1+$L$6)</f>
        <v>0</v>
      </c>
      <c r="AN169" s="3641">
        <f>AP169*$AO$14</f>
        <v>0</v>
      </c>
      <c r="AO169" s="1381">
        <f>IFERROR(AN169/$AN$44,0)</f>
        <v>0</v>
      </c>
      <c r="AP169" s="3741">
        <f>AL169*(1+$L$6)</f>
        <v>0</v>
      </c>
      <c r="AR169" s="3641">
        <f>AT169*$AS$14</f>
        <v>0</v>
      </c>
      <c r="AS169" s="1381">
        <f>IFERROR(AR169/$AR$44,0)</f>
        <v>0</v>
      </c>
      <c r="AT169" s="3741">
        <f>AP169*(1+$L$6)</f>
        <v>0</v>
      </c>
      <c r="AV169" s="3641">
        <f>AX169*$AW$14</f>
        <v>0</v>
      </c>
      <c r="AW169" s="1381">
        <f>IFERROR(AV169/$AV$44,0)</f>
        <v>0</v>
      </c>
      <c r="AX169" s="3741">
        <f>AT169*(1+$L$6)</f>
        <v>0</v>
      </c>
      <c r="AZ169" s="3641">
        <f>BB169*$BA$14</f>
        <v>0</v>
      </c>
      <c r="BA169" s="1381">
        <f>IFERROR(AZ169/$AZ$44,0)</f>
        <v>0</v>
      </c>
      <c r="BB169" s="3741">
        <f>AX169*(1+$L$6)</f>
        <v>0</v>
      </c>
      <c r="BD169" s="3641" t="n">
        <f t="array" ref="BD169">IFERROR($H169/12,0)</f>
        <v>0</v>
      </c>
      <c r="BE169" s="1381" t="n">
        <f t="array" ref="BE169">IFERROR($H169/$H$44,0)</f>
        <v>0</v>
      </c>
      <c r="BF169" s="3741" t="n">
        <f t="array" ref="BF169">IFERROR(($H169/12)/1650,0)</f>
        <v>0</v>
      </c>
    </row>
    <row r="170" s="1168" customFormat="1" ht="15" customHeight="1">
      <c r="E170" s="3583" t="n"/>
      <c r="F170" s="1172" t="n"/>
      <c r="G170" s="1433" t="inlineStr">
        <is>
          <t xml:space="preserve">TBA</t>
        </is>
      </c>
      <c r="H170" s="3641">
        <f>J170*$I$14</f>
        <v>0</v>
      </c>
      <c r="I170" s="1434">
        <f>IFERROR(H170/$H$44,0)</f>
        <v>0</v>
      </c>
      <c r="J170" s="3741">
        <v>0</v>
      </c>
      <c r="K170" s="1172" t="n"/>
      <c r="L170" s="3640">
        <f>N170*$M$14</f>
        <v>0</v>
      </c>
      <c r="M170" s="1381">
        <f>IFERROR(L170/$L$44,0)</f>
        <v>0</v>
      </c>
      <c r="N170" s="3741">
        <f>J170*(1+$L$6)</f>
        <v>0</v>
      </c>
      <c r="P170" s="3641">
        <f>R170*$Q$14</f>
        <v>0</v>
      </c>
      <c r="Q170" s="1378">
        <f>IFERROR(P170/$P$44,0)</f>
        <v>0</v>
      </c>
      <c r="R170" s="3741">
        <f>N170*(1+$L$6)</f>
        <v>0</v>
      </c>
      <c r="T170" s="3641">
        <f>V170*$U$14</f>
        <v>0</v>
      </c>
      <c r="U170" s="1381">
        <f>IFERROR(T170/$T$44,0)</f>
        <v>0</v>
      </c>
      <c r="V170" s="3741">
        <f>R170*(1+$L$6)</f>
        <v>0</v>
      </c>
      <c r="X170" s="3641">
        <f>Z170*$Y$14</f>
        <v>0</v>
      </c>
      <c r="Y170" s="1381">
        <f>IFERROR(X170/$X$44,0)</f>
        <v>0</v>
      </c>
      <c r="Z170" s="3741">
        <f>V170*(1+$L$6)</f>
        <v>0</v>
      </c>
      <c r="AB170" s="3641">
        <f>AD170*$AC$14</f>
        <v>0</v>
      </c>
      <c r="AC170" s="1381">
        <f>IFERROR(AB170/$AB$44,0)</f>
        <v>0</v>
      </c>
      <c r="AD170" s="3741">
        <f>Z170*(1+$L$6)</f>
        <v>0</v>
      </c>
      <c r="AF170" s="3641">
        <f>AH170*$AG$14</f>
        <v>0</v>
      </c>
      <c r="AG170" s="1381">
        <f>IFERROR(AF170/$AF$44,0)</f>
        <v>0</v>
      </c>
      <c r="AH170" s="3741">
        <f>AD170*(1+$L$6)</f>
        <v>0</v>
      </c>
      <c r="AJ170" s="3641">
        <f>AL170*$AK$14</f>
        <v>0</v>
      </c>
      <c r="AK170" s="1381">
        <f>IFERROR(AJ170/$AJ$44,0)</f>
        <v>0</v>
      </c>
      <c r="AL170" s="3741">
        <f>AH170*(1+$L$6)</f>
        <v>0</v>
      </c>
      <c r="AN170" s="3641">
        <f>AP170*$AO$14</f>
        <v>0</v>
      </c>
      <c r="AO170" s="1381">
        <f>IFERROR(AN170/$AN$44,0)</f>
        <v>0</v>
      </c>
      <c r="AP170" s="3741">
        <f>AL170*(1+$L$6)</f>
        <v>0</v>
      </c>
      <c r="AR170" s="3641">
        <f>AT170*$AS$14</f>
        <v>0</v>
      </c>
      <c r="AS170" s="1381">
        <f>IFERROR(AR170/$AR$44,0)</f>
        <v>0</v>
      </c>
      <c r="AT170" s="3741">
        <f>AP170*(1+$L$6)</f>
        <v>0</v>
      </c>
      <c r="AV170" s="3641">
        <f>AX170*$AW$14</f>
        <v>0</v>
      </c>
      <c r="AW170" s="1381">
        <f>IFERROR(AV170/$AV$44,0)</f>
        <v>0</v>
      </c>
      <c r="AX170" s="3741">
        <f>AT170*(1+$L$6)</f>
        <v>0</v>
      </c>
      <c r="AZ170" s="3641">
        <f>BB170*$BA$14</f>
        <v>0</v>
      </c>
      <c r="BA170" s="1381">
        <f>IFERROR(AZ170/$AZ$44,0)</f>
        <v>0</v>
      </c>
      <c r="BB170" s="3741">
        <f>AX170*(1+$L$6)</f>
        <v>0</v>
      </c>
      <c r="BD170" s="3641" t="n">
        <f t="array" ref="BD170">IFERROR($H170/12,0)</f>
        <v>0</v>
      </c>
      <c r="BE170" s="1381" t="n">
        <f t="array" ref="BE170">IFERROR($H170/$H$44,0)</f>
        <v>0</v>
      </c>
      <c r="BF170" s="3741" t="n">
        <f t="array" ref="BF170">IFERROR(($H170/12)/1650,0)</f>
        <v>0</v>
      </c>
    </row>
    <row r="171" s="1168" customFormat="1" ht="15" customHeight="1">
      <c r="E171" s="3583" t="n"/>
      <c r="F171" s="1172" t="n"/>
      <c r="G171" s="1433" t="inlineStr">
        <is>
          <t xml:space="preserve">TBA</t>
        </is>
      </c>
      <c r="H171" s="3641">
        <f>J171*$I$14</f>
        <v>0</v>
      </c>
      <c r="I171" s="1434">
        <f>IFERROR(H171/$H$44,0)</f>
        <v>0</v>
      </c>
      <c r="J171" s="3741">
        <v>0</v>
      </c>
      <c r="K171" s="1172" t="n"/>
      <c r="L171" s="3640">
        <f>N171*$M$14</f>
        <v>0</v>
      </c>
      <c r="M171" s="1381">
        <f>IFERROR(L171/$L$44,0)</f>
        <v>0</v>
      </c>
      <c r="N171" s="3741">
        <f>J171*(1+$L$6)</f>
        <v>0</v>
      </c>
      <c r="P171" s="3641">
        <f>R171*$Q$14</f>
        <v>0</v>
      </c>
      <c r="Q171" s="1378">
        <f>IFERROR(P171/$P$44,0)</f>
        <v>0</v>
      </c>
      <c r="R171" s="3741">
        <f>N171*(1+$L$6)</f>
        <v>0</v>
      </c>
      <c r="T171" s="3641">
        <f>V171*$U$14</f>
        <v>0</v>
      </c>
      <c r="U171" s="1381">
        <f>IFERROR(T171/$T$44,0)</f>
        <v>0</v>
      </c>
      <c r="V171" s="3741">
        <f>R171*(1+$L$6)</f>
        <v>0</v>
      </c>
      <c r="X171" s="3641">
        <f>Z171*$Y$14</f>
        <v>0</v>
      </c>
      <c r="Y171" s="1381">
        <f>IFERROR(X171/$X$44,0)</f>
        <v>0</v>
      </c>
      <c r="Z171" s="3741">
        <f>V171*(1+$L$6)</f>
        <v>0</v>
      </c>
      <c r="AB171" s="3641">
        <f>AD171*$AC$14</f>
        <v>0</v>
      </c>
      <c r="AC171" s="1381">
        <f>IFERROR(AB171/$AB$44,0)</f>
        <v>0</v>
      </c>
      <c r="AD171" s="3741">
        <f>Z171*(1+$L$6)</f>
        <v>0</v>
      </c>
      <c r="AF171" s="3641">
        <f>AH171*$AG$14</f>
        <v>0</v>
      </c>
      <c r="AG171" s="1381">
        <f>IFERROR(AF171/$AF$44,0)</f>
        <v>0</v>
      </c>
      <c r="AH171" s="3741">
        <f>AD171*(1+$L$6)</f>
        <v>0</v>
      </c>
      <c r="AJ171" s="3641">
        <f>AL171*$AK$14</f>
        <v>0</v>
      </c>
      <c r="AK171" s="1381">
        <f>IFERROR(AJ171/$AJ$44,0)</f>
        <v>0</v>
      </c>
      <c r="AL171" s="3741">
        <f>AH171*(1+$L$6)</f>
        <v>0</v>
      </c>
      <c r="AN171" s="3641">
        <f>AP171*$AO$14</f>
        <v>0</v>
      </c>
      <c r="AO171" s="1381">
        <f>IFERROR(AN171/$AN$44,0)</f>
        <v>0</v>
      </c>
      <c r="AP171" s="3741">
        <f>AL171*(1+$L$6)</f>
        <v>0</v>
      </c>
      <c r="AR171" s="3641">
        <f>AT171*$AS$14</f>
        <v>0</v>
      </c>
      <c r="AS171" s="1381">
        <f>IFERROR(AR171/$AR$44,0)</f>
        <v>0</v>
      </c>
      <c r="AT171" s="3741">
        <f>AP171*(1+$L$6)</f>
        <v>0</v>
      </c>
      <c r="AV171" s="3641">
        <f>AX171*$AW$14</f>
        <v>0</v>
      </c>
      <c r="AW171" s="1381">
        <f>IFERROR(AV171/$AV$44,0)</f>
        <v>0</v>
      </c>
      <c r="AX171" s="3741">
        <f>AT171*(1+$L$6)</f>
        <v>0</v>
      </c>
      <c r="AZ171" s="3641">
        <f>BB171*$BA$14</f>
        <v>0</v>
      </c>
      <c r="BA171" s="1381">
        <f>IFERROR(AZ171/$AZ$44,0)</f>
        <v>0</v>
      </c>
      <c r="BB171" s="3741">
        <f>AX171*(1+$L$6)</f>
        <v>0</v>
      </c>
      <c r="BD171" s="3641" t="n">
        <f t="array" ref="BD171">IFERROR($H171/12,0)</f>
        <v>0</v>
      </c>
      <c r="BE171" s="1381" t="n">
        <f t="array" ref="BE171">IFERROR($H171/$H$44,0)</f>
        <v>0</v>
      </c>
      <c r="BF171" s="3741" t="n">
        <f t="array" ref="BF171">IFERROR(($H171/12)/1650,0)</f>
        <v>0</v>
      </c>
    </row>
    <row r="172" s="1168" customFormat="1" ht="15.75" customHeight="1">
      <c r="E172" s="3583" t="n"/>
      <c r="F172" s="1172" t="n"/>
      <c r="G172" s="1433" t="inlineStr">
        <is>
          <t xml:space="preserve">TBA</t>
        </is>
      </c>
      <c r="H172" s="3742">
        <f>J172*$I$14</f>
        <v>0</v>
      </c>
      <c r="I172" s="1555">
        <f>IFERROR(H172/$H$44,0)</f>
        <v>0</v>
      </c>
      <c r="J172" s="3743">
        <v>0</v>
      </c>
      <c r="K172" s="1172" t="n"/>
      <c r="L172" s="3744">
        <f>N172*$M$14</f>
        <v>0</v>
      </c>
      <c r="M172" s="1558">
        <f>IFERROR(L172/$L$44,0)</f>
        <v>0</v>
      </c>
      <c r="N172" s="3743">
        <f>J172*(1+$L$6)</f>
        <v>0</v>
      </c>
      <c r="P172" s="3742">
        <f>R172*$Q$14</f>
        <v>0</v>
      </c>
      <c r="Q172" s="1559">
        <f>IFERROR(P172/$P$44,0)</f>
        <v>0</v>
      </c>
      <c r="R172" s="3743">
        <f>N172*(1+$L$6)</f>
        <v>0</v>
      </c>
      <c r="T172" s="3742">
        <f>V172*$U$14</f>
        <v>0</v>
      </c>
      <c r="U172" s="1558">
        <f>IFERROR(T172/$T$44,0)</f>
        <v>0</v>
      </c>
      <c r="V172" s="3743">
        <f>R172*(1+$L$6)</f>
        <v>0</v>
      </c>
      <c r="X172" s="3742">
        <f>Z172*$Y$14</f>
        <v>0</v>
      </c>
      <c r="Y172" s="1558">
        <f>IFERROR(X172/$X$44,0)</f>
        <v>0</v>
      </c>
      <c r="Z172" s="3743">
        <f>V172*(1+$L$6)</f>
        <v>0</v>
      </c>
      <c r="AB172" s="3742">
        <f>AD172*$AC$14</f>
        <v>0</v>
      </c>
      <c r="AC172" s="1558">
        <f>IFERROR(AB172/$AB$44,0)</f>
        <v>0</v>
      </c>
      <c r="AD172" s="3743">
        <f>Z172*(1+$L$6)</f>
        <v>0</v>
      </c>
      <c r="AF172" s="3742">
        <f>AH172*$AG$14</f>
        <v>0</v>
      </c>
      <c r="AG172" s="1558">
        <f>IFERROR(AF172/$AF$44,0)</f>
        <v>0</v>
      </c>
      <c r="AH172" s="3743">
        <f>AD172*(1+$L$6)</f>
        <v>0</v>
      </c>
      <c r="AJ172" s="3742">
        <f>AL172*$AK$14</f>
        <v>0</v>
      </c>
      <c r="AK172" s="1558">
        <f>IFERROR(AJ172/$AJ$44,0)</f>
        <v>0</v>
      </c>
      <c r="AL172" s="3743">
        <f>AH172*(1+$L$6)</f>
        <v>0</v>
      </c>
      <c r="AN172" s="3742">
        <f>AP172*$AO$14</f>
        <v>0</v>
      </c>
      <c r="AO172" s="1558">
        <f>IFERROR(AN172/$AN$44,0)</f>
        <v>0</v>
      </c>
      <c r="AP172" s="3743">
        <f>AL172*(1+$L$6)</f>
        <v>0</v>
      </c>
      <c r="AR172" s="3742">
        <f>AT172*$AS$14</f>
        <v>0</v>
      </c>
      <c r="AS172" s="1558">
        <f>IFERROR(AR172/$AR$44,0)</f>
        <v>0</v>
      </c>
      <c r="AT172" s="3743">
        <f>AP172*(1+$L$6)</f>
        <v>0</v>
      </c>
      <c r="AV172" s="3742">
        <f>AX172*$AW$14</f>
        <v>0</v>
      </c>
      <c r="AW172" s="1558">
        <f>IFERROR(AV172/$AV$44,0)</f>
        <v>0</v>
      </c>
      <c r="AX172" s="3743">
        <f>AT172*(1+$L$6)</f>
        <v>0</v>
      </c>
      <c r="AZ172" s="3742">
        <f>BB172*$BA$14</f>
        <v>0</v>
      </c>
      <c r="BA172" s="1558">
        <f>IFERROR(AZ172/$AZ$44,0)</f>
        <v>0</v>
      </c>
      <c r="BB172" s="3743">
        <f>AX172*(1+$L$6)</f>
        <v>0</v>
      </c>
      <c r="BD172" s="3742" t="n">
        <f t="array" ref="BD172">IFERROR($H172/12,0)</f>
        <v>0</v>
      </c>
      <c r="BE172" s="1558" t="n">
        <f t="array" ref="BE172">IFERROR($H172/$H$44,0)</f>
        <v>0</v>
      </c>
      <c r="BF172" s="3743" t="n">
        <f t="array" ref="BF172">IFERROR(($H172/12)/1650,0)</f>
        <v>0</v>
      </c>
    </row>
    <row r="173" s="1168" customFormat="1" ht="13.5" customHeight="1">
      <c r="E173" s="3583" t="n"/>
      <c r="F173" s="1172" t="n"/>
      <c r="G173" s="1537" t="inlineStr">
        <is>
          <t xml:space="preserve">Total Administrative &amp; General Expenses</t>
        </is>
      </c>
      <c r="H173" s="3603">
        <f>SUM(H149:H172)</f>
        <v>112532.395</v>
      </c>
      <c r="I173" s="1316">
        <f>SUM(I149:I172)</f>
        <v>0.0757513345226</v>
      </c>
      <c r="J173" s="3602">
        <f>SUM(J149:J172)</f>
        <v>5.60559875467</v>
      </c>
      <c r="K173" s="1172" t="n"/>
      <c r="L173" s="3603">
        <f>SUM(L149:L172)</f>
        <v>134322.758759</v>
      </c>
      <c r="M173" s="1319">
        <f>SUM(M149:M172)</f>
        <v>0.0750086743802</v>
      </c>
      <c r="N173" s="3602">
        <f>SUM(N149:N172)</f>
        <v>5.66165474222</v>
      </c>
      <c r="P173" s="3745">
        <f>SUM(P149:P172)</f>
        <v>150276.169492</v>
      </c>
      <c r="Q173" s="1316">
        <f>SUM(Q149:Q172)</f>
        <v>0.0742732952196</v>
      </c>
      <c r="R173" s="3602">
        <f>SUM(R149:R172)</f>
        <v>5.71827128964</v>
      </c>
      <c r="T173" s="3601">
        <f>SUM(T149:T172)</f>
        <v>151778.931187</v>
      </c>
      <c r="U173" s="1319">
        <f>SUM(U149:U172)</f>
        <v>0.0735451256586</v>
      </c>
      <c r="V173" s="3602">
        <f>SUM(V149:V172)</f>
        <v>5.77545400254</v>
      </c>
      <c r="X173" s="3601">
        <f>SUM(X149:X172)</f>
        <v>153296.720498</v>
      </c>
      <c r="Y173" s="1319">
        <f>SUM(Y149:Y172)</f>
        <v>0.0728240950149</v>
      </c>
      <c r="Z173" s="3602">
        <f>SUM(Z149:Z172)</f>
        <v>5.83320854256</v>
      </c>
      <c r="AB173" s="3601">
        <f>SUM(AB149:AB172)</f>
        <v>154829.687703</v>
      </c>
      <c r="AC173" s="1319">
        <f>SUM(AC149:AC172)</f>
        <v>0.0721101332991</v>
      </c>
      <c r="AD173" s="3602">
        <f>SUM(AD149:AD172)</f>
        <v>5.89154062799</v>
      </c>
      <c r="AF173" s="3601">
        <f>SUM(AF149:AF172)</f>
        <v>156377.984581</v>
      </c>
      <c r="AG173" s="1319">
        <f>SUM(AG149:AG172)</f>
        <v>0.0714031712079</v>
      </c>
      <c r="AH173" s="3602">
        <f>SUM(AH149:AH172)</f>
        <v>5.95045603427</v>
      </c>
      <c r="AJ173" s="3601">
        <f>SUM(AJ149:AJ172)</f>
        <v>157941.764426</v>
      </c>
      <c r="AK173" s="1319">
        <f>SUM(AK149:AK172)</f>
        <v>0.0707031401176</v>
      </c>
      <c r="AL173" s="3602">
        <f>SUM(AL149:AL172)</f>
        <v>6.00996059461</v>
      </c>
      <c r="AN173" s="3601">
        <f>SUM(AN149:AN172)</f>
        <v>159521.182071</v>
      </c>
      <c r="AO173" s="1319">
        <f>SUM(AO149:AO172)</f>
        <v>0.0700099720773</v>
      </c>
      <c r="AP173" s="3602">
        <f>SUM(AP149:AP172)</f>
        <v>6.07006020055</v>
      </c>
      <c r="AR173" s="3601">
        <f>SUM(AR149:AR172)</f>
        <v>161116.393891</v>
      </c>
      <c r="AS173" s="1319">
        <f>SUM(AS149:AS172)</f>
        <v>0.069323599802</v>
      </c>
      <c r="AT173" s="3602">
        <f>SUM(AT149:AT172)</f>
        <v>6.13076080256</v>
      </c>
      <c r="AV173" s="3601">
        <f>SUM(AV149:AV172)</f>
        <v>162727.55783</v>
      </c>
      <c r="AW173" s="1319">
        <f>SUM(AW149:AW172)</f>
        <v>0.0700168358</v>
      </c>
      <c r="AX173" s="3602">
        <f>SUM(AX149:AX172)</f>
        <v>6.19206841059</v>
      </c>
      <c r="AZ173" s="3601">
        <f>SUM(AZ149:AZ172)</f>
        <v>164354.833409</v>
      </c>
      <c r="BA173" s="1319">
        <f>SUM(BA149:BA172)</f>
        <v>0.070717004158</v>
      </c>
      <c r="BB173" s="3602">
        <f>SUM(BB149:BB172)</f>
        <v>6.25398909469</v>
      </c>
      <c r="BD173" s="3601" t="n">
        <f t="array" ref="BD173">IFERROR($H173/12,0)</f>
        <v>9377.699583333333</v>
      </c>
      <c r="BE173" s="1319">
        <f>H173+L173+P173+T173+X173+AB173+AF173+AJ173+AN173+AR173+AV173+AZ173</f>
        <v>1819076.37885</v>
      </c>
      <c r="BF173" s="3602">
        <f>IFERROR(BE173/BE14,0)</f>
        <v>5.93306059637</v>
      </c>
    </row>
    <row r="174" s="1168" customFormat="1" ht="13.5" customHeight="1">
      <c r="A174" s="3445" t="n"/>
      <c r="B174" s="3538" t="n"/>
      <c r="E174" s="3583" t="n"/>
      <c r="F174" s="1172" t="n"/>
      <c r="H174" s="3736" t="n"/>
      <c r="I174" s="901" t="n"/>
      <c r="J174" s="3542" t="n"/>
      <c r="K174" s="1410" t="n"/>
      <c r="L174" s="3737" t="n">
        <f t="array" ref="L174">L147</f>
        <v>0</v>
      </c>
      <c r="M174" s="1509" t="n"/>
      <c r="N174" s="1548" t="n"/>
      <c r="O174" s="1476" t="n"/>
      <c r="P174" s="3738" t="n">
        <f t="array" ref="P174">P147</f>
        <v>0</v>
      </c>
      <c r="Q174" s="901" t="n"/>
      <c r="R174" s="3739" t="n"/>
      <c r="S174" s="1476" t="n"/>
      <c r="T174" s="3738" t="n">
        <f t="array" ref="T174">T147</f>
        <v>0</v>
      </c>
      <c r="U174" s="1509" t="n"/>
      <c r="V174" s="3739" t="n"/>
      <c r="W174" s="1476" t="n"/>
      <c r="X174" s="3738" t="n">
        <f t="array" ref="X174">X147</f>
        <v>0</v>
      </c>
      <c r="Y174" s="1509" t="n"/>
      <c r="Z174" s="3739" t="n"/>
      <c r="AA174" s="1476" t="n"/>
      <c r="AB174" s="3738" t="n">
        <f t="array" ref="AB174">AB147</f>
        <v>0</v>
      </c>
      <c r="AC174" s="1509" t="n"/>
      <c r="AD174" s="3739" t="n"/>
      <c r="AE174" s="1476" t="n"/>
      <c r="AF174" s="3738" t="n">
        <f t="array" ref="AF174">AF147</f>
        <v>0</v>
      </c>
      <c r="AG174" s="1509" t="n"/>
      <c r="AH174" s="3739" t="n"/>
      <c r="AI174" s="1476" t="n"/>
      <c r="AJ174" s="3738" t="n">
        <f t="array" ref="AJ174">AJ147</f>
        <v>0</v>
      </c>
      <c r="AK174" s="1509" t="n"/>
      <c r="AL174" s="3739" t="n"/>
      <c r="AM174" s="1476" t="n"/>
      <c r="AN174" s="3738" t="n">
        <f t="array" ref="AN174">AN147</f>
        <v>0</v>
      </c>
      <c r="AO174" s="1509" t="n"/>
      <c r="AP174" s="3739" t="n"/>
      <c r="AQ174" s="1476" t="n"/>
      <c r="AR174" s="3738" t="n">
        <f t="array" ref="AR174">AR147</f>
        <v>0</v>
      </c>
      <c r="AS174" s="1509" t="n"/>
      <c r="AT174" s="3739" t="n"/>
      <c r="AU174" s="1476" t="n"/>
      <c r="AV174" s="3738" t="n">
        <f t="array" ref="AV174">AV147</f>
        <v>0</v>
      </c>
      <c r="AW174" s="1509" t="n"/>
      <c r="AX174" s="3739" t="n"/>
      <c r="AY174" s="1476" t="n"/>
      <c r="AZ174" s="3738" t="n">
        <f t="array" ref="AZ174">AZ147</f>
        <v>0</v>
      </c>
      <c r="BA174" s="1509" t="n"/>
      <c r="BB174" s="3543" t="n"/>
      <c r="BC174" s="1413" t="n"/>
      <c r="BD174" s="3740" t="n">
        <f t="array" ref="BD174">BD147</f>
        <v>0</v>
      </c>
      <c r="BE174" s="1509" t="n"/>
      <c r="BF174" s="3739" t="n"/>
      <c r="BG174" s="1476" t="n"/>
    </row>
    <row r="175" s="1168" customFormat="1" ht="15" customHeight="1">
      <c r="A175" s="3445" t="n"/>
      <c r="B175" s="3538" t="n"/>
      <c r="C175" s="101" t="n"/>
      <c r="E175" s="3583" t="n"/>
      <c r="F175" s="1172" t="n"/>
      <c r="G175" s="1272" t="inlineStr">
        <is>
          <t xml:space="preserve">Advertising/Promo Expense</t>
        </is>
      </c>
      <c r="H175" s="3572" t="n"/>
      <c r="I175" s="1323" t="n"/>
      <c r="J175" s="3574" t="n"/>
      <c r="K175" s="1172" t="n"/>
      <c r="L175" s="3572" t="n"/>
      <c r="M175" s="1323" t="n"/>
      <c r="N175" s="3574" t="n"/>
      <c r="P175" s="3572" t="n"/>
      <c r="Q175" s="1323" t="n"/>
      <c r="R175" s="3574" t="n"/>
      <c r="T175" s="3572" t="n"/>
      <c r="U175" s="1323" t="n"/>
      <c r="V175" s="3574" t="n"/>
      <c r="X175" s="3572" t="n"/>
      <c r="Y175" s="1323" t="n"/>
      <c r="Z175" s="3574" t="n"/>
      <c r="AB175" s="3572" t="n"/>
      <c r="AC175" s="1323" t="n"/>
      <c r="AD175" s="3574" t="n"/>
      <c r="AF175" s="3572" t="n"/>
      <c r="AG175" s="1323" t="n"/>
      <c r="AH175" s="3574" t="n"/>
      <c r="AJ175" s="3572" t="n"/>
      <c r="AK175" s="1323" t="n"/>
      <c r="AL175" s="3574" t="n"/>
      <c r="AN175" s="3572" t="n"/>
      <c r="AO175" s="1323" t="n"/>
      <c r="AP175" s="3574" t="n"/>
      <c r="AR175" s="3572" t="n"/>
      <c r="AS175" s="1323" t="n"/>
      <c r="AT175" s="3574" t="n"/>
      <c r="AV175" s="3572" t="n"/>
      <c r="AW175" s="1323" t="n"/>
      <c r="AX175" s="3574" t="n"/>
      <c r="AZ175" s="3572" t="n"/>
      <c r="BA175" s="1323" t="n"/>
      <c r="BB175" s="3574" t="n"/>
      <c r="BD175" s="3572" t="n"/>
      <c r="BE175" s="1323" t="n"/>
      <c r="BF175" s="3574" t="n"/>
    </row>
    <row r="176" s="1168" customFormat="1" ht="15" customHeight="1">
      <c r="A176" s="3445" t="n"/>
      <c r="B176" s="3538" t="n"/>
      <c r="C176" s="101" t="n"/>
      <c r="E176" s="3583" t="n"/>
      <c r="F176" s="1172" t="n"/>
      <c r="G176" s="1283" t="inlineStr">
        <is>
          <t xml:space="preserve">Adv - Promotions</t>
        </is>
      </c>
      <c r="H176" s="3586">
        <f>J176*$I$14</f>
        <v>0</v>
      </c>
      <c r="I176" s="1292">
        <f>IFERROR(H176/$H$44,0)</f>
        <v>0</v>
      </c>
      <c r="J176" s="3662">
        <v>0</v>
      </c>
      <c r="K176" s="1172" t="n"/>
      <c r="L176" s="3586">
        <f>N176*$M$14</f>
        <v>0</v>
      </c>
      <c r="M176" s="1292">
        <f>IFERROR(L176/$L$44,0)</f>
        <v>0</v>
      </c>
      <c r="N176" s="3662">
        <f>J176*(1+$L$6)</f>
        <v>0</v>
      </c>
      <c r="P176" s="3586">
        <f>R176*$Q$14</f>
        <v>0</v>
      </c>
      <c r="Q176" s="1292">
        <f>IFERROR(P176/$P$44,0)</f>
        <v>0</v>
      </c>
      <c r="R176" s="3662">
        <f>N176*(1+$L$6)</f>
        <v>0</v>
      </c>
      <c r="T176" s="3586">
        <f>V176*$U$14</f>
        <v>0</v>
      </c>
      <c r="U176" s="1292">
        <f>IFERROR(T176/$T$44,0)</f>
        <v>0</v>
      </c>
      <c r="V176" s="3662">
        <f>R176*(1+$L$6)</f>
        <v>0</v>
      </c>
      <c r="X176" s="3586">
        <f>Z176*$Y$14</f>
        <v>0</v>
      </c>
      <c r="Y176" s="1292">
        <f>IFERROR(X176/$X$44,0)</f>
        <v>0</v>
      </c>
      <c r="Z176" s="3662">
        <f>V176*(1+$L$6)</f>
        <v>0</v>
      </c>
      <c r="AB176" s="3586">
        <f>AD176*$AC$14</f>
        <v>0</v>
      </c>
      <c r="AC176" s="1292">
        <f>IFERROR(AB176/$AB$44,0)</f>
        <v>0</v>
      </c>
      <c r="AD176" s="3662">
        <f>Z176*(1+$L$6)</f>
        <v>0</v>
      </c>
      <c r="AF176" s="3586">
        <f>AH176*$AG$14</f>
        <v>0</v>
      </c>
      <c r="AG176" s="1292">
        <f>IFERROR(AF176/$AF$44,0)</f>
        <v>0</v>
      </c>
      <c r="AH176" s="3662">
        <f>AD176*(1+$L$6)</f>
        <v>0</v>
      </c>
      <c r="AJ176" s="3586">
        <f>AL176*$AK$14</f>
        <v>0</v>
      </c>
      <c r="AK176" s="1292">
        <f>IFERROR(AJ176/$AJ$44,0)</f>
        <v>0</v>
      </c>
      <c r="AL176" s="3662">
        <f>AH176*(1+$L$6)</f>
        <v>0</v>
      </c>
      <c r="AN176" s="3586">
        <f>AP176*$AO$14</f>
        <v>0</v>
      </c>
      <c r="AO176" s="1292">
        <f>IFERROR(AN176/$AN$44,0)</f>
        <v>0</v>
      </c>
      <c r="AP176" s="3662">
        <f>AL176*(1+$L$6)</f>
        <v>0</v>
      </c>
      <c r="AR176" s="3586">
        <f>AT176*$AS$14</f>
        <v>0</v>
      </c>
      <c r="AS176" s="1292">
        <f>IFERROR(AR176/$AR$44,0)</f>
        <v>0</v>
      </c>
      <c r="AT176" s="3662">
        <f>AP176*(1+$L$6)</f>
        <v>0</v>
      </c>
      <c r="AV176" s="3586">
        <f>AX176*$AW$14</f>
        <v>0</v>
      </c>
      <c r="AW176" s="1292">
        <f>IFERROR(AV176/$AV$44,0)</f>
        <v>0</v>
      </c>
      <c r="AX176" s="3662">
        <f>AT176*(1+$L$6)</f>
        <v>0</v>
      </c>
      <c r="AZ176" s="3586">
        <f>BB176*$BA$14</f>
        <v>0</v>
      </c>
      <c r="BA176" s="1292">
        <f>IFERROR(AZ176/$AZ$44,0)</f>
        <v>0</v>
      </c>
      <c r="BB176" s="3662">
        <f>AX176*(1+$L$6)</f>
        <v>0</v>
      </c>
      <c r="BC176" s="1426" t="n"/>
      <c r="BD176" s="3586" t="n">
        <f t="array" ref="BD176">IFERROR($H176/12,0)</f>
        <v>0</v>
      </c>
      <c r="BE176" s="1292" t="n">
        <f t="array" ref="BE176">IFERROR($H176/$H$44,0)</f>
        <v>0</v>
      </c>
      <c r="BF176" s="3662" t="n">
        <f t="array" ref="BF176">IFERROR(($H176/12)/1650,0)</f>
        <v>0</v>
      </c>
    </row>
    <row r="177" s="1168" customFormat="1" ht="15" customHeight="1">
      <c r="A177" s="3445" t="n"/>
      <c r="B177" s="3538" t="n"/>
      <c r="C177" s="101" t="n"/>
      <c r="E177" s="3583" t="n"/>
      <c r="F177" s="1172" t="n"/>
      <c r="G177" s="1325" t="inlineStr">
        <is>
          <t xml:space="preserve">Adv - Newspaper/Print</t>
        </is>
      </c>
      <c r="H177" s="3620">
        <f>J177*$I$14</f>
        <v>0</v>
      </c>
      <c r="I177" s="1332">
        <f>IFERROR(H177/$H$44,0)</f>
        <v>0</v>
      </c>
      <c r="J177" s="3667">
        <v>0</v>
      </c>
      <c r="K177" s="1172" t="n"/>
      <c r="L177" s="3620">
        <f>N177*$M$14</f>
        <v>0</v>
      </c>
      <c r="M177" s="1332">
        <f>IFERROR(L177/$L$44,0)</f>
        <v>0</v>
      </c>
      <c r="N177" s="3667">
        <f>J177*(1+$L$6)</f>
        <v>0</v>
      </c>
      <c r="P177" s="3620">
        <f>R177*$Q$14</f>
        <v>0</v>
      </c>
      <c r="Q177" s="1332">
        <f>IFERROR(P177/$P$44,0)</f>
        <v>0</v>
      </c>
      <c r="R177" s="3667">
        <f>N177*(1+$L$6)</f>
        <v>0</v>
      </c>
      <c r="T177" s="3620">
        <f>V177*$U$14</f>
        <v>0</v>
      </c>
      <c r="U177" s="1332">
        <f>IFERROR(T177/$T$44,0)</f>
        <v>0</v>
      </c>
      <c r="V177" s="3667">
        <f>R177*(1+$L$6)</f>
        <v>0</v>
      </c>
      <c r="X177" s="3620">
        <f>Z177*$Y$14</f>
        <v>0</v>
      </c>
      <c r="Y177" s="1332">
        <f>IFERROR(X177/$X$44,0)</f>
        <v>0</v>
      </c>
      <c r="Z177" s="3667">
        <f>V177*(1+$L$6)</f>
        <v>0</v>
      </c>
      <c r="AB177" s="3620">
        <f>AD177*$AC$14</f>
        <v>0</v>
      </c>
      <c r="AC177" s="1332">
        <f>IFERROR(AB177/$AB$44,0)</f>
        <v>0</v>
      </c>
      <c r="AD177" s="3667">
        <f>Z177*(1+$L$6)</f>
        <v>0</v>
      </c>
      <c r="AF177" s="3620">
        <f>AH177*$AG$14</f>
        <v>0</v>
      </c>
      <c r="AG177" s="1332">
        <f>IFERROR(AF177/$AF$44,0)</f>
        <v>0</v>
      </c>
      <c r="AH177" s="3667">
        <f>AD177*(1+$L$6)</f>
        <v>0</v>
      </c>
      <c r="AJ177" s="3620">
        <f>AL177*$AK$14</f>
        <v>0</v>
      </c>
      <c r="AK177" s="1332">
        <f>IFERROR(AJ177/$AJ$44,0)</f>
        <v>0</v>
      </c>
      <c r="AL177" s="3667">
        <f>AH177*(1+$L$6)</f>
        <v>0</v>
      </c>
      <c r="AN177" s="3620">
        <f>AP177*$AO$14</f>
        <v>0</v>
      </c>
      <c r="AO177" s="1332">
        <f>IFERROR(AN177/$AN$44,0)</f>
        <v>0</v>
      </c>
      <c r="AP177" s="3667">
        <f>AL177*(1+$L$6)</f>
        <v>0</v>
      </c>
      <c r="AR177" s="3620">
        <f>AT177*$AS$14</f>
        <v>0</v>
      </c>
      <c r="AS177" s="1332">
        <f>IFERROR(AR177/$AR$44,0)</f>
        <v>0</v>
      </c>
      <c r="AT177" s="3667">
        <f>AP177*(1+$L$6)</f>
        <v>0</v>
      </c>
      <c r="AV177" s="3620">
        <f>AX177*$AW$14</f>
        <v>0</v>
      </c>
      <c r="AW177" s="1332">
        <f>IFERROR(AV177/$AV$44,0)</f>
        <v>0</v>
      </c>
      <c r="AX177" s="3667">
        <f>AT177*(1+$L$6)</f>
        <v>0</v>
      </c>
      <c r="AZ177" s="3620">
        <f>BB177*$BA$14</f>
        <v>0</v>
      </c>
      <c r="BA177" s="1332">
        <f>IFERROR(AZ177/$AZ$44,0)</f>
        <v>0</v>
      </c>
      <c r="BB177" s="3667">
        <f>AX177*(1+$L$6)</f>
        <v>0</v>
      </c>
      <c r="BC177" s="1426" t="n"/>
      <c r="BD177" s="3620" t="n">
        <f t="array" ref="BD177">IFERROR($H177/12,0)</f>
        <v>0</v>
      </c>
      <c r="BE177" s="1332" t="n">
        <f t="array" ref="BE177">IFERROR($H177/$H$44,0)</f>
        <v>0</v>
      </c>
      <c r="BF177" s="3667" t="n">
        <f t="array" ref="BF177">IFERROR(($H177/12)/1650,0)</f>
        <v>0</v>
      </c>
    </row>
    <row r="178" s="1168" customFormat="1" ht="15" customHeight="1">
      <c r="A178" s="3445" t="n"/>
      <c r="B178" s="3538" t="n"/>
      <c r="C178" s="101" t="n"/>
      <c r="E178" s="3583" t="n">
        <v>0</v>
      </c>
      <c r="F178" s="1172" t="n"/>
      <c r="G178" s="1433" t="inlineStr">
        <is>
          <t xml:space="preserve">Adv - Outdoor</t>
        </is>
      </c>
      <c r="H178" s="3641">
        <f>J178*$I$14</f>
        <v>0</v>
      </c>
      <c r="I178" s="1378">
        <f>IFERROR(H178/$H$44,0)</f>
        <v>0</v>
      </c>
      <c r="J178" s="3741">
        <v>0</v>
      </c>
      <c r="K178" s="1172" t="n"/>
      <c r="L178" s="3641">
        <f>N178*$M$14</f>
        <v>0</v>
      </c>
      <c r="M178" s="1378">
        <f>IFERROR(L178/$L$44,0)</f>
        <v>0</v>
      </c>
      <c r="N178" s="3741">
        <f>J178*(1+$L$6)</f>
        <v>0</v>
      </c>
      <c r="P178" s="3641">
        <f>R178*$Q$14</f>
        <v>0</v>
      </c>
      <c r="Q178" s="1378">
        <f>IFERROR(P178/$P$44,0)</f>
        <v>0</v>
      </c>
      <c r="R178" s="3741">
        <f>N178*(1+$L$6)</f>
        <v>0</v>
      </c>
      <c r="T178" s="3641">
        <f>V178*$U$14</f>
        <v>0</v>
      </c>
      <c r="U178" s="1378">
        <f>IFERROR(T178/$T$44,0)</f>
        <v>0</v>
      </c>
      <c r="V178" s="3741">
        <f>R178*(1+$L$6)</f>
        <v>0</v>
      </c>
      <c r="X178" s="3641">
        <f>Z178*$Y$14</f>
        <v>0</v>
      </c>
      <c r="Y178" s="1378">
        <f>IFERROR(X178/$X$44,0)</f>
        <v>0</v>
      </c>
      <c r="Z178" s="3741">
        <f>V178*(1+$L$6)</f>
        <v>0</v>
      </c>
      <c r="AB178" s="3641">
        <f>AD178*$AC$14</f>
        <v>0</v>
      </c>
      <c r="AC178" s="1378">
        <f>IFERROR(AB178/$AB$44,0)</f>
        <v>0</v>
      </c>
      <c r="AD178" s="3741">
        <f>Z178*(1+$L$6)</f>
        <v>0</v>
      </c>
      <c r="AF178" s="3641">
        <f>AH178*$AG$14</f>
        <v>0</v>
      </c>
      <c r="AG178" s="1378">
        <f>IFERROR(AF178/$AF$44,0)</f>
        <v>0</v>
      </c>
      <c r="AH178" s="3741">
        <f>AD178*(1+$L$6)</f>
        <v>0</v>
      </c>
      <c r="AJ178" s="3641">
        <f>AL178*$AK$14</f>
        <v>0</v>
      </c>
      <c r="AK178" s="1378">
        <f>IFERROR(AJ178/$AJ$44,0)</f>
        <v>0</v>
      </c>
      <c r="AL178" s="3741">
        <f>AH178*(1+$L$6)</f>
        <v>0</v>
      </c>
      <c r="AN178" s="3641">
        <f>AP178*$AO$14</f>
        <v>0</v>
      </c>
      <c r="AO178" s="1378">
        <f>IFERROR(AN178/$AN$44,0)</f>
        <v>0</v>
      </c>
      <c r="AP178" s="3741">
        <f>AL178*(1+$L$6)</f>
        <v>0</v>
      </c>
      <c r="AR178" s="3641">
        <f>AT178*$AS$14</f>
        <v>0</v>
      </c>
      <c r="AS178" s="1378">
        <f>IFERROR(AR178/$AR$44,0)</f>
        <v>0</v>
      </c>
      <c r="AT178" s="3741">
        <f>AP178*(1+$L$6)</f>
        <v>0</v>
      </c>
      <c r="AV178" s="3641">
        <f>AX178*$AW$14</f>
        <v>0</v>
      </c>
      <c r="AW178" s="1378">
        <f>IFERROR(AV178/$AV$44,0)</f>
        <v>0</v>
      </c>
      <c r="AX178" s="3741">
        <f>AT178*(1+$L$6)</f>
        <v>0</v>
      </c>
      <c r="AZ178" s="3641">
        <f>BB178*$BA$14</f>
        <v>0</v>
      </c>
      <c r="BA178" s="1378">
        <f>IFERROR(AZ178/$AZ$44,0)</f>
        <v>0</v>
      </c>
      <c r="BB178" s="3741">
        <f>AX178*(1+$L$6)</f>
        <v>0</v>
      </c>
      <c r="BC178" s="1426" t="n"/>
      <c r="BD178" s="3641" t="n">
        <f t="array" ref="BD178">IFERROR($H178/12,0)</f>
        <v>0</v>
      </c>
      <c r="BE178" s="1378" t="n">
        <f t="array" ref="BE178">IFERROR($H178/$H$44,0)</f>
        <v>0</v>
      </c>
      <c r="BF178" s="3741" t="n">
        <f t="array" ref="BF178">IFERROR(($H178/12)/1650,0)</f>
        <v>0</v>
      </c>
    </row>
    <row r="179" s="1168" customFormat="1" ht="15" customHeight="1">
      <c r="A179" s="3445" t="n"/>
      <c r="B179" s="3538" t="n"/>
      <c r="C179" s="101" t="n"/>
      <c r="E179" s="3583" t="n">
        <v>250</v>
      </c>
      <c r="F179" s="1172" t="n"/>
      <c r="G179" s="1433" t="inlineStr">
        <is>
          <t xml:space="preserve">Dues &amp; Subscriptions</t>
        </is>
      </c>
      <c r="H179" s="3641">
        <f>J179*$I$14</f>
        <v>2000</v>
      </c>
      <c r="I179" s="1378">
        <f>IFERROR(H179/$H$44,0)</f>
        <v>0.00134630271617</v>
      </c>
      <c r="J179" s="3741">
        <v>0.0996264009963</v>
      </c>
      <c r="K179" s="1172" t="n"/>
      <c r="L179" s="3641">
        <f>N179*$M$14</f>
        <v>2387.27272727</v>
      </c>
      <c r="M179" s="1378">
        <f>IFERROR(L179/$L$44,0)</f>
        <v>0.00133310366993</v>
      </c>
      <c r="N179" s="3741">
        <f>J179*(1+$L$6)</f>
        <v>0.100622665006</v>
      </c>
      <c r="P179" s="3641">
        <f>R179*$Q$14</f>
        <v>2670.80727273</v>
      </c>
      <c r="Q179" s="1378">
        <f>IFERROR(P179/$P$44,0)</f>
        <v>0.00132003402611</v>
      </c>
      <c r="R179" s="3741">
        <f>N179*(1+$L$6)</f>
        <v>0.101628891656</v>
      </c>
      <c r="T179" s="3641">
        <f>V179*$U$14</f>
        <v>2697.51534545</v>
      </c>
      <c r="U179" s="1378">
        <f>IFERROR(T179/$T$44,0)</f>
        <v>0.00130709251605</v>
      </c>
      <c r="V179" s="3741">
        <f>R179*(1+$L$6)</f>
        <v>0.102645180573</v>
      </c>
      <c r="X179" s="3641">
        <f>Z179*$Y$14</f>
        <v>2724.49049891</v>
      </c>
      <c r="Y179" s="1378">
        <f>IFERROR(X179/$X$44,0)</f>
        <v>0.00129427788354</v>
      </c>
      <c r="Z179" s="3741">
        <f>V179*(1+$L$6)</f>
        <v>0.103671632379</v>
      </c>
      <c r="AB179" s="3641">
        <f>AD179*$AC$14</f>
        <v>2751.7354039</v>
      </c>
      <c r="AC179" s="1378">
        <f>IFERROR(AB179/$AB$44,0)</f>
        <v>0.00128158888468</v>
      </c>
      <c r="AD179" s="3741">
        <f>Z179*(1+$L$6)</f>
        <v>0.104708348702</v>
      </c>
      <c r="AF179" s="3641">
        <f>AH179*$AG$14</f>
        <v>2779.25275794</v>
      </c>
      <c r="AG179" s="1378">
        <f>IFERROR(AF179/$AF$44,0)</f>
        <v>0.00126902428777</v>
      </c>
      <c r="AH179" s="3741">
        <f>AD179*(1+$L$6)</f>
        <v>0.105755432189</v>
      </c>
      <c r="AJ179" s="3641">
        <f>AL179*$AK$14</f>
        <v>2807.04528552</v>
      </c>
      <c r="AK179" s="1378">
        <f>IFERROR(AJ179/$AJ$44,0)</f>
        <v>0.00125658287318</v>
      </c>
      <c r="AL179" s="3741">
        <f>AH179*(1+$L$6)</f>
        <v>0.106812986511</v>
      </c>
      <c r="AN179" s="3641">
        <f>AP179*$AO$14</f>
        <v>2835.11573837</v>
      </c>
      <c r="AO179" s="1378">
        <f>IFERROR(AN179/$AN$44,0)</f>
        <v>0.00124426343325</v>
      </c>
      <c r="AP179" s="3741">
        <f>AL179*(1+$L$6)</f>
        <v>0.107881116376</v>
      </c>
      <c r="AR179" s="3641">
        <f>AT179*$AS$14</f>
        <v>2863.46689576</v>
      </c>
      <c r="AS179" s="1378">
        <f>IFERROR(AR179/$AR$44,0)</f>
        <v>0.00123206477214</v>
      </c>
      <c r="AT179" s="3741">
        <f>AP179*(1+$L$6)</f>
        <v>0.10895992754</v>
      </c>
      <c r="AV179" s="3641">
        <f>AX179*$AW$14</f>
        <v>2892.10156471</v>
      </c>
      <c r="AW179" s="1378">
        <f>IFERROR(AV179/$AV$44,0)</f>
        <v>0.00124438541986</v>
      </c>
      <c r="AX179" s="3741">
        <f>AT179*(1+$L$6)</f>
        <v>0.110049526816</v>
      </c>
      <c r="AZ179" s="3641">
        <f>BB179*$BA$14</f>
        <v>2921.02258036</v>
      </c>
      <c r="BA179" s="1378">
        <f>IFERROR(AZ179/$AZ$44,0)</f>
        <v>0.00125682927406</v>
      </c>
      <c r="BB179" s="3741">
        <f>AX179*(1+$L$6)</f>
        <v>0.111150022084</v>
      </c>
      <c r="BC179" s="1426" t="n"/>
      <c r="BD179" s="3641" t="n">
        <f t="array" ref="BD179">IFERROR($H179/12,0)</f>
        <v>166.66666666666666</v>
      </c>
      <c r="BE179" s="1378" t="n">
        <f t="array" ref="BE179">IFERROR($H179/$H$44,0)</f>
        <v>0.0013463027161657298</v>
      </c>
      <c r="BF179" s="3741" t="n">
        <f t="array" ref="BF179">IFERROR(($H179/12)/1650,0)</f>
        <v>0.10101010101010101</v>
      </c>
    </row>
    <row r="180" s="1168" customFormat="1" ht="15" customHeight="1">
      <c r="A180" s="3445" t="n"/>
      <c r="B180" s="3538" t="n"/>
      <c r="C180" s="101" t="n"/>
      <c r="E180" s="3583" t="n"/>
      <c r="F180" s="1172" t="n"/>
      <c r="G180" s="1376" t="inlineStr">
        <is>
          <t xml:space="preserve">Evening Social</t>
        </is>
      </c>
      <c r="H180" s="3678">
        <f>J180*$I$14</f>
        <v>0</v>
      </c>
      <c r="I180" s="1465">
        <f>IFERROR(H180/$H$44,0)</f>
        <v>0</v>
      </c>
      <c r="J180" s="3562">
        <v>0</v>
      </c>
      <c r="K180" s="1172" t="n"/>
      <c r="L180" s="3678">
        <f>N180*$M$14</f>
        <v>0</v>
      </c>
      <c r="M180" s="1465">
        <f>IFERROR(L180/$L$44,0)</f>
        <v>0</v>
      </c>
      <c r="N180" s="3562">
        <f>J180*(1+$L$6)</f>
        <v>0</v>
      </c>
      <c r="P180" s="3678">
        <f>R180*$Q$14</f>
        <v>0</v>
      </c>
      <c r="Q180" s="1465">
        <f>IFERROR(P180/$P$44,0)</f>
        <v>0</v>
      </c>
      <c r="R180" s="3562">
        <f>N180*(1+$L$6)</f>
        <v>0</v>
      </c>
      <c r="T180" s="3678">
        <f>V180*$U$14</f>
        <v>0</v>
      </c>
      <c r="U180" s="1465">
        <f>IFERROR(T180/$T$44,0)</f>
        <v>0</v>
      </c>
      <c r="V180" s="3562">
        <f>R180*(1+$L$6)</f>
        <v>0</v>
      </c>
      <c r="X180" s="3678">
        <f>Z180*$Y$14</f>
        <v>0</v>
      </c>
      <c r="Y180" s="1465">
        <f>IFERROR(X180/$X$44,0)</f>
        <v>0</v>
      </c>
      <c r="Z180" s="3562">
        <f>V180*(1+$L$6)</f>
        <v>0</v>
      </c>
      <c r="AB180" s="3678">
        <f>AD180*$AC$14</f>
        <v>0</v>
      </c>
      <c r="AC180" s="1465">
        <f>IFERROR(AB180/$AB$44,0)</f>
        <v>0</v>
      </c>
      <c r="AD180" s="3562">
        <f>Z180*(1+$L$6)</f>
        <v>0</v>
      </c>
      <c r="AF180" s="3678">
        <f>AH180*$AG$14</f>
        <v>0</v>
      </c>
      <c r="AG180" s="1465">
        <f>IFERROR(AF180/$AF$44,0)</f>
        <v>0</v>
      </c>
      <c r="AH180" s="3562">
        <f>AD180*(1+$L$6)</f>
        <v>0</v>
      </c>
      <c r="AJ180" s="3678">
        <f>AL180*$AK$14</f>
        <v>0</v>
      </c>
      <c r="AK180" s="1465">
        <f>IFERROR(AJ180/$AJ$44,0)</f>
        <v>0</v>
      </c>
      <c r="AL180" s="3562">
        <f>AH180*(1+$L$6)</f>
        <v>0</v>
      </c>
      <c r="AN180" s="3678">
        <f>AP180*$AO$14</f>
        <v>0</v>
      </c>
      <c r="AO180" s="1465">
        <f>IFERROR(AN180/$AN$44,0)</f>
        <v>0</v>
      </c>
      <c r="AP180" s="3562">
        <f>AL180*(1+$L$6)</f>
        <v>0</v>
      </c>
      <c r="AR180" s="3678">
        <f>AT180*$AS$14</f>
        <v>0</v>
      </c>
      <c r="AS180" s="1465">
        <f>IFERROR(AR180/$AR$44,0)</f>
        <v>0</v>
      </c>
      <c r="AT180" s="3562">
        <f>AP180*(1+$L$6)</f>
        <v>0</v>
      </c>
      <c r="AV180" s="3678">
        <f>AX180*$AW$14</f>
        <v>0</v>
      </c>
      <c r="AW180" s="1465">
        <f>IFERROR(AV180/$AV$44,0)</f>
        <v>0</v>
      </c>
      <c r="AX180" s="3562">
        <f>AT180*(1+$L$6)</f>
        <v>0</v>
      </c>
      <c r="AZ180" s="3678">
        <f>BB180*$BA$14</f>
        <v>0</v>
      </c>
      <c r="BA180" s="1465">
        <f>IFERROR(AZ180/$AZ$44,0)</f>
        <v>0</v>
      </c>
      <c r="BB180" s="3562">
        <f>AX180*(1+$L$6)</f>
        <v>0</v>
      </c>
      <c r="BC180" s="1426" t="n"/>
      <c r="BD180" s="3678" t="n">
        <f t="array" ref="BD180">IFERROR($H180/12,0)</f>
        <v>0</v>
      </c>
      <c r="BE180" s="1465" t="n">
        <f t="array" ref="BE180">IFERROR($H180/$H$44,0)</f>
        <v>0</v>
      </c>
      <c r="BF180" s="3562" t="n">
        <f t="array" ref="BF180">IFERROR(($H180/12)/1650,0)</f>
        <v>0</v>
      </c>
    </row>
    <row r="181" s="1168" customFormat="1" ht="15" customHeight="1">
      <c r="A181" s="3445" t="n"/>
      <c r="B181" s="3538" t="n"/>
      <c r="C181" s="101" t="n"/>
      <c r="E181" s="3583" t="n"/>
      <c r="F181" s="1172" t="n"/>
      <c r="G181" s="1283" t="inlineStr">
        <is>
          <t xml:space="preserve">Misc</t>
        </is>
      </c>
      <c r="H181" s="3586">
        <f>J181*$I$14</f>
        <v>0</v>
      </c>
      <c r="I181" s="1292">
        <f>IFERROR(H181/$H$44,0)</f>
        <v>0</v>
      </c>
      <c r="J181" s="3662">
        <v>0</v>
      </c>
      <c r="K181" s="1172" t="n"/>
      <c r="L181" s="3586">
        <f>N181*$M$14</f>
        <v>0</v>
      </c>
      <c r="M181" s="1292">
        <f>IFERROR(L181/$L$44,0)</f>
        <v>0</v>
      </c>
      <c r="N181" s="3662">
        <f>J181*(1+$L$6)</f>
        <v>0</v>
      </c>
      <c r="P181" s="3586">
        <f>R181*$Q$14</f>
        <v>0</v>
      </c>
      <c r="Q181" s="1292">
        <f>IFERROR(P181/$P$44,0)</f>
        <v>0</v>
      </c>
      <c r="R181" s="3662">
        <f>N181*(1+$L$6)</f>
        <v>0</v>
      </c>
      <c r="T181" s="3586">
        <f>V181*$U$14</f>
        <v>0</v>
      </c>
      <c r="U181" s="1292">
        <f>IFERROR(T181/$T$44,0)</f>
        <v>0</v>
      </c>
      <c r="V181" s="3662">
        <f>R181*(1+$L$6)</f>
        <v>0</v>
      </c>
      <c r="X181" s="3586">
        <f>Z181*$Y$14</f>
        <v>0</v>
      </c>
      <c r="Y181" s="1292">
        <f>IFERROR(X181/$X$44,0)</f>
        <v>0</v>
      </c>
      <c r="Z181" s="3662">
        <f>V181*(1+$L$6)</f>
        <v>0</v>
      </c>
      <c r="AB181" s="3586">
        <f>AD181*$AC$14</f>
        <v>0</v>
      </c>
      <c r="AC181" s="1292">
        <f>IFERROR(AB181/$AB$44,0)</f>
        <v>0</v>
      </c>
      <c r="AD181" s="3662">
        <f>Z181*(1+$L$6)</f>
        <v>0</v>
      </c>
      <c r="AF181" s="3586">
        <f>AH181*$AG$14</f>
        <v>0</v>
      </c>
      <c r="AG181" s="1292">
        <f>IFERROR(AF181/$AF$44,0)</f>
        <v>0</v>
      </c>
      <c r="AH181" s="3662">
        <f>AD181*(1+$L$6)</f>
        <v>0</v>
      </c>
      <c r="AJ181" s="3586">
        <f>AL181*$AK$14</f>
        <v>0</v>
      </c>
      <c r="AK181" s="1292">
        <f>IFERROR(AJ181/$AJ$44,0)</f>
        <v>0</v>
      </c>
      <c r="AL181" s="3662">
        <f>AH181*(1+$L$6)</f>
        <v>0</v>
      </c>
      <c r="AN181" s="3586">
        <f>AP181*$AO$14</f>
        <v>0</v>
      </c>
      <c r="AO181" s="1292">
        <f>IFERROR(AN181/$AN$44,0)</f>
        <v>0</v>
      </c>
      <c r="AP181" s="3662">
        <f>AL181*(1+$L$6)</f>
        <v>0</v>
      </c>
      <c r="AR181" s="3586">
        <f>AT181*$AS$14</f>
        <v>0</v>
      </c>
      <c r="AS181" s="1292">
        <f>IFERROR(AR181/$AR$44,0)</f>
        <v>0</v>
      </c>
      <c r="AT181" s="3662">
        <f>AP181*(1+$L$6)</f>
        <v>0</v>
      </c>
      <c r="AV181" s="3586">
        <f>AX181*$AW$14</f>
        <v>0</v>
      </c>
      <c r="AW181" s="1292">
        <f>IFERROR(AV181/$AV$44,0)</f>
        <v>0</v>
      </c>
      <c r="AX181" s="3662">
        <f>AT181*(1+$L$6)</f>
        <v>0</v>
      </c>
      <c r="AZ181" s="3586">
        <f>BB181*$BA$14</f>
        <v>0</v>
      </c>
      <c r="BA181" s="1292">
        <f>IFERROR(AZ181/$AZ$44,0)</f>
        <v>0</v>
      </c>
      <c r="BB181" s="3662">
        <f>AX181*(1+$L$6)</f>
        <v>0</v>
      </c>
      <c r="BC181" s="1426" t="n"/>
      <c r="BD181" s="3586" t="n">
        <f t="array" ref="BD181">IFERROR($H181/12,0)</f>
        <v>0</v>
      </c>
      <c r="BE181" s="1292" t="n">
        <f t="array" ref="BE181">IFERROR($H181/$H$44,0)</f>
        <v>0</v>
      </c>
      <c r="BF181" s="3662" t="n">
        <f t="array" ref="BF181">IFERROR(($H181/12)/1650,0)</f>
        <v>0</v>
      </c>
    </row>
    <row r="182" s="1168" customFormat="1" ht="15" customHeight="1">
      <c r="A182" s="3445" t="n"/>
      <c r="B182" s="3538" t="n"/>
      <c r="C182" s="101" t="n"/>
      <c r="E182" s="3583" t="n"/>
      <c r="F182" s="1172" t="n"/>
      <c r="G182" s="1283" t="inlineStr">
        <is>
          <t xml:space="preserve">TBA</t>
        </is>
      </c>
      <c r="H182" s="3586">
        <f>J182*$I$14</f>
        <v>0</v>
      </c>
      <c r="I182" s="1292">
        <f>IFERROR(H182/$H$44,0)</f>
        <v>0</v>
      </c>
      <c r="J182" s="3662">
        <v>0</v>
      </c>
      <c r="K182" s="1172" t="n"/>
      <c r="L182" s="3586">
        <f>N182*$M$14</f>
        <v>0</v>
      </c>
      <c r="M182" s="1292">
        <f>IFERROR(L182/$L$44,0)</f>
        <v>0</v>
      </c>
      <c r="N182" s="3662">
        <f>J182*(1+$L$6)</f>
        <v>0</v>
      </c>
      <c r="P182" s="3586">
        <f>R182*$Q$14</f>
        <v>0</v>
      </c>
      <c r="Q182" s="1292">
        <f>IFERROR(P182/$P$44,0)</f>
        <v>0</v>
      </c>
      <c r="R182" s="3662">
        <f>N182*(1+$L$6)</f>
        <v>0</v>
      </c>
      <c r="T182" s="3586">
        <f>V182*$U$14</f>
        <v>0</v>
      </c>
      <c r="U182" s="1292">
        <f>IFERROR(T182/$T$44,0)</f>
        <v>0</v>
      </c>
      <c r="V182" s="3662">
        <f>R182*(1+$L$6)</f>
        <v>0</v>
      </c>
      <c r="X182" s="3586">
        <f>Z182*$Y$14</f>
        <v>0</v>
      </c>
      <c r="Y182" s="1292">
        <f>IFERROR(X182/$X$44,0)</f>
        <v>0</v>
      </c>
      <c r="Z182" s="3662">
        <f>V182*(1+$L$6)</f>
        <v>0</v>
      </c>
      <c r="AB182" s="3586">
        <f>AD182*$AC$14</f>
        <v>0</v>
      </c>
      <c r="AC182" s="1292">
        <f>IFERROR(AB182/$AB$44,0)</f>
        <v>0</v>
      </c>
      <c r="AD182" s="3662">
        <f>Z182*(1+$L$6)</f>
        <v>0</v>
      </c>
      <c r="AF182" s="3586">
        <f>AH182*$AG$14</f>
        <v>0</v>
      </c>
      <c r="AG182" s="1292">
        <f>IFERROR(AF182/$AF$44,0)</f>
        <v>0</v>
      </c>
      <c r="AH182" s="3662">
        <f>AD182*(1+$L$6)</f>
        <v>0</v>
      </c>
      <c r="AJ182" s="3586">
        <f>AL182*$AK$14</f>
        <v>0</v>
      </c>
      <c r="AK182" s="1292">
        <f>IFERROR(AJ182/$AJ$44,0)</f>
        <v>0</v>
      </c>
      <c r="AL182" s="3662">
        <f>AH182*(1+$L$6)</f>
        <v>0</v>
      </c>
      <c r="AN182" s="3586">
        <f>AP182*$AO$14</f>
        <v>0</v>
      </c>
      <c r="AO182" s="1292">
        <f>IFERROR(AN182/$AN$44,0)</f>
        <v>0</v>
      </c>
      <c r="AP182" s="3662">
        <f>AL182*(1+$L$6)</f>
        <v>0</v>
      </c>
      <c r="AR182" s="3586">
        <f>AT182*$AS$14</f>
        <v>0</v>
      </c>
      <c r="AS182" s="1292">
        <f>IFERROR(AR182/$AR$44,0)</f>
        <v>0</v>
      </c>
      <c r="AT182" s="3662">
        <f>AP182*(1+$L$6)</f>
        <v>0</v>
      </c>
      <c r="AV182" s="3586">
        <f>AX182*$AW$14</f>
        <v>0</v>
      </c>
      <c r="AW182" s="1292">
        <f>IFERROR(AV182/$AV$44,0)</f>
        <v>0</v>
      </c>
      <c r="AX182" s="3662">
        <f>AT182*(1+$L$6)</f>
        <v>0</v>
      </c>
      <c r="AZ182" s="3586">
        <f>BB182*$BA$14</f>
        <v>0</v>
      </c>
      <c r="BA182" s="1292">
        <f>IFERROR(AZ182/$AZ$44,0)</f>
        <v>0</v>
      </c>
      <c r="BB182" s="3662">
        <f>AX182*(1+$L$6)</f>
        <v>0</v>
      </c>
      <c r="BD182" s="3586" t="n">
        <f t="array" ref="BD182">IFERROR($H182/12,0)</f>
        <v>0</v>
      </c>
      <c r="BE182" s="1292" t="n">
        <f t="array" ref="BE182">IFERROR($H182/$H$44,0)</f>
        <v>0</v>
      </c>
      <c r="BF182" s="3662" t="n">
        <f t="array" ref="BF182">IFERROR(($H182/12)/1650,0)</f>
        <v>0</v>
      </c>
    </row>
    <row r="183" s="1168" customFormat="1" ht="15" customHeight="1">
      <c r="A183" s="3445" t="n"/>
      <c r="B183" s="3538" t="n"/>
      <c r="C183" s="101" t="n"/>
      <c r="E183" s="3583" t="n"/>
      <c r="F183" s="1172" t="n"/>
      <c r="G183" s="1283" t="inlineStr">
        <is>
          <t xml:space="preserve">TBA</t>
        </is>
      </c>
      <c r="H183" s="3586">
        <f>J183*$I$14</f>
        <v>0</v>
      </c>
      <c r="I183" s="1292">
        <f>IFERROR(H183/$H$44,0)</f>
        <v>0</v>
      </c>
      <c r="J183" s="3662">
        <v>0</v>
      </c>
      <c r="K183" s="1172" t="n"/>
      <c r="L183" s="3586">
        <f>N183*$M$14</f>
        <v>0</v>
      </c>
      <c r="M183" s="1292">
        <f>IFERROR(L183/$L$44,0)</f>
        <v>0</v>
      </c>
      <c r="N183" s="3662">
        <f>J183*(1+$L$6)</f>
        <v>0</v>
      </c>
      <c r="P183" s="3586">
        <f>R183*$Q$14</f>
        <v>0</v>
      </c>
      <c r="Q183" s="1292">
        <f>IFERROR(P183/$P$44,0)</f>
        <v>0</v>
      </c>
      <c r="R183" s="3662">
        <f>N183*(1+$L$6)</f>
        <v>0</v>
      </c>
      <c r="T183" s="3586">
        <f>V183*$U$14</f>
        <v>0</v>
      </c>
      <c r="U183" s="1292">
        <f>IFERROR(T183/$T$44,0)</f>
        <v>0</v>
      </c>
      <c r="V183" s="3662">
        <f>R183*(1+$L$6)</f>
        <v>0</v>
      </c>
      <c r="X183" s="3586">
        <f>Z183*$Y$14</f>
        <v>0</v>
      </c>
      <c r="Y183" s="1292">
        <f>IFERROR(X183/$X$44,0)</f>
        <v>0</v>
      </c>
      <c r="Z183" s="3662">
        <f>V183*(1+$L$6)</f>
        <v>0</v>
      </c>
      <c r="AB183" s="3586">
        <f>AD183*$AC$14</f>
        <v>0</v>
      </c>
      <c r="AC183" s="1292">
        <f>IFERROR(AB183/$AB$44,0)</f>
        <v>0</v>
      </c>
      <c r="AD183" s="3662">
        <f>Z183*(1+$L$6)</f>
        <v>0</v>
      </c>
      <c r="AF183" s="3586">
        <f>AH183*$AG$14</f>
        <v>0</v>
      </c>
      <c r="AG183" s="1292">
        <f>IFERROR(AF183/$AF$44,0)</f>
        <v>0</v>
      </c>
      <c r="AH183" s="3662">
        <f>AD183*(1+$L$6)</f>
        <v>0</v>
      </c>
      <c r="AJ183" s="3586">
        <f>AL183*$AK$14</f>
        <v>0</v>
      </c>
      <c r="AK183" s="1292">
        <f>IFERROR(AJ183/$AJ$44,0)</f>
        <v>0</v>
      </c>
      <c r="AL183" s="3662">
        <f>AH183*(1+$L$6)</f>
        <v>0</v>
      </c>
      <c r="AN183" s="3586">
        <f>AP183*$AO$14</f>
        <v>0</v>
      </c>
      <c r="AO183" s="1292">
        <f>IFERROR(AN183/$AN$44,0)</f>
        <v>0</v>
      </c>
      <c r="AP183" s="3662">
        <f>AL183*(1+$L$6)</f>
        <v>0</v>
      </c>
      <c r="AR183" s="3586">
        <f>AT183*$AS$14</f>
        <v>0</v>
      </c>
      <c r="AS183" s="1292">
        <f>IFERROR(AR183/$AR$44,0)</f>
        <v>0</v>
      </c>
      <c r="AT183" s="3662">
        <f>AP183*(1+$L$6)</f>
        <v>0</v>
      </c>
      <c r="AV183" s="3586">
        <f>AX183*$AW$14</f>
        <v>0</v>
      </c>
      <c r="AW183" s="1292">
        <f>IFERROR(AV183/$AV$44,0)</f>
        <v>0</v>
      </c>
      <c r="AX183" s="3662">
        <f>AT183*(1+$L$6)</f>
        <v>0</v>
      </c>
      <c r="AZ183" s="3586">
        <f>BB183*$BA$14</f>
        <v>0</v>
      </c>
      <c r="BA183" s="1292">
        <f>IFERROR(AZ183/$AZ$44,0)</f>
        <v>0</v>
      </c>
      <c r="BB183" s="3662">
        <f>AX183*(1+$L$6)</f>
        <v>0</v>
      </c>
      <c r="BD183" s="3586" t="n">
        <f t="array" ref="BD183">IFERROR($H183/12,0)</f>
        <v>0</v>
      </c>
      <c r="BE183" s="1292" t="n">
        <f t="array" ref="BE183">IFERROR($H183/$H$44,0)</f>
        <v>0</v>
      </c>
      <c r="BF183" s="3662" t="n">
        <f t="array" ref="BF183">IFERROR(($H183/12)/1650,0)</f>
        <v>0</v>
      </c>
    </row>
    <row r="184" s="1168" customFormat="1" ht="15.75" customHeight="1">
      <c r="A184" s="3445" t="n"/>
      <c r="B184" s="3538" t="n"/>
      <c r="C184" s="101" t="n"/>
      <c r="E184" s="3583" t="n"/>
      <c r="F184" s="1172" t="n"/>
      <c r="G184" s="1415" t="inlineStr">
        <is>
          <t xml:space="preserve">TBA</t>
        </is>
      </c>
      <c r="H184" s="3681">
        <f>J184*$I$14</f>
        <v>0</v>
      </c>
      <c r="I184" s="1310">
        <f>IFERROR(H184/$H$44,0)</f>
        <v>0</v>
      </c>
      <c r="J184" s="3595">
        <v>0</v>
      </c>
      <c r="K184" s="1172" t="n"/>
      <c r="L184" s="3681">
        <f>N184*$M$14</f>
        <v>0</v>
      </c>
      <c r="M184" s="1310">
        <f>IFERROR(L184/$L$44,0)</f>
        <v>0</v>
      </c>
      <c r="N184" s="3595">
        <f>J184*(1+$L$6)</f>
        <v>0</v>
      </c>
      <c r="P184" s="3681">
        <f>R184*$Q$14</f>
        <v>0</v>
      </c>
      <c r="Q184" s="1310">
        <f>IFERROR(P184/$P$44,0)</f>
        <v>0</v>
      </c>
      <c r="R184" s="3595">
        <f>N184*(1+$L$6)</f>
        <v>0</v>
      </c>
      <c r="T184" s="3681">
        <f>V184*$U$14</f>
        <v>0</v>
      </c>
      <c r="U184" s="1310">
        <f>IFERROR(T184/$T$44,0)</f>
        <v>0</v>
      </c>
      <c r="V184" s="3595">
        <f>R184*(1+$L$6)</f>
        <v>0</v>
      </c>
      <c r="X184" s="3681">
        <f>Z184*$Y$14</f>
        <v>0</v>
      </c>
      <c r="Y184" s="1310">
        <f>IFERROR(X184/$X$44,0)</f>
        <v>0</v>
      </c>
      <c r="Z184" s="3595">
        <f>V184*(1+$L$6)</f>
        <v>0</v>
      </c>
      <c r="AB184" s="3681">
        <f>AD184*$AC$14</f>
        <v>0</v>
      </c>
      <c r="AC184" s="1310">
        <f>IFERROR(AB184/$AB$44,0)</f>
        <v>0</v>
      </c>
      <c r="AD184" s="3595">
        <f>Z184*(1+$L$6)</f>
        <v>0</v>
      </c>
      <c r="AF184" s="3681">
        <f>AH184*$AG$14</f>
        <v>0</v>
      </c>
      <c r="AG184" s="1310">
        <f>IFERROR(AF184/$AF$44,0)</f>
        <v>0</v>
      </c>
      <c r="AH184" s="3595">
        <f>AD184*(1+$L$6)</f>
        <v>0</v>
      </c>
      <c r="AJ184" s="3681">
        <f>AL184*$AK$14</f>
        <v>0</v>
      </c>
      <c r="AK184" s="1310">
        <f>IFERROR(AJ184/$AJ$44,0)</f>
        <v>0</v>
      </c>
      <c r="AL184" s="3595">
        <f>AH184*(1+$L$6)</f>
        <v>0</v>
      </c>
      <c r="AN184" s="3681">
        <f>AP184*$AO$14</f>
        <v>0</v>
      </c>
      <c r="AO184" s="1310">
        <f>IFERROR(AN184/$AN$44,0)</f>
        <v>0</v>
      </c>
      <c r="AP184" s="3595">
        <f>AL184*(1+$L$6)</f>
        <v>0</v>
      </c>
      <c r="AR184" s="3681">
        <f>AT184*$AS$14</f>
        <v>0</v>
      </c>
      <c r="AS184" s="1310">
        <f>IFERROR(AR184/$AR$44,0)</f>
        <v>0</v>
      </c>
      <c r="AT184" s="3595">
        <f>AP184*(1+$L$6)</f>
        <v>0</v>
      </c>
      <c r="AV184" s="3681">
        <f>AX184*$AW$14</f>
        <v>0</v>
      </c>
      <c r="AW184" s="1310">
        <f>IFERROR(AV184/$AV$44,0)</f>
        <v>0</v>
      </c>
      <c r="AX184" s="3595">
        <f>AT184*(1+$L$6)</f>
        <v>0</v>
      </c>
      <c r="AZ184" s="3681">
        <f>BB184*$BA$14</f>
        <v>0</v>
      </c>
      <c r="BA184" s="1310">
        <f>IFERROR(AZ184/$AZ$44,0)</f>
        <v>0</v>
      </c>
      <c r="BB184" s="3595">
        <f>AX184*(1+$L$6)</f>
        <v>0</v>
      </c>
      <c r="BD184" s="3681" t="n">
        <f t="array" ref="BD184">IFERROR($H184/12,0)</f>
        <v>0</v>
      </c>
      <c r="BE184" s="1310" t="n">
        <f t="array" ref="BE184">IFERROR($H184/$H$44,0)</f>
        <v>0</v>
      </c>
      <c r="BF184" s="3595" t="n">
        <f t="array" ref="BF184">IFERROR(($H184/12)/1650,0)</f>
        <v>0</v>
      </c>
    </row>
    <row r="185" s="1168" customFormat="1" ht="13.5" customHeight="1">
      <c r="A185" s="3445" t="n"/>
      <c r="B185" s="3538" t="n"/>
      <c r="C185" s="101" t="n"/>
      <c r="E185" s="3583" t="n"/>
      <c r="F185" s="1172" t="n"/>
      <c r="G185" s="1458" t="inlineStr">
        <is>
          <t xml:space="preserve">Total Advertising/Promo Expense</t>
        </is>
      </c>
      <c r="H185" s="3601">
        <f>SUM(H176:H184)</f>
        <v>2000</v>
      </c>
      <c r="I185" s="1316">
        <f>SUM(I176:I184)</f>
        <v>0.00134630271617</v>
      </c>
      <c r="J185" s="3602">
        <f>SUM(J176:J184)</f>
        <v>0.0996264009963</v>
      </c>
      <c r="K185" s="1172" t="n"/>
      <c r="L185" s="3601">
        <f>SUM(L176:L184)</f>
        <v>2387.27272727</v>
      </c>
      <c r="M185" s="1316">
        <f>SUM(M176:M184)</f>
        <v>0.00133310366993</v>
      </c>
      <c r="N185" s="3602">
        <f>SUM(N176:N184)</f>
        <v>0.100622665006</v>
      </c>
      <c r="P185" s="3745">
        <f>SUM(P176:P184)</f>
        <v>2670.80727273</v>
      </c>
      <c r="Q185" s="1316">
        <f>SUM(Q176:Q184)</f>
        <v>0.00132003402611</v>
      </c>
      <c r="R185" s="3602">
        <f>SUM(R176:R184)</f>
        <v>0.101628891656</v>
      </c>
      <c r="T185" s="3601">
        <f>SUM(T176:T184)</f>
        <v>2697.51534545</v>
      </c>
      <c r="U185" s="1316">
        <f>SUM(U176:U184)</f>
        <v>0.00130709251605</v>
      </c>
      <c r="V185" s="3602">
        <f>SUM(V176:V184)</f>
        <v>0.102645180573</v>
      </c>
      <c r="X185" s="3601">
        <f>SUM(X176:X184)</f>
        <v>2724.49049891</v>
      </c>
      <c r="Y185" s="1316">
        <f>SUM(Y176:Y184)</f>
        <v>0.00129427788354</v>
      </c>
      <c r="Z185" s="3602">
        <f>SUM(Z176:Z184)</f>
        <v>0.103671632379</v>
      </c>
      <c r="AB185" s="3601">
        <f>SUM(AB176:AB184)</f>
        <v>2751.7354039</v>
      </c>
      <c r="AC185" s="1316">
        <f>SUM(AC176:AC184)</f>
        <v>0.00128158888468</v>
      </c>
      <c r="AD185" s="3602">
        <f>SUM(AD176:AD184)</f>
        <v>0.104708348702</v>
      </c>
      <c r="AF185" s="3601">
        <f>SUM(AF176:AF184)</f>
        <v>2779.25275794</v>
      </c>
      <c r="AG185" s="1316">
        <f>SUM(AG176:AG184)</f>
        <v>0.00126902428777</v>
      </c>
      <c r="AH185" s="3602">
        <f>SUM(AH176:AH184)</f>
        <v>0.105755432189</v>
      </c>
      <c r="AJ185" s="3601">
        <f>SUM(AJ176:AJ184)</f>
        <v>2807.04528552</v>
      </c>
      <c r="AK185" s="1316">
        <f>SUM(AK176:AK184)</f>
        <v>0.00125658287318</v>
      </c>
      <c r="AL185" s="3602">
        <f>SUM(AL176:AL184)</f>
        <v>0.106812986511</v>
      </c>
      <c r="AN185" s="3601">
        <f>SUM(AN176:AN184)</f>
        <v>2835.11573837</v>
      </c>
      <c r="AO185" s="1316">
        <f>SUM(AO176:AO184)</f>
        <v>0.00124426343325</v>
      </c>
      <c r="AP185" s="3602">
        <f>SUM(AP176:AP184)</f>
        <v>0.107881116376</v>
      </c>
      <c r="AR185" s="3601">
        <f>SUM(AR176:AR184)</f>
        <v>2863.46689576</v>
      </c>
      <c r="AS185" s="1316">
        <f>SUM(AS176:AS184)</f>
        <v>0.00123206477214</v>
      </c>
      <c r="AT185" s="3602">
        <f>SUM(AT176:AT184)</f>
        <v>0.10895992754</v>
      </c>
      <c r="AV185" s="3601">
        <f>SUM(AV176:AV184)</f>
        <v>2892.10156471</v>
      </c>
      <c r="AW185" s="1316">
        <f>SUM(AW176:AW184)</f>
        <v>0.00124438541986</v>
      </c>
      <c r="AX185" s="3602">
        <f>SUM(AX176:AX184)</f>
        <v>0.110049526816</v>
      </c>
      <c r="AZ185" s="3601">
        <f>SUM(AZ176:AZ184)</f>
        <v>2921.02258036</v>
      </c>
      <c r="BA185" s="1316">
        <f>SUM(BA176:BA184)</f>
        <v>0.00125682927406</v>
      </c>
      <c r="BB185" s="3602">
        <f>SUM(BB176:BB184)</f>
        <v>0.111150022084</v>
      </c>
      <c r="BD185" s="3601" t="n">
        <f t="array" ref="BD185">IFERROR($H185/12,0)</f>
        <v>166.66666666666666</v>
      </c>
      <c r="BE185" s="1316">
        <f>H185+L185+P185+T185+X185+AB185+AF185+AJ185+AN185+AR185+AV185+AZ185</f>
        <v>32329.8260709</v>
      </c>
      <c r="BF185" s="3602">
        <f>IFERROR(BE185/BE14,0)</f>
        <v>0.105446268985</v>
      </c>
    </row>
    <row r="186" s="1168" customFormat="1" ht="15.75" customHeight="1">
      <c r="A186" s="3445" t="n"/>
      <c r="B186" s="3538" t="n"/>
      <c r="C186" s="101" t="n"/>
      <c r="E186" s="3464" t="n"/>
      <c r="F186" s="1172" t="n"/>
      <c r="H186" s="3563" t="n"/>
      <c r="I186" s="1460" t="n"/>
      <c r="J186" s="3565" t="n"/>
      <c r="K186" s="1172" t="n"/>
      <c r="L186" s="3566" t="n"/>
      <c r="M186" s="1269" t="n"/>
      <c r="N186" s="3570" t="n"/>
      <c r="P186" s="3571" t="n"/>
      <c r="Q186" s="1460" t="n"/>
      <c r="R186" s="3570" t="n"/>
      <c r="T186" s="3571" t="n"/>
      <c r="U186" s="1269" t="n"/>
      <c r="V186" s="3570" t="n"/>
      <c r="X186" s="3571" t="n"/>
      <c r="Y186" s="1269" t="n"/>
      <c r="Z186" s="3570" t="n"/>
      <c r="AB186" s="3571" t="n"/>
      <c r="AC186" s="1269" t="n"/>
      <c r="AD186" s="3570" t="n"/>
      <c r="AF186" s="3571" t="n"/>
      <c r="AG186" s="1269" t="n"/>
      <c r="AH186" s="3570" t="n"/>
      <c r="AJ186" s="3571" t="n"/>
      <c r="AK186" s="1269" t="n"/>
      <c r="AL186" s="3570" t="n"/>
      <c r="AN186" s="3571" t="n"/>
      <c r="AO186" s="1269" t="n"/>
      <c r="AP186" s="3570" t="n"/>
      <c r="AR186" s="3571" t="n"/>
      <c r="AS186" s="1269" t="n"/>
      <c r="AT186" s="3570" t="n"/>
      <c r="AV186" s="3571" t="n"/>
      <c r="AW186" s="1269" t="n"/>
      <c r="AX186" s="3570" t="n"/>
      <c r="AZ186" s="3571" t="n"/>
      <c r="BA186" s="1269" t="n"/>
      <c r="BB186" s="3570" t="n"/>
      <c r="BD186" s="3571" t="n"/>
      <c r="BE186" s="1269" t="n"/>
      <c r="BF186" s="3570" t="n"/>
    </row>
    <row r="187" s="1168" customFormat="1" ht="15" customHeight="1">
      <c r="A187" s="3445" t="n"/>
      <c r="B187" s="3538" t="n"/>
      <c r="C187" s="101" t="n"/>
      <c r="E187" s="3464" t="n"/>
      <c r="F187" s="1172" t="n"/>
      <c r="G187" s="1272" t="inlineStr">
        <is>
          <t xml:space="preserve">Franchise Fees</t>
        </is>
      </c>
      <c r="H187" s="3572" t="n"/>
      <c r="I187" s="1323" t="n"/>
      <c r="J187" s="3574" t="n"/>
      <c r="K187" s="1172" t="n"/>
      <c r="L187" s="3572" t="n"/>
      <c r="M187" s="1323" t="n"/>
      <c r="N187" s="3574" t="n"/>
      <c r="P187" s="3572" t="n"/>
      <c r="Q187" s="1323" t="n"/>
      <c r="R187" s="3574" t="n"/>
      <c r="T187" s="3572" t="n"/>
      <c r="U187" s="1323" t="n"/>
      <c r="V187" s="3574" t="n"/>
      <c r="X187" s="3572" t="n"/>
      <c r="Y187" s="1323" t="n"/>
      <c r="Z187" s="3574" t="n"/>
      <c r="AB187" s="3572" t="n"/>
      <c r="AC187" s="1323" t="n"/>
      <c r="AD187" s="3574" t="n"/>
      <c r="AF187" s="3572" t="n"/>
      <c r="AG187" s="1323" t="n"/>
      <c r="AH187" s="3574" t="n"/>
      <c r="AJ187" s="3572" t="n"/>
      <c r="AK187" s="1323" t="n"/>
      <c r="AL187" s="3574" t="n"/>
      <c r="AN187" s="3572" t="n"/>
      <c r="AO187" s="1323" t="n"/>
      <c r="AP187" s="3574" t="n"/>
      <c r="AR187" s="3572" t="n"/>
      <c r="AS187" s="1323" t="n"/>
      <c r="AT187" s="3574" t="n"/>
      <c r="AV187" s="3572" t="n"/>
      <c r="AW187" s="1323" t="n"/>
      <c r="AX187" s="3574" t="n"/>
      <c r="AZ187" s="3572" t="n"/>
      <c r="BA187" s="1323" t="n"/>
      <c r="BB187" s="3574" t="n"/>
      <c r="BD187" s="3572" t="n"/>
      <c r="BE187" s="1323" t="n"/>
      <c r="BF187" s="3574" t="n"/>
    </row>
    <row r="188" s="1168" customFormat="1" ht="15" customHeight="1">
      <c r="A188" s="3445" t="n"/>
      <c r="B188" s="3538" t="n"/>
      <c r="C188" s="101" t="n"/>
      <c r="E188" s="3464" t="n"/>
      <c r="F188" s="1172" t="n"/>
      <c r="G188" s="1283" t="inlineStr">
        <is>
          <t xml:space="preserve">Franchise Fee / Marketing</t>
        </is>
      </c>
      <c r="H188" s="3586">
        <f>J188*$I$14</f>
        <v>66849.75</v>
      </c>
      <c r="I188" s="1171">
        <f>IFERROR(H188/$H$44,0)</f>
        <v>0.045</v>
      </c>
      <c r="J188" s="3662">
        <v>3.33</v>
      </c>
      <c r="K188" s="1172" t="n"/>
      <c r="L188" s="3586">
        <f>N188*$M$14</f>
        <v>79794.2925</v>
      </c>
      <c r="M188" s="1171">
        <f>IFERROR(L188/$L$44,0)</f>
        <v>0.0445588235294</v>
      </c>
      <c r="N188" s="3662">
        <f>J188*(1+$L$6)</f>
        <v>3.3633</v>
      </c>
      <c r="P188" s="3586">
        <f>R188*$Q$14</f>
        <v>89271.39924</v>
      </c>
      <c r="Q188" s="1171">
        <f>IFERROR(P188/$P$44,0)</f>
        <v>0.0441219723183</v>
      </c>
      <c r="R188" s="3662">
        <f>N188*(1+$L$6)</f>
        <v>3.396933</v>
      </c>
      <c r="T188" s="3586">
        <f>V188*$U$14</f>
        <v>90164.1132324</v>
      </c>
      <c r="U188" s="1171">
        <f>IFERROR(T188/$T$44,0)</f>
        <v>0.0436894039623</v>
      </c>
      <c r="V188" s="3662">
        <f>R188*(1+$L$6)</f>
        <v>3.43090233</v>
      </c>
      <c r="X188" s="3586">
        <f>Z188*$Y$14</f>
        <v>91065.7543647</v>
      </c>
      <c r="Y188" s="1171">
        <f>IFERROR(X188/$X$44,0)</f>
        <v>0.0432610764725</v>
      </c>
      <c r="Z188" s="3662">
        <f>V188*(1+$L$6)</f>
        <v>3.4652113533</v>
      </c>
      <c r="AB188" s="3586">
        <f>AD188*$AC$14</f>
        <v>91976.4119084</v>
      </c>
      <c r="AC188" s="1171">
        <f>IFERROR(AB188/$AB$44,0)</f>
        <v>0.0428369482717</v>
      </c>
      <c r="AD188" s="3662">
        <f>Z188*(1+$L$6)</f>
        <v>3.49986346683</v>
      </c>
      <c r="AF188" s="3586">
        <f>AH188*$AG$14</f>
        <v>92896.1760275</v>
      </c>
      <c r="AG188" s="1171">
        <f>IFERROR(AF188/$AF$44,0)</f>
        <v>0.0424169781906</v>
      </c>
      <c r="AH188" s="3662">
        <f>AD188*(1+$L$6)</f>
        <v>3.5348621015</v>
      </c>
      <c r="AJ188" s="3586">
        <f>AL188*$AK$14</f>
        <v>93825.1377877</v>
      </c>
      <c r="AK188" s="1171">
        <f>IFERROR(AJ188/$AJ$44,0)</f>
        <v>0.0420011254633</v>
      </c>
      <c r="AL188" s="3662">
        <f>AH188*(1+$L$6)</f>
        <v>3.57021072252</v>
      </c>
      <c r="AN188" s="3586">
        <f>AP188*$AO$14</f>
        <v>94763.3891656</v>
      </c>
      <c r="AO188" s="1171">
        <f>IFERROR(AN188/$AN$44,0)</f>
        <v>0.0415893497234</v>
      </c>
      <c r="AP188" s="3662">
        <f>AL188*(1+$L$6)</f>
        <v>3.60591282974</v>
      </c>
      <c r="AR188" s="3586">
        <f>AT188*$AS$14</f>
        <v>95711.0230573</v>
      </c>
      <c r="AS188" s="1171">
        <f>IFERROR(AR188/$AR$44,0)</f>
        <v>0.0411816110007</v>
      </c>
      <c r="AT188" s="3662">
        <f>AP188*(1+$L$6)</f>
        <v>3.64197195804</v>
      </c>
      <c r="AV188" s="3586">
        <f>AX188*$AW$14</f>
        <v>96668.1332878</v>
      </c>
      <c r="AW188" s="1171">
        <f>IFERROR(AV188/$AV$44,0)</f>
        <v>0.0415934271107</v>
      </c>
      <c r="AX188" s="3662">
        <f>AT188*(1+$L$6)</f>
        <v>3.67839167762</v>
      </c>
      <c r="AZ188" s="3586">
        <f>BB188*$BA$14</f>
        <v>97634.8146207</v>
      </c>
      <c r="BA188" s="1171">
        <f>IFERROR(AZ188/$AZ$44,0)</f>
        <v>0.0420093613818</v>
      </c>
      <c r="BB188" s="3662">
        <f>AX188*(1+$L$6)</f>
        <v>3.7151755944</v>
      </c>
      <c r="BD188" s="3586" t="n">
        <f t="array" ref="BD188">IFERROR($H188/12,0)</f>
        <v>5570.8125</v>
      </c>
      <c r="BE188" s="1171" t="n">
        <f t="array" ref="BE188">IFERROR($H188/$H$44,0)</f>
        <v>0.045</v>
      </c>
      <c r="BF188" s="3662" t="n">
        <f t="array" ref="BF188">IFERROR(($H188/12)/1650,0)</f>
        <v>3.37625</v>
      </c>
    </row>
    <row r="189" s="1168" customFormat="1" ht="15" customHeight="1">
      <c r="A189" s="3445" t="n"/>
      <c r="B189" s="3538" t="n"/>
      <c r="C189" s="101" t="n"/>
      <c r="E189" s="3464" t="n"/>
      <c r="F189" s="1172" t="n"/>
      <c r="G189" s="1283" t="inlineStr">
        <is>
          <t xml:space="preserve">Royalty Fees</t>
        </is>
      </c>
      <c r="H189" s="3586">
        <f>J189*$I$14</f>
        <v>22283.25</v>
      </c>
      <c r="I189" s="1171">
        <f>IFERROR(H189/$H$44,0)</f>
        <v>0.015</v>
      </c>
      <c r="J189" s="3662">
        <v>1.11</v>
      </c>
      <c r="K189" s="1172" t="n"/>
      <c r="L189" s="3586">
        <f>N189*$M$14</f>
        <v>26598.0975</v>
      </c>
      <c r="M189" s="1171">
        <f>IFERROR(L189/$L$44,0)</f>
        <v>0.0148529411765</v>
      </c>
      <c r="N189" s="3662">
        <f>J189*(1+$L$6)</f>
        <v>1.1211</v>
      </c>
      <c r="P189" s="3586">
        <f>R189*$Q$14</f>
        <v>29757.13308</v>
      </c>
      <c r="Q189" s="1171">
        <f>IFERROR(P189/$P$44,0)</f>
        <v>0.0147073241061</v>
      </c>
      <c r="R189" s="3662">
        <f>N189*(1+$L$6)</f>
        <v>1.132311</v>
      </c>
      <c r="T189" s="3586">
        <f>V189*$U$14</f>
        <v>30054.7044108</v>
      </c>
      <c r="U189" s="1171">
        <f>IFERROR(T189/$T$44,0)</f>
        <v>0.0145631346541</v>
      </c>
      <c r="V189" s="3662">
        <f>R189*(1+$L$6)</f>
        <v>1.14363411</v>
      </c>
      <c r="X189" s="3586">
        <f>Z189*$Y$14</f>
        <v>30355.2514549</v>
      </c>
      <c r="Y189" s="1171">
        <f>IFERROR(X189/$X$44,0)</f>
        <v>0.0144203588242</v>
      </c>
      <c r="Z189" s="3662">
        <f>V189*(1+$L$6)</f>
        <v>1.1550704511</v>
      </c>
      <c r="AB189" s="3586">
        <f>AD189*$AC$14</f>
        <v>30658.8039695</v>
      </c>
      <c r="AC189" s="1171">
        <f>IFERROR(AB189/$AB$44,0)</f>
        <v>0.0142789827572</v>
      </c>
      <c r="AD189" s="3662">
        <f>Z189*(1+$L$6)</f>
        <v>1.16662115561</v>
      </c>
      <c r="AF189" s="3586">
        <f>AH189*$AG$14</f>
        <v>30965.3920092</v>
      </c>
      <c r="AG189" s="1171">
        <f>IFERROR(AF189/$AF$44,0)</f>
        <v>0.0141389927302</v>
      </c>
      <c r="AH189" s="3662">
        <f>AD189*(1+$L$6)</f>
        <v>1.17828736717</v>
      </c>
      <c r="AJ189" s="3586">
        <f>AL189*$AK$14</f>
        <v>31275.0459292</v>
      </c>
      <c r="AK189" s="1171">
        <f>IFERROR(AJ189/$AJ$44,0)</f>
        <v>0.0140003751544</v>
      </c>
      <c r="AL189" s="3662">
        <f>AH189*(1+$L$6)</f>
        <v>1.19007024084</v>
      </c>
      <c r="AN189" s="3586">
        <f>AP189*$AO$14</f>
        <v>31587.7963885</v>
      </c>
      <c r="AO189" s="1171">
        <f>IFERROR(AN189/$AN$44,0)</f>
        <v>0.0138631165745</v>
      </c>
      <c r="AP189" s="3662">
        <f>AL189*(1+$L$6)</f>
        <v>1.20197094325</v>
      </c>
      <c r="AR189" s="3586">
        <f>AT189*$AS$14</f>
        <v>31903.6743524</v>
      </c>
      <c r="AS189" s="1171">
        <f>IFERROR(AR189/$AR$44,0)</f>
        <v>0.0137272036669</v>
      </c>
      <c r="AT189" s="3662">
        <f>AP189*(1+$L$6)</f>
        <v>1.21399065268</v>
      </c>
      <c r="AV189" s="3586">
        <f>AX189*$AW$14</f>
        <v>32222.7110959</v>
      </c>
      <c r="AW189" s="1171">
        <f>IFERROR(AV189/$AV$44,0)</f>
        <v>0.0138644757036</v>
      </c>
      <c r="AX189" s="3662">
        <f>AT189*(1+$L$6)</f>
        <v>1.22613055921</v>
      </c>
      <c r="AZ189" s="3586">
        <f>BB189*$BA$14</f>
        <v>32544.9382069</v>
      </c>
      <c r="BA189" s="1171">
        <f>IFERROR(AZ189/$AZ$44,0)</f>
        <v>0.0140031204606</v>
      </c>
      <c r="BB189" s="3662">
        <f>AX189*(1+$L$6)</f>
        <v>1.2383918648</v>
      </c>
      <c r="BD189" s="3586" t="n">
        <f t="array" ref="BD189">IFERROR($H189/12,0)</f>
        <v>1856.9375</v>
      </c>
      <c r="BE189" s="1171" t="n">
        <f t="array" ref="BE189">IFERROR($H189/$H$44,0)</f>
        <v>0.015</v>
      </c>
      <c r="BF189" s="3662" t="n">
        <f t="array" ref="BF189">IFERROR(($H189/12)/1650,0)</f>
        <v>1.1254166666666667</v>
      </c>
    </row>
    <row r="190" s="1168" customFormat="1" ht="15" customHeight="1">
      <c r="A190" s="3445" t="n"/>
      <c r="B190" s="3538" t="n"/>
      <c r="C190" s="101" t="n"/>
      <c r="E190" s="3464" t="n"/>
      <c r="F190" s="1172" t="n"/>
      <c r="G190" s="1283" t="inlineStr">
        <is>
          <t xml:space="preserve">GDS &amp; Internet Fees</t>
        </is>
      </c>
      <c r="H190" s="3586">
        <f>J190*$I$14</f>
        <v>20054.925</v>
      </c>
      <c r="I190" s="1171">
        <f>IFERROR(H190/$H$44,0)</f>
        <v>0.0135</v>
      </c>
      <c r="J190" s="3662">
        <v>0.999</v>
      </c>
      <c r="K190" s="1172" t="n"/>
      <c r="L190" s="3586">
        <f>N190*$M$14</f>
        <v>23938.28775</v>
      </c>
      <c r="M190" s="1171">
        <f>IFERROR(L190/$L$44,0)</f>
        <v>0.0133676470588</v>
      </c>
      <c r="N190" s="3662">
        <f>J190*(1+$L$6)</f>
        <v>1.00899</v>
      </c>
      <c r="P190" s="3586">
        <f>R190*$Q$14</f>
        <v>26781.419772</v>
      </c>
      <c r="Q190" s="1171">
        <f>IFERROR(P190/$P$44,0)</f>
        <v>0.0132365916955</v>
      </c>
      <c r="R190" s="3662">
        <f>N190*(1+$L$6)</f>
        <v>1.0190799</v>
      </c>
      <c r="T190" s="3586">
        <f>V190*$U$14</f>
        <v>27049.2339697</v>
      </c>
      <c r="U190" s="1171">
        <f>IFERROR(T190/$T$44,0)</f>
        <v>0.0131068211887</v>
      </c>
      <c r="V190" s="3662">
        <f>R190*(1+$L$6)</f>
        <v>1.029270699</v>
      </c>
      <c r="X190" s="3586">
        <f>Z190*$Y$14</f>
        <v>27319.7263094</v>
      </c>
      <c r="Y190" s="1171">
        <f>IFERROR(X190/$X$44,0)</f>
        <v>0.0129783229417</v>
      </c>
      <c r="Z190" s="3662">
        <f>V190*(1+$L$6)</f>
        <v>1.03956340599</v>
      </c>
      <c r="AB190" s="3586">
        <f>AD190*$AC$14</f>
        <v>27592.9235725</v>
      </c>
      <c r="AC190" s="1171">
        <f>IFERROR(AB190/$AB$44,0)</f>
        <v>0.0128510844815</v>
      </c>
      <c r="AD190" s="3662">
        <f>Z190*(1+$L$6)</f>
        <v>1.04995904005</v>
      </c>
      <c r="AF190" s="3586">
        <f>AH190*$AG$14</f>
        <v>27868.8528082</v>
      </c>
      <c r="AG190" s="1171">
        <f>IFERROR(AF190/$AF$44,0)</f>
        <v>0.0127250934572</v>
      </c>
      <c r="AH190" s="3662">
        <f>AD190*(1+$L$6)</f>
        <v>1.06045863045</v>
      </c>
      <c r="AJ190" s="3586">
        <f>AL190*$AK$14</f>
        <v>28147.5413363</v>
      </c>
      <c r="AK190" s="1171">
        <f>IFERROR(AJ190/$AJ$44,0)</f>
        <v>0.012600337639</v>
      </c>
      <c r="AL190" s="3662">
        <f>AH190*(1+$L$6)</f>
        <v>1.07106321675</v>
      </c>
      <c r="AN190" s="3586">
        <f>AP190*$AO$14</f>
        <v>28429.0167497</v>
      </c>
      <c r="AO190" s="1171">
        <f>IFERROR(AN190/$AN$44,0)</f>
        <v>0.012476804917</v>
      </c>
      <c r="AP190" s="3662">
        <f>AL190*(1+$L$6)</f>
        <v>1.08177384892</v>
      </c>
      <c r="AR190" s="3586">
        <f>AT190*$AS$14</f>
        <v>28713.3069172</v>
      </c>
      <c r="AS190" s="1171">
        <f>IFERROR(AR190/$AR$44,0)</f>
        <v>0.0123544833002</v>
      </c>
      <c r="AT190" s="3662">
        <f>AP190*(1+$L$6)</f>
        <v>1.09259158741</v>
      </c>
      <c r="AV190" s="3586">
        <f>AX190*$AW$14</f>
        <v>29000.4399864</v>
      </c>
      <c r="AW190" s="1171">
        <f>IFERROR(AV190/$AV$44,0)</f>
        <v>0.0124780281332</v>
      </c>
      <c r="AX190" s="3662">
        <f>AT190*(1+$L$6)</f>
        <v>1.10351750329</v>
      </c>
      <c r="AZ190" s="3586">
        <f>BB190*$BA$14</f>
        <v>29290.4443862</v>
      </c>
      <c r="BA190" s="1171">
        <f>IFERROR(AZ190/$AZ$44,0)</f>
        <v>0.0126028084145</v>
      </c>
      <c r="BB190" s="3662">
        <f>AX190*(1+$L$6)</f>
        <v>1.11455267832</v>
      </c>
      <c r="BD190" s="3586" t="n">
        <f t="array" ref="BD190">IFERROR($H190/12,0)</f>
        <v>1671.2437499999999</v>
      </c>
      <c r="BE190" s="1171" t="n">
        <f t="array" ref="BE190">IFERROR($H190/$H$44,0)</f>
        <v>0.0135</v>
      </c>
      <c r="BF190" s="3662" t="n">
        <f t="array" ref="BF190">IFERROR(($H190/12)/1650,0)</f>
        <v>1.012875</v>
      </c>
    </row>
    <row r="191" s="1168" customFormat="1" ht="15" customHeight="1">
      <c r="A191" s="3445" t="n"/>
      <c r="B191" s="3538" t="n"/>
      <c r="C191" s="101" t="n"/>
      <c r="E191" s="3464" t="n"/>
      <c r="F191" s="1172" t="n"/>
      <c r="G191" s="1283" t="inlineStr">
        <is>
          <t xml:space="preserve">Travel Agent/OTA Commissions (set to $0 — direct-booking only, Best Rate Guarantee strategy)</t>
        </is>
      </c>
      <c r="H191" s="3586">
        <f>J191*$I$14</f>
        <v>0</v>
      </c>
      <c r="I191" s="1171">
        <f>IFERROR(H191/$H$44,0)</f>
        <v>0</v>
      </c>
      <c r="J191" s="3662">
        <v>0</v>
      </c>
      <c r="K191" s="1172" t="n"/>
      <c r="L191" s="3586">
        <f>N191*$M$14</f>
        <v>0</v>
      </c>
      <c r="M191" s="1171">
        <f>IFERROR(L191/$L$44,0)</f>
        <v>0</v>
      </c>
      <c r="N191" s="3662">
        <f>J191*(1+$L$6)</f>
        <v>0</v>
      </c>
      <c r="P191" s="3586">
        <f>R191*$Q$14</f>
        <v>0</v>
      </c>
      <c r="Q191" s="1171">
        <f>IFERROR(P191/$P$44,0)</f>
        <v>0</v>
      </c>
      <c r="R191" s="3662">
        <f>N191*(1+$L$6)</f>
        <v>0</v>
      </c>
      <c r="T191" s="3586">
        <f>V191*$U$14</f>
        <v>0</v>
      </c>
      <c r="U191" s="1171">
        <f>IFERROR(T191/$T$44,0)</f>
        <v>0</v>
      </c>
      <c r="V191" s="3662">
        <f>R191*(1+$L$6)</f>
        <v>0</v>
      </c>
      <c r="X191" s="3586">
        <f>Z191*$Y$14</f>
        <v>0</v>
      </c>
      <c r="Y191" s="1171">
        <f>IFERROR(X191/$X$44,0)</f>
        <v>0</v>
      </c>
      <c r="Z191" s="3662">
        <f>V191*(1+$L$6)</f>
        <v>0</v>
      </c>
      <c r="AB191" s="3586">
        <f>AD191*$AC$14</f>
        <v>0</v>
      </c>
      <c r="AC191" s="1171">
        <f>IFERROR(AB191/$AB$44,0)</f>
        <v>0</v>
      </c>
      <c r="AD191" s="3662">
        <f>Z191*(1+$L$6)</f>
        <v>0</v>
      </c>
      <c r="AF191" s="3586">
        <f>AH191*$AG$14</f>
        <v>0</v>
      </c>
      <c r="AG191" s="1171">
        <f>IFERROR(AF191/$AF$44,0)</f>
        <v>0</v>
      </c>
      <c r="AH191" s="3662">
        <f>AD191*(1+$L$6)</f>
        <v>0</v>
      </c>
      <c r="AJ191" s="3586">
        <f>AL191*$AK$14</f>
        <v>0</v>
      </c>
      <c r="AK191" s="1171">
        <f>IFERROR(AJ191/$AJ$44,0)</f>
        <v>0</v>
      </c>
      <c r="AL191" s="3662">
        <f>AH191*(1+$L$6)</f>
        <v>0</v>
      </c>
      <c r="AN191" s="3586">
        <f>AP191*$AO$14</f>
        <v>0</v>
      </c>
      <c r="AO191" s="1171">
        <f>IFERROR(AN191/$AN$44,0)</f>
        <v>0</v>
      </c>
      <c r="AP191" s="3662">
        <f>AL191*(1+$L$6)</f>
        <v>0</v>
      </c>
      <c r="AR191" s="3586">
        <f>AT191*$AS$14</f>
        <v>0</v>
      </c>
      <c r="AS191" s="1171">
        <f>IFERROR(AR191/$AR$44,0)</f>
        <v>0</v>
      </c>
      <c r="AT191" s="3662">
        <f>AP191*(1+$L$6)</f>
        <v>0</v>
      </c>
      <c r="AV191" s="3586">
        <f>AX191*$AW$14</f>
        <v>0</v>
      </c>
      <c r="AW191" s="1171">
        <f>IFERROR(AV191/$AV$44,0)</f>
        <v>0</v>
      </c>
      <c r="AX191" s="3662">
        <f>AT191*(1+$L$6)</f>
        <v>0</v>
      </c>
      <c r="AZ191" s="3586">
        <f>BB191*$BA$14</f>
        <v>0</v>
      </c>
      <c r="BA191" s="1171">
        <f>IFERROR(AZ191/$AZ$44,0)</f>
        <v>0</v>
      </c>
      <c r="BB191" s="3662">
        <f>AX191*(1+$L$6)</f>
        <v>0</v>
      </c>
      <c r="BD191" s="3586" t="n">
        <f t="array" ref="BD191">IFERROR($H191/12,0)</f>
        <v>0</v>
      </c>
      <c r="BE191" s="1171" t="n">
        <f t="array" ref="BE191">IFERROR($H191/$H$44,0)</f>
        <v>0</v>
      </c>
      <c r="BF191" s="3662" t="n">
        <f t="array" ref="BF191">IFERROR(($H191/12)/1650,0)</f>
        <v>0</v>
      </c>
    </row>
    <row r="192" s="1168" customFormat="1" ht="15" customHeight="1">
      <c r="A192" s="3445" t="n"/>
      <c r="B192" s="3538" t="n"/>
      <c r="C192" s="101" t="n"/>
      <c r="E192" s="3464" t="n"/>
      <c r="F192" s="1172" t="n"/>
      <c r="G192" s="1283" t="inlineStr">
        <is>
          <t xml:space="preserve">Franchise Rewards </t>
        </is>
      </c>
      <c r="H192" s="3586">
        <f>J192*$I$14</f>
        <v>0</v>
      </c>
      <c r="I192" s="1171">
        <f>IFERROR(H192/$H$44,0)</f>
        <v>0</v>
      </c>
      <c r="J192" s="3662">
        <v>0</v>
      </c>
      <c r="K192" s="1172" t="n"/>
      <c r="L192" s="3586">
        <f>N192*$M$14</f>
        <v>0</v>
      </c>
      <c r="M192" s="1171">
        <f>IFERROR(L192/$L$44,0)</f>
        <v>0</v>
      </c>
      <c r="N192" s="3662">
        <f>J192*(1+$L$6)</f>
        <v>0</v>
      </c>
      <c r="P192" s="3586">
        <f>R192*$Q$14</f>
        <v>0</v>
      </c>
      <c r="Q192" s="1171">
        <f>IFERROR(P192/$P$44,0)</f>
        <v>0</v>
      </c>
      <c r="R192" s="3662">
        <f>N192*(1+$L$6)</f>
        <v>0</v>
      </c>
      <c r="T192" s="3586">
        <f>V192*$U$14</f>
        <v>0</v>
      </c>
      <c r="U192" s="1171">
        <f>IFERROR(T192/$T$44,0)</f>
        <v>0</v>
      </c>
      <c r="V192" s="3662">
        <f>R192*(1+$L$6)</f>
        <v>0</v>
      </c>
      <c r="X192" s="3586">
        <f>Z192*$Y$14</f>
        <v>0</v>
      </c>
      <c r="Y192" s="1171">
        <f>IFERROR(X192/$X$44,0)</f>
        <v>0</v>
      </c>
      <c r="Z192" s="3662">
        <f>V192*(1+$L$6)</f>
        <v>0</v>
      </c>
      <c r="AB192" s="3586">
        <f>AD192*$AC$14</f>
        <v>0</v>
      </c>
      <c r="AC192" s="1171">
        <f>IFERROR(AB192/$AB$44,0)</f>
        <v>0</v>
      </c>
      <c r="AD192" s="3662">
        <f>Z192*(1+$L$6)</f>
        <v>0</v>
      </c>
      <c r="AF192" s="3586">
        <f>AH192*$AG$14</f>
        <v>0</v>
      </c>
      <c r="AG192" s="1171">
        <f>IFERROR(AF192/$AF$44,0)</f>
        <v>0</v>
      </c>
      <c r="AH192" s="3662">
        <f>AD192*(1+$L$6)</f>
        <v>0</v>
      </c>
      <c r="AJ192" s="3586">
        <f>AL192*$AK$14</f>
        <v>0</v>
      </c>
      <c r="AK192" s="1171">
        <f>IFERROR(AJ192/$AJ$44,0)</f>
        <v>0</v>
      </c>
      <c r="AL192" s="3662">
        <f>AH192*(1+$L$6)</f>
        <v>0</v>
      </c>
      <c r="AN192" s="3586">
        <f>AP192*$AO$14</f>
        <v>0</v>
      </c>
      <c r="AO192" s="1171">
        <f>IFERROR(AN192/$AN$44,0)</f>
        <v>0</v>
      </c>
      <c r="AP192" s="3662">
        <f>AL192*(1+$L$6)</f>
        <v>0</v>
      </c>
      <c r="AR192" s="3586">
        <f>AT192*$AS$14</f>
        <v>0</v>
      </c>
      <c r="AS192" s="1171">
        <f>IFERROR(AR192/$AR$44,0)</f>
        <v>0</v>
      </c>
      <c r="AT192" s="3662">
        <f>AP192*(1+$L$6)</f>
        <v>0</v>
      </c>
      <c r="AV192" s="3586">
        <f>AX192*$AW$14</f>
        <v>0</v>
      </c>
      <c r="AW192" s="1171">
        <f>IFERROR(AV192/$AV$44,0)</f>
        <v>0</v>
      </c>
      <c r="AX192" s="3662">
        <f>AT192*(1+$L$6)</f>
        <v>0</v>
      </c>
      <c r="AZ192" s="3586">
        <f>BB192*$BA$14</f>
        <v>0</v>
      </c>
      <c r="BA192" s="1171">
        <f>IFERROR(AZ192/$AZ$44,0)</f>
        <v>0</v>
      </c>
      <c r="BB192" s="3662">
        <f>AX192*(1+$L$6)</f>
        <v>0</v>
      </c>
      <c r="BD192" s="3586" t="n">
        <f t="array" ref="BD192">IFERROR($H192/12,0)</f>
        <v>0</v>
      </c>
      <c r="BE192" s="1171" t="n">
        <f t="array" ref="BE192">IFERROR($H192/$H$44,0)</f>
        <v>0</v>
      </c>
      <c r="BF192" s="3662" t="n">
        <f t="array" ref="BF192">IFERROR(($H192/12)/1650,0)</f>
        <v>0</v>
      </c>
    </row>
    <row r="193" s="1168" customFormat="1" ht="12.75" customHeight="1">
      <c r="A193" s="3445" t="n"/>
      <c r="B193" s="3538" t="n"/>
      <c r="C193" s="101" t="n"/>
      <c r="E193" s="3464" t="n"/>
      <c r="F193" s="1172" t="n"/>
      <c r="G193" s="1283" t="inlineStr">
        <is>
          <t xml:space="preserve">Franchise  Rewards Credit</t>
        </is>
      </c>
      <c r="H193" s="3590">
        <f>J193*$I$14</f>
        <v>0</v>
      </c>
      <c r="I193" s="973">
        <f>IFERROR(H193/$H$44,0)</f>
        <v>0</v>
      </c>
      <c r="J193" s="3746">
        <v>0</v>
      </c>
      <c r="K193" s="1172" t="n"/>
      <c r="L193" s="3590">
        <f>N193*$M$14</f>
        <v>0</v>
      </c>
      <c r="M193" s="973">
        <f>IFERROR(L193/$L$44,0)</f>
        <v>0</v>
      </c>
      <c r="N193" s="3746">
        <f>J193*(1+$L$6)</f>
        <v>0</v>
      </c>
      <c r="P193" s="3590">
        <f>R193*$Q$14</f>
        <v>0</v>
      </c>
      <c r="Q193" s="973">
        <f>IFERROR(P193/$P$44,0)</f>
        <v>0</v>
      </c>
      <c r="R193" s="3746">
        <f>N193*(1+$L$6)</f>
        <v>0</v>
      </c>
      <c r="T193" s="3590">
        <f>V193*$U$14</f>
        <v>0</v>
      </c>
      <c r="U193" s="973">
        <f>IFERROR(T193/$T$44,0)</f>
        <v>0</v>
      </c>
      <c r="V193" s="3746">
        <f>R193*(1+$L$6)</f>
        <v>0</v>
      </c>
      <c r="X193" s="3590">
        <f>Z193*$Y$14</f>
        <v>0</v>
      </c>
      <c r="Y193" s="973">
        <f>IFERROR(X193/$X$44,0)</f>
        <v>0</v>
      </c>
      <c r="Z193" s="3746">
        <f>V193*(1+$L$6)</f>
        <v>0</v>
      </c>
      <c r="AB193" s="3590">
        <f>AD193*$AC$14</f>
        <v>0</v>
      </c>
      <c r="AC193" s="973">
        <f>IFERROR(AB193/$AB$44,0)</f>
        <v>0</v>
      </c>
      <c r="AD193" s="3746">
        <f>Z193*(1+$L$6)</f>
        <v>0</v>
      </c>
      <c r="AF193" s="3590">
        <f>AH193*$AG$14</f>
        <v>0</v>
      </c>
      <c r="AG193" s="973">
        <f>IFERROR(AF193/$AF$44,0)</f>
        <v>0</v>
      </c>
      <c r="AH193" s="3746">
        <f>AD193*(1+$L$6)</f>
        <v>0</v>
      </c>
      <c r="AJ193" s="3590">
        <f>AL193*$AK$14</f>
        <v>0</v>
      </c>
      <c r="AK193" s="973">
        <f>IFERROR(AJ193/$AJ$44,0)</f>
        <v>0</v>
      </c>
      <c r="AL193" s="3746">
        <f>AH193*(1+$L$6)</f>
        <v>0</v>
      </c>
      <c r="AN193" s="3590">
        <f>AP193*$AO$14</f>
        <v>0</v>
      </c>
      <c r="AO193" s="973">
        <f>IFERROR(AN193/$AN$44,0)</f>
        <v>0</v>
      </c>
      <c r="AP193" s="3746">
        <f>AL193*(1+$L$6)</f>
        <v>0</v>
      </c>
      <c r="AR193" s="3590">
        <f>AT193*$AS$14</f>
        <v>0</v>
      </c>
      <c r="AS193" s="973">
        <f>IFERROR(AR193/$AR$44,0)</f>
        <v>0</v>
      </c>
      <c r="AT193" s="3746">
        <f>AP193*(1+$L$6)</f>
        <v>0</v>
      </c>
      <c r="AV193" s="3590">
        <f>AX193*$AW$14</f>
        <v>0</v>
      </c>
      <c r="AW193" s="973">
        <f>IFERROR(AV193/$AV$44,0)</f>
        <v>0</v>
      </c>
      <c r="AX193" s="3746">
        <f>AT193*(1+$L$6)</f>
        <v>0</v>
      </c>
      <c r="AZ193" s="3590">
        <f>BB193*$BA$14</f>
        <v>0</v>
      </c>
      <c r="BA193" s="973">
        <f>IFERROR(AZ193/$AZ$44,0)</f>
        <v>0</v>
      </c>
      <c r="BB193" s="3746">
        <f>AX193*(1+$L$6)</f>
        <v>0</v>
      </c>
      <c r="BD193" s="3590" t="n">
        <f t="array" ref="BD193">IFERROR($H193/12,0)</f>
        <v>0</v>
      </c>
      <c r="BE193" s="973" t="n">
        <f t="array" ref="BE193">IFERROR($H193/$H$44,0)</f>
        <v>0</v>
      </c>
      <c r="BF193" s="3746" t="n">
        <f t="array" ref="BF193">IFERROR(($H193/12)/1650,0)</f>
        <v>0</v>
      </c>
    </row>
    <row r="194" s="1168" customFormat="1" ht="15" customHeight="1">
      <c r="A194" s="3445" t="n"/>
      <c r="B194" s="3538" t="n"/>
      <c r="C194" s="101" t="n"/>
      <c r="E194" s="3464" t="n"/>
      <c r="F194" s="1172" t="n"/>
      <c r="G194" s="1325" t="inlineStr">
        <is>
          <t xml:space="preserve">Consortia Billing</t>
        </is>
      </c>
      <c r="H194" s="3620">
        <f>J194*$I$14</f>
        <v>2673.99</v>
      </c>
      <c r="I194" s="1429">
        <f>IFERROR(H194/$H$44,0)</f>
        <v>0.0018</v>
      </c>
      <c r="J194" s="3667">
        <v>0.1332</v>
      </c>
      <c r="K194" s="1172" t="n"/>
      <c r="L194" s="3620">
        <f>N194*$M$14</f>
        <v>3191.7717</v>
      </c>
      <c r="M194" s="1429">
        <f>IFERROR(L194/$L$44,0)</f>
        <v>0.00178235294118</v>
      </c>
      <c r="N194" s="3667">
        <f>J194*(1+$L$6)</f>
        <v>0.134532</v>
      </c>
      <c r="P194" s="3620">
        <f>R194*$Q$14</f>
        <v>3570.8559696</v>
      </c>
      <c r="Q194" s="1429">
        <f>IFERROR(P194/$P$44,0)</f>
        <v>0.00176487889273</v>
      </c>
      <c r="R194" s="3667">
        <f>N194*(1+$L$6)</f>
        <v>0.13587732</v>
      </c>
      <c r="T194" s="3620">
        <f>V194*$U$14</f>
        <v>3606.5645293</v>
      </c>
      <c r="U194" s="1429">
        <f>IFERROR(T194/$T$44,0)</f>
        <v>0.00174757615849</v>
      </c>
      <c r="V194" s="3667">
        <f>R194*(1+$L$6)</f>
        <v>0.1372360932</v>
      </c>
      <c r="X194" s="3620">
        <f>Z194*$Y$14</f>
        <v>3642.63017459</v>
      </c>
      <c r="Y194" s="1429">
        <f>IFERROR(X194/$X$44,0)</f>
        <v>0.0017304430589</v>
      </c>
      <c r="Z194" s="3667">
        <f>V194*(1+$L$6)</f>
        <v>0.138608454132</v>
      </c>
      <c r="AB194" s="3620">
        <f>AD194*$AC$14</f>
        <v>3679.05647633</v>
      </c>
      <c r="AC194" s="1429">
        <f>IFERROR(AB194/$AB$44,0)</f>
        <v>0.00171347793087</v>
      </c>
      <c r="AD194" s="3667">
        <f>Z194*(1+$L$6)</f>
        <v>0.139994538673</v>
      </c>
      <c r="AF194" s="3620">
        <f>AH194*$AG$14</f>
        <v>3715.8470411</v>
      </c>
      <c r="AG194" s="1429">
        <f>IFERROR(AF194/$AF$44,0)</f>
        <v>0.00169667912763</v>
      </c>
      <c r="AH194" s="3667">
        <f>AD194*(1+$L$6)</f>
        <v>0.14139448406</v>
      </c>
      <c r="AJ194" s="3620">
        <f>AL194*$AK$14</f>
        <v>3753.00551151</v>
      </c>
      <c r="AK194" s="1429">
        <f>IFERROR(AJ194/$AJ$44,0)</f>
        <v>0.00168004501853</v>
      </c>
      <c r="AL194" s="3667">
        <f>AH194*(1+$L$6)</f>
        <v>0.142808428901</v>
      </c>
      <c r="AN194" s="3620">
        <f>AP194*$AO$14</f>
        <v>3790.53556662</v>
      </c>
      <c r="AO194" s="1429">
        <f>IFERROR(AN194/$AN$44,0)</f>
        <v>0.00166357398894</v>
      </c>
      <c r="AP194" s="3667">
        <f>AL194*(1+$L$6)</f>
        <v>0.14423651319</v>
      </c>
      <c r="AR194" s="3620">
        <f>AT194*$AS$14</f>
        <v>3828.44092229</v>
      </c>
      <c r="AS194" s="1429">
        <f>IFERROR(AR194/$AR$44,0)</f>
        <v>0.00164726444003</v>
      </c>
      <c r="AT194" s="3667">
        <f>AP194*(1+$L$6)</f>
        <v>0.145678878322</v>
      </c>
      <c r="AV194" s="3620">
        <f>AX194*$AW$14</f>
        <v>3866.72533151</v>
      </c>
      <c r="AW194" s="1429">
        <f>IFERROR(AV194/$AV$44,0)</f>
        <v>0.00166373708443</v>
      </c>
      <c r="AX194" s="3667">
        <f>AT194*(1+$L$6)</f>
        <v>0.147135667105</v>
      </c>
      <c r="AZ194" s="3620">
        <f>BB194*$BA$14</f>
        <v>3905.39258483</v>
      </c>
      <c r="BA194" s="1429">
        <f>IFERROR(AZ194/$AZ$44,0)</f>
        <v>0.00168037445527</v>
      </c>
      <c r="BB194" s="3667">
        <f>AX194*(1+$L$6)</f>
        <v>0.148607023776</v>
      </c>
      <c r="BD194" s="3620" t="n">
        <f t="array" ref="BD194">IFERROR($H194/12,0)</f>
        <v>222.83249999999998</v>
      </c>
      <c r="BE194" s="1429" t="n">
        <f t="array" ref="BE194">IFERROR($H194/$H$44,0)</f>
        <v>0.0018</v>
      </c>
      <c r="BF194" s="3667" t="n">
        <f t="array" ref="BF194">IFERROR(($H194/12)/1650,0)</f>
        <v>0.13504999999999998</v>
      </c>
    </row>
    <row r="195" s="1168" customFormat="1" ht="12.75" customHeight="1">
      <c r="A195" s="3445" t="n"/>
      <c r="B195" s="3538" t="n"/>
      <c r="C195" s="101" t="n"/>
      <c r="E195" s="3464" t="n">
        <v>700</v>
      </c>
      <c r="F195" s="1172" t="n"/>
      <c r="G195" s="1562" t="inlineStr">
        <is>
          <t xml:space="preserve">PRM/ PMS system costs</t>
        </is>
      </c>
      <c r="H195" s="3638">
        <f>J195*$I$14</f>
        <v>8400</v>
      </c>
      <c r="I195" s="1434">
        <f>IFERROR(H195/$H$44,0)</f>
        <v>0.0056544714079</v>
      </c>
      <c r="J195" s="3669">
        <v>0.418430884184</v>
      </c>
      <c r="K195" s="1172" t="n"/>
      <c r="L195" s="3638">
        <f>N195*$M$14</f>
        <v>10026.5454545</v>
      </c>
      <c r="M195" s="1434">
        <f>IFERROR(L195/$L$44,0)</f>
        <v>0.0055990354137</v>
      </c>
      <c r="N195" s="3669">
        <f>J195*(1+$L$6)</f>
        <v>0.422615193026</v>
      </c>
      <c r="P195" s="3638">
        <f>R195*$Q$14</f>
        <v>11217.3905455</v>
      </c>
      <c r="Q195" s="1434">
        <f>IFERROR(P195/$P$44,0)</f>
        <v>0.00554414290965</v>
      </c>
      <c r="R195" s="3669">
        <f>N195*(1+$L$6)</f>
        <v>0.426841344956</v>
      </c>
      <c r="T195" s="3638">
        <f>V195*$U$14</f>
        <v>11329.5644509</v>
      </c>
      <c r="U195" s="1434">
        <f>IFERROR(T195/$T$44,0)</f>
        <v>0.00548978856739</v>
      </c>
      <c r="V195" s="3669">
        <f>R195*(1+$L$6)</f>
        <v>0.431109758406</v>
      </c>
      <c r="X195" s="3638">
        <f>Z195*$Y$14</f>
        <v>11442.8600954</v>
      </c>
      <c r="Y195" s="1434">
        <f>IFERROR(X195/$X$44,0)</f>
        <v>0.00543596711085</v>
      </c>
      <c r="Z195" s="3669">
        <f>V195*(1+$L$6)</f>
        <v>0.43542085599</v>
      </c>
      <c r="AB195" s="3638">
        <f>AD195*$AC$14</f>
        <v>11557.2886964</v>
      </c>
      <c r="AC195" s="1434">
        <f>IFERROR(AB195/$AB$44,0)</f>
        <v>0.00538267331565</v>
      </c>
      <c r="AD195" s="3669">
        <f>Z195*(1+$L$6)</f>
        <v>0.43977506455</v>
      </c>
      <c r="AF195" s="3638">
        <f>AH195*$AG$14</f>
        <v>11672.8615833</v>
      </c>
      <c r="AG195" s="1434">
        <f>IFERROR(AF195/$AF$44,0)</f>
        <v>0.00532990200863</v>
      </c>
      <c r="AH195" s="3669">
        <f>AD195*(1+$L$6)</f>
        <v>0.444172815195</v>
      </c>
      <c r="AJ195" s="3638">
        <f>AL195*$AK$14</f>
        <v>11789.5901992</v>
      </c>
      <c r="AK195" s="1434">
        <f>IFERROR(AJ195/$AJ$44,0)</f>
        <v>0.00527764806737</v>
      </c>
      <c r="AL195" s="3669">
        <f>AH195*(1+$L$6)</f>
        <v>0.448614543347</v>
      </c>
      <c r="AN195" s="3638">
        <f>AP195*$AO$14</f>
        <v>11907.4861012</v>
      </c>
      <c r="AO195" s="1434">
        <f>IFERROR(AN195/$AN$44,0)</f>
        <v>0.00522590641965</v>
      </c>
      <c r="AP195" s="3669">
        <f>AL195*(1+$L$6)</f>
        <v>0.453100688781</v>
      </c>
      <c r="AR195" s="3638">
        <f>AT195*$AS$14</f>
        <v>12026.5609622</v>
      </c>
      <c r="AS195" s="1434">
        <f>IFERROR(AR195/$AR$44,0)</f>
        <v>0.00517467204299</v>
      </c>
      <c r="AT195" s="3669">
        <f>AP195*(1+$L$6)</f>
        <v>0.457631695669</v>
      </c>
      <c r="AV195" s="3638">
        <f>AX195*$AW$14</f>
        <v>12146.8265718</v>
      </c>
      <c r="AW195" s="1434">
        <f>IFERROR(AV195/$AV$44,0)</f>
        <v>0.00522641876342</v>
      </c>
      <c r="AX195" s="3669">
        <f>AT195*(1+$L$6)</f>
        <v>0.462208012625</v>
      </c>
      <c r="AZ195" s="3638">
        <f>BB195*$BA$14</f>
        <v>12268.2948375</v>
      </c>
      <c r="BA195" s="1434">
        <f>IFERROR(AZ195/$AZ$44,0)</f>
        <v>0.00527868295105</v>
      </c>
      <c r="BB195" s="3669">
        <f>AX195*(1+$L$6)</f>
        <v>0.466830092752</v>
      </c>
      <c r="BD195" s="3638" t="n">
        <f t="array" ref="BD195">IFERROR($H195/12,0)</f>
        <v>700</v>
      </c>
      <c r="BE195" s="1434" t="n">
        <f t="array" ref="BE195">IFERROR($H195/$H$44,0)</f>
        <v>0.005654471407896065</v>
      </c>
      <c r="BF195" s="3669" t="n">
        <f t="array" ref="BF195">IFERROR(($H195/12)/1650,0)</f>
        <v>0.42424242424242425</v>
      </c>
    </row>
    <row r="196" s="1168" customFormat="1" ht="15" customHeight="1">
      <c r="A196" s="3445" t="n"/>
      <c r="B196" s="3538" t="n"/>
      <c r="C196" s="101" t="n"/>
      <c r="E196" s="3464" t="n"/>
      <c r="F196" s="1172" t="n"/>
      <c r="G196" s="1439" t="inlineStr">
        <is>
          <t xml:space="preserve">TBA</t>
        </is>
      </c>
      <c r="H196" s="3673">
        <f>J196*$I$14</f>
        <v>0</v>
      </c>
      <c r="I196" s="1441">
        <f>IFERROR(H196/$H$44,0)</f>
        <v>0</v>
      </c>
      <c r="J196" s="3674">
        <v>0</v>
      </c>
      <c r="K196" s="1172" t="n"/>
      <c r="L196" s="3673">
        <f>N196*$M$14</f>
        <v>0</v>
      </c>
      <c r="M196" s="1441">
        <f>IFERROR(L196/$L$44,0)</f>
        <v>0</v>
      </c>
      <c r="N196" s="3674">
        <f>J196*(1+$L$6)</f>
        <v>0</v>
      </c>
      <c r="P196" s="3673">
        <f>R196*$Q$14</f>
        <v>0</v>
      </c>
      <c r="Q196" s="1441">
        <f>IFERROR(P196/$P$44,0)</f>
        <v>0</v>
      </c>
      <c r="R196" s="3674">
        <f>N196*(1+$L$6)</f>
        <v>0</v>
      </c>
      <c r="T196" s="3673">
        <f>V196*$U$14</f>
        <v>0</v>
      </c>
      <c r="U196" s="1441">
        <f>IFERROR(T196/$T$44,0)</f>
        <v>0</v>
      </c>
      <c r="V196" s="3674">
        <f>R196*(1+$L$6)</f>
        <v>0</v>
      </c>
      <c r="X196" s="3673">
        <f>Z196*$Y$14</f>
        <v>0</v>
      </c>
      <c r="Y196" s="1441">
        <f>IFERROR(X196/$X$44,0)</f>
        <v>0</v>
      </c>
      <c r="Z196" s="3674">
        <f>V196*(1+$L$6)</f>
        <v>0</v>
      </c>
      <c r="AB196" s="3673">
        <f>AD196*$AC$14</f>
        <v>0</v>
      </c>
      <c r="AC196" s="1441">
        <f>IFERROR(AB196/$AB$44,0)</f>
        <v>0</v>
      </c>
      <c r="AD196" s="3674">
        <f>Z196*(1+$L$6)</f>
        <v>0</v>
      </c>
      <c r="AF196" s="3673">
        <f>AH196*$AG$14</f>
        <v>0</v>
      </c>
      <c r="AG196" s="1441">
        <f>IFERROR(AF196/$AF$44,0)</f>
        <v>0</v>
      </c>
      <c r="AH196" s="3674">
        <f>AD196*(1+$L$6)</f>
        <v>0</v>
      </c>
      <c r="AJ196" s="3673">
        <f>AL196*$AK$14</f>
        <v>0</v>
      </c>
      <c r="AK196" s="1441">
        <f>IFERROR(AJ196/$AJ$44,0)</f>
        <v>0</v>
      </c>
      <c r="AL196" s="3674">
        <f>AH196*(1+$L$6)</f>
        <v>0</v>
      </c>
      <c r="AN196" s="3673">
        <f>AP196*$AO$14</f>
        <v>0</v>
      </c>
      <c r="AO196" s="1441">
        <f>IFERROR(AN196/$AN$44,0)</f>
        <v>0</v>
      </c>
      <c r="AP196" s="3674">
        <f>AL196*(1+$L$6)</f>
        <v>0</v>
      </c>
      <c r="AR196" s="3673">
        <f>AT196*$AS$14</f>
        <v>0</v>
      </c>
      <c r="AS196" s="1441">
        <f>IFERROR(AR196/$AR$44,0)</f>
        <v>0</v>
      </c>
      <c r="AT196" s="3674">
        <f>AP196*(1+$L$6)</f>
        <v>0</v>
      </c>
      <c r="AV196" s="3673">
        <f>AX196*$AW$14</f>
        <v>0</v>
      </c>
      <c r="AW196" s="1441">
        <f>IFERROR(AV196/$AV$44,0)</f>
        <v>0</v>
      </c>
      <c r="AX196" s="3674">
        <f>AT196*(1+$L$6)</f>
        <v>0</v>
      </c>
      <c r="AZ196" s="3673">
        <f>BB196*$BA$14</f>
        <v>0</v>
      </c>
      <c r="BA196" s="1441">
        <f>IFERROR(AZ196/$AZ$44,0)</f>
        <v>0</v>
      </c>
      <c r="BB196" s="3674">
        <f>AX196*(1+$L$6)</f>
        <v>0</v>
      </c>
      <c r="BD196" s="3673" t="n">
        <f t="array" ref="BD196">IFERROR($H196/12,0)</f>
        <v>0</v>
      </c>
      <c r="BE196" s="1441" t="n">
        <f t="array" ref="BE196">IFERROR($H196/$H$44,0)</f>
        <v>0</v>
      </c>
      <c r="BF196" s="3674" t="n">
        <f t="array" ref="BF196">IFERROR(($H196/12)/1650,0)</f>
        <v>0</v>
      </c>
    </row>
    <row r="197" s="1168" customFormat="1" ht="15.75" customHeight="1">
      <c r="A197" s="3445" t="n"/>
      <c r="B197" s="3538" t="n"/>
      <c r="C197" s="101" t="n"/>
      <c r="E197" s="3464" t="n"/>
      <c r="F197" s="1172" t="n"/>
      <c r="G197" s="1563" t="inlineStr">
        <is>
          <t xml:space="preserve">TBA</t>
        </is>
      </c>
      <c r="H197" s="3742">
        <f>J197*$I$14</f>
        <v>0</v>
      </c>
      <c r="I197" s="1555">
        <f>IFERROR(H197/$H$44,0)</f>
        <v>0</v>
      </c>
      <c r="J197" s="3747">
        <v>0</v>
      </c>
      <c r="K197" s="1172" t="n"/>
      <c r="L197" s="3742">
        <f>N197*$M$14</f>
        <v>0</v>
      </c>
      <c r="M197" s="1555">
        <f>IFERROR(L197/$L$44,0)</f>
        <v>0</v>
      </c>
      <c r="N197" s="3747">
        <f>J197*(1+$L$6)</f>
        <v>0</v>
      </c>
      <c r="P197" s="3742">
        <f>R197*$Q$14</f>
        <v>0</v>
      </c>
      <c r="Q197" s="1555">
        <f>IFERROR(P197/$P$44,0)</f>
        <v>0</v>
      </c>
      <c r="R197" s="3747">
        <f>N197*(1+$L$6)</f>
        <v>0</v>
      </c>
      <c r="T197" s="3742">
        <f>V197*$U$14</f>
        <v>0</v>
      </c>
      <c r="U197" s="1555">
        <f>IFERROR(T197/$T$44,0)</f>
        <v>0</v>
      </c>
      <c r="V197" s="3747">
        <f>R197*(1+$L$6)</f>
        <v>0</v>
      </c>
      <c r="X197" s="3742">
        <f>Z197*$Y$14</f>
        <v>0</v>
      </c>
      <c r="Y197" s="1555">
        <f>IFERROR(X197/$X$44,0)</f>
        <v>0</v>
      </c>
      <c r="Z197" s="3747">
        <f>V197*(1+$L$6)</f>
        <v>0</v>
      </c>
      <c r="AB197" s="3742">
        <f>AD197*$AC$14</f>
        <v>0</v>
      </c>
      <c r="AC197" s="1555">
        <f>IFERROR(AB197/$AB$44,0)</f>
        <v>0</v>
      </c>
      <c r="AD197" s="3747">
        <f>Z197*(1+$L$6)</f>
        <v>0</v>
      </c>
      <c r="AF197" s="3742">
        <f>AH197*$AG$14</f>
        <v>0</v>
      </c>
      <c r="AG197" s="1555">
        <f>IFERROR(AF197/$AF$44,0)</f>
        <v>0</v>
      </c>
      <c r="AH197" s="3747">
        <f>AD197*(1+$L$6)</f>
        <v>0</v>
      </c>
      <c r="AJ197" s="3742">
        <f>AL197*$AK$14</f>
        <v>0</v>
      </c>
      <c r="AK197" s="1555">
        <f>IFERROR(AJ197/$AJ$44,0)</f>
        <v>0</v>
      </c>
      <c r="AL197" s="3747">
        <f>AH197*(1+$L$6)</f>
        <v>0</v>
      </c>
      <c r="AN197" s="3742">
        <f>AP197*$AO$14</f>
        <v>0</v>
      </c>
      <c r="AO197" s="1555">
        <f>IFERROR(AN197/$AN$44,0)</f>
        <v>0</v>
      </c>
      <c r="AP197" s="3747">
        <f>AL197*(1+$L$6)</f>
        <v>0</v>
      </c>
      <c r="AR197" s="3742">
        <f>AT197*$AS$14</f>
        <v>0</v>
      </c>
      <c r="AS197" s="1555">
        <f>IFERROR(AR197/$AR$44,0)</f>
        <v>0</v>
      </c>
      <c r="AT197" s="3747">
        <f>AP197*(1+$L$6)</f>
        <v>0</v>
      </c>
      <c r="AV197" s="3742">
        <f>AX197*$AW$14</f>
        <v>0</v>
      </c>
      <c r="AW197" s="1555">
        <f>IFERROR(AV197/$AV$44,0)</f>
        <v>0</v>
      </c>
      <c r="AX197" s="3747">
        <f>AT197*(1+$L$6)</f>
        <v>0</v>
      </c>
      <c r="AZ197" s="3742">
        <f>BB197*$BA$14</f>
        <v>0</v>
      </c>
      <c r="BA197" s="1555">
        <f>IFERROR(AZ197/$AZ$44,0)</f>
        <v>0</v>
      </c>
      <c r="BB197" s="3747">
        <f>AX197*(1+$L$6)</f>
        <v>0</v>
      </c>
      <c r="BD197" s="3742" t="n">
        <f t="array" ref="BD197">IFERROR($H197/12,0)</f>
        <v>0</v>
      </c>
      <c r="BE197" s="1555" t="n">
        <f t="array" ref="BE197">IFERROR($H197/$H$44,0)</f>
        <v>0</v>
      </c>
      <c r="BF197" s="3747" t="n">
        <f t="array" ref="BF197">IFERROR(($H197/12)/1650,0)</f>
        <v>0</v>
      </c>
    </row>
    <row r="198" s="1168" customFormat="1" ht="13.5" customHeight="1">
      <c r="A198" s="3445" t="n"/>
      <c r="B198" s="3538" t="n"/>
      <c r="C198" s="101" t="n"/>
      <c r="E198" s="3464" t="n"/>
      <c r="F198" s="1410" t="n"/>
      <c r="G198" s="1458" t="inlineStr">
        <is>
          <t xml:space="preserve">Total Franchise Fees</t>
        </is>
      </c>
      <c r="H198" s="3714">
        <f>SUM(H188:H197)</f>
        <v>120261.915</v>
      </c>
      <c r="I198" s="1316">
        <f>SUM(I188:I197)</f>
        <v>0.0809544714079</v>
      </c>
      <c r="J198" s="3748">
        <f>SUM(J188:J197)</f>
        <v>5.99063088418</v>
      </c>
      <c r="K198" s="1410" t="n"/>
      <c r="L198" s="3714">
        <f>SUM(L188:L197)</f>
        <v>143548.994905</v>
      </c>
      <c r="M198" s="1316">
        <f>SUM(M188:M197)</f>
        <v>0.0801608001196</v>
      </c>
      <c r="N198" s="3748">
        <f>SUM(N188:N197)</f>
        <v>6.05053719303</v>
      </c>
      <c r="O198" s="1410" t="n"/>
      <c r="P198" s="3749">
        <f>SUM(P188:P197)</f>
        <v>160598.198607</v>
      </c>
      <c r="Q198" s="1316">
        <f>SUM(Q188:Q197)</f>
        <v>0.0793749099223</v>
      </c>
      <c r="R198" s="3748">
        <f>SUM(R188:R197)</f>
        <v>6.11104256496</v>
      </c>
      <c r="S198" s="1410" t="n"/>
      <c r="T198" s="3714">
        <f>SUM(T188:T197)</f>
        <v>162204.180593</v>
      </c>
      <c r="U198" s="1316">
        <f>SUM(U188:U197)</f>
        <v>0.0785967245309</v>
      </c>
      <c r="V198" s="3748">
        <f>SUM(V188:V197)</f>
        <v>6.17215299061</v>
      </c>
      <c r="W198" s="1410" t="n"/>
      <c r="X198" s="3714">
        <f>SUM(X188:X197)</f>
        <v>163826.222399</v>
      </c>
      <c r="Y198" s="1316">
        <f>SUM(Y188:Y197)</f>
        <v>0.0778261684081</v>
      </c>
      <c r="Z198" s="3748">
        <f>SUM(Z188:Z197)</f>
        <v>6.23387452051</v>
      </c>
      <c r="AA198" s="1410" t="n"/>
      <c r="AB198" s="3714">
        <f>SUM(AB188:AB197)</f>
        <v>165464.484623</v>
      </c>
      <c r="AC198" s="1316">
        <f>SUM(AC188:AC197)</f>
        <v>0.077063166757</v>
      </c>
      <c r="AD198" s="3748">
        <f>SUM(AD188:AD197)</f>
        <v>6.29621326572</v>
      </c>
      <c r="AE198" s="1410" t="n"/>
      <c r="AF198" s="3714">
        <f>SUM(AF188:AF197)</f>
        <v>167119.129469</v>
      </c>
      <c r="AG198" s="1316">
        <f>SUM(AG188:AG197)</f>
        <v>0.0763076455143</v>
      </c>
      <c r="AH198" s="3748">
        <f>SUM(AH188:AH197)</f>
        <v>6.35917539837</v>
      </c>
      <c r="AI198" s="1410" t="n"/>
      <c r="AJ198" s="3714">
        <f>SUM(AJ188:AJ197)</f>
        <v>168790.320764</v>
      </c>
      <c r="AK198" s="1316">
        <f>SUM(AK188:AK197)</f>
        <v>0.0755595313426</v>
      </c>
      <c r="AL198" s="3748">
        <f>SUM(AL188:AL197)</f>
        <v>6.42276715236</v>
      </c>
      <c r="AM198" s="1410" t="n"/>
      <c r="AN198" s="3714">
        <f>SUM(AN188:AN197)</f>
        <v>170478.223972</v>
      </c>
      <c r="AO198" s="1316">
        <f>SUM(AO188:AO197)</f>
        <v>0.0748187516236</v>
      </c>
      <c r="AP198" s="3748">
        <f>SUM(AP188:AP197)</f>
        <v>6.48699482388</v>
      </c>
      <c r="AQ198" s="1410" t="n"/>
      <c r="AR198" s="3714">
        <f>SUM(AR188:AR197)</f>
        <v>172183.006211</v>
      </c>
      <c r="AS198" s="1316">
        <f>SUM(AS188:AS197)</f>
        <v>0.0740852344508</v>
      </c>
      <c r="AT198" s="3748">
        <f>SUM(AT188:AT197)</f>
        <v>6.55186477212</v>
      </c>
      <c r="AU198" s="1410" t="n"/>
      <c r="AV198" s="3714">
        <f>SUM(AV188:AV197)</f>
        <v>173904.836273</v>
      </c>
      <c r="AW198" s="1316">
        <f>SUM(AW188:AW197)</f>
        <v>0.0748260867953</v>
      </c>
      <c r="AX198" s="3748">
        <f>SUM(AX188:AX197)</f>
        <v>6.61738341984</v>
      </c>
      <c r="AY198" s="1410" t="n"/>
      <c r="AZ198" s="3714">
        <f>SUM(AZ188:AZ197)</f>
        <v>175643.884636</v>
      </c>
      <c r="BA198" s="1316">
        <f>SUM(BA188:BA197)</f>
        <v>0.0755743476632</v>
      </c>
      <c r="BB198" s="3748">
        <f>SUM(BB188:BB197)</f>
        <v>6.68355725404</v>
      </c>
      <c r="BC198" s="1413" t="n"/>
      <c r="BD198" s="3714" t="n">
        <f t="array" ref="BD198">IFERROR($H198/12,0)</f>
        <v>10021.82625</v>
      </c>
      <c r="BE198" s="1316">
        <f>H198+L198+P198+T198+X198+AB198+AF198+AJ198+AN198+AR198+AV198+AZ198</f>
        <v>1944023.39745</v>
      </c>
      <c r="BF198" s="3748">
        <f>IFERROR(BE198/BE14,0)</f>
        <v>6.34058511889</v>
      </c>
      <c r="BG198" s="1414" t="n"/>
    </row>
    <row r="199" s="1168" customFormat="1" ht="13.5" customHeight="1">
      <c r="A199" s="3445" t="n"/>
      <c r="B199" s="3538" t="n"/>
      <c r="E199" s="3464" t="n"/>
      <c r="F199" s="1172" t="n"/>
      <c r="H199" s="3740" t="n">
        <f t="array" ref="H199">H174</f>
        <v>0</v>
      </c>
      <c r="I199" s="901" t="n"/>
      <c r="J199" s="3542" t="n"/>
      <c r="K199" s="1410" t="n"/>
      <c r="L199" s="3737" t="n">
        <f t="array" ref="L199">IFERROR($H199/12,0)</f>
        <v>0</v>
      </c>
      <c r="M199" s="1509" t="n">
        <f t="array" ref="M199">IFERROR($H199/$H$44,0)</f>
        <v>0</v>
      </c>
      <c r="N199" s="1548" t="n">
        <f t="array" ref="N199">IFERROR(($H199/12)/1650,0)</f>
        <v>0</v>
      </c>
      <c r="O199" s="1476" t="n"/>
      <c r="P199" s="3738" t="n">
        <f t="array" ref="P199">IFERROR($H199/12,0)</f>
        <v>0</v>
      </c>
      <c r="Q199" s="901" t="n">
        <f t="array" ref="Q199">IFERROR($H199/$H$44,0)</f>
        <v>0</v>
      </c>
      <c r="R199" s="3739" t="n">
        <f t="array" ref="R199">IFERROR(($H199/12)/1650,0)</f>
        <v>0</v>
      </c>
      <c r="S199" s="1476" t="n"/>
      <c r="T199" s="3738" t="n">
        <f t="array" ref="T199">IFERROR($H199/12,0)</f>
        <v>0</v>
      </c>
      <c r="U199" s="1509" t="n">
        <f t="array" ref="U199">IFERROR($H199/$H$44,0)</f>
        <v>0</v>
      </c>
      <c r="V199" s="3739" t="n">
        <f t="array" ref="V199">IFERROR(($H199/12)/1650,0)</f>
        <v>0</v>
      </c>
      <c r="W199" s="1476" t="n"/>
      <c r="X199" s="3738" t="n">
        <f t="array" ref="X199">IFERROR($H199/12,0)</f>
        <v>0</v>
      </c>
      <c r="Y199" s="1509" t="n">
        <f t="array" ref="Y199">IFERROR($H199/$H$44,0)</f>
        <v>0</v>
      </c>
      <c r="Z199" s="3739" t="n">
        <f t="array" ref="Z199">IFERROR(($H199/12)/1650,0)</f>
        <v>0</v>
      </c>
      <c r="AA199" s="1476" t="n"/>
      <c r="AB199" s="3738" t="n">
        <f t="array" ref="AB199">IFERROR($H199/12,0)</f>
        <v>0</v>
      </c>
      <c r="AC199" s="1509" t="n">
        <f t="array" ref="AC199">IFERROR($H199/$H$44,0)</f>
        <v>0</v>
      </c>
      <c r="AD199" s="3739" t="n">
        <f t="array" ref="AD199">IFERROR(($H199/12)/1650,0)</f>
        <v>0</v>
      </c>
      <c r="AE199" s="1476" t="n"/>
      <c r="AF199" s="3738" t="n">
        <f t="array" ref="AF199">IFERROR($H199/12,0)</f>
        <v>0</v>
      </c>
      <c r="AG199" s="1509" t="n">
        <f t="array" ref="AG199">IFERROR($H199/$H$44,0)</f>
        <v>0</v>
      </c>
      <c r="AH199" s="3739" t="n">
        <f t="array" ref="AH199">IFERROR(($H199/12)/1650,0)</f>
        <v>0</v>
      </c>
      <c r="AI199" s="1476" t="n"/>
      <c r="AJ199" s="3738" t="n">
        <f t="array" ref="AJ199">IFERROR($H199/12,0)</f>
        <v>0</v>
      </c>
      <c r="AK199" s="1509" t="n">
        <f t="array" ref="AK199">IFERROR($H199/$H$44,0)</f>
        <v>0</v>
      </c>
      <c r="AL199" s="3739" t="n">
        <f t="array" ref="AL199">IFERROR(($H199/12)/1650,0)</f>
        <v>0</v>
      </c>
      <c r="AM199" s="1476" t="n"/>
      <c r="AN199" s="3738" t="n">
        <f t="array" ref="AN199">IFERROR($H199/12,0)</f>
        <v>0</v>
      </c>
      <c r="AO199" s="1509" t="n">
        <f t="array" ref="AO199">IFERROR($H199/$H$44,0)</f>
        <v>0</v>
      </c>
      <c r="AP199" s="3739" t="n">
        <f t="array" ref="AP199">IFERROR(($H199/12)/1650,0)</f>
        <v>0</v>
      </c>
      <c r="AQ199" s="1476" t="n"/>
      <c r="AR199" s="3738" t="n">
        <f t="array" ref="AR199">IFERROR($H199/12,0)</f>
        <v>0</v>
      </c>
      <c r="AS199" s="1509" t="n">
        <f t="array" ref="AS199">IFERROR($H199/$H$44,0)</f>
        <v>0</v>
      </c>
      <c r="AT199" s="3739" t="n">
        <f t="array" ref="AT199">IFERROR(($H199/12)/1650,0)</f>
        <v>0</v>
      </c>
      <c r="AU199" s="1476" t="n"/>
      <c r="AV199" s="3738" t="n">
        <f t="array" ref="AV199">IFERROR($H199/12,0)</f>
        <v>0</v>
      </c>
      <c r="AW199" s="1509" t="n">
        <f t="array" ref="AW199">IFERROR($H199/$H$44,0)</f>
        <v>0</v>
      </c>
      <c r="AX199" s="3739" t="n">
        <f t="array" ref="AX199">IFERROR(($H199/12)/1650,0)</f>
        <v>0</v>
      </c>
      <c r="AY199" s="1476" t="n"/>
      <c r="AZ199" s="3738" t="n">
        <f t="array" ref="AZ199">IFERROR($H199/12,0)</f>
        <v>0</v>
      </c>
      <c r="BA199" s="1509" t="n">
        <f t="array" ref="BA199">IFERROR($H199/$H$44,0)</f>
        <v>0</v>
      </c>
      <c r="BB199" s="3543" t="n">
        <f t="array" ref="BB199">IFERROR(($H199/12)/1650,0)</f>
        <v>0</v>
      </c>
      <c r="BC199" s="1413" t="n"/>
      <c r="BD199" s="3740" t="n">
        <f t="array" ref="BD199">IFERROR($H199/12,0)</f>
        <v>0</v>
      </c>
      <c r="BE199" s="1509" t="n">
        <f t="array" ref="BE199">IFERROR($H199/$H$44,0)</f>
        <v>0</v>
      </c>
      <c r="BF199" s="3739" t="n">
        <f t="array" ref="BF199">IFERROR(($H199/12)/1650,0)</f>
        <v>0</v>
      </c>
      <c r="BG199" s="1476" t="n"/>
    </row>
    <row r="200" s="1168" customFormat="1" ht="15" customHeight="1">
      <c r="A200" s="3445" t="n"/>
      <c r="B200" s="3538" t="n"/>
      <c r="C200" s="101" t="n"/>
      <c r="E200" s="3464" t="n"/>
      <c r="F200" s="1172" t="n"/>
      <c r="G200" s="1567" t="inlineStr">
        <is>
          <t xml:space="preserve">Repair &amp; Maintenance Expenses</t>
        </is>
      </c>
      <c r="H200" s="3572" t="n"/>
      <c r="I200" s="1323" t="n"/>
      <c r="J200" s="3574" t="n"/>
      <c r="K200" s="1172" t="n"/>
      <c r="L200" s="3572" t="n"/>
      <c r="M200" s="1323" t="n"/>
      <c r="N200" s="3574" t="n"/>
      <c r="P200" s="3572" t="n"/>
      <c r="Q200" s="1323" t="n"/>
      <c r="R200" s="3574" t="n"/>
      <c r="T200" s="3572" t="n"/>
      <c r="U200" s="1323" t="n"/>
      <c r="V200" s="3574" t="n"/>
      <c r="X200" s="3572" t="n"/>
      <c r="Y200" s="1323" t="n"/>
      <c r="Z200" s="3574" t="n"/>
      <c r="AB200" s="3572" t="n"/>
      <c r="AC200" s="1323" t="n"/>
      <c r="AD200" s="3574" t="n"/>
      <c r="AF200" s="3572" t="n"/>
      <c r="AG200" s="1323" t="n"/>
      <c r="AH200" s="3574" t="n"/>
      <c r="AJ200" s="3572" t="n"/>
      <c r="AK200" s="1323" t="n"/>
      <c r="AL200" s="3574" t="n"/>
      <c r="AN200" s="3572" t="n"/>
      <c r="AO200" s="1323" t="n"/>
      <c r="AP200" s="3574" t="n"/>
      <c r="AR200" s="3572" t="n"/>
      <c r="AS200" s="1323" t="n"/>
      <c r="AT200" s="3574" t="n"/>
      <c r="AV200" s="3572" t="n"/>
      <c r="AW200" s="1323" t="n"/>
      <c r="AX200" s="3574" t="n"/>
      <c r="AZ200" s="3572" t="n"/>
      <c r="BA200" s="1323" t="n"/>
      <c r="BB200" s="3574" t="n"/>
      <c r="BD200" s="3572" t="n"/>
      <c r="BE200" s="1323" t="n"/>
      <c r="BF200" s="3574" t="n"/>
    </row>
    <row r="201" s="1168" customFormat="1" ht="15" customHeight="1">
      <c r="A201" s="3445" t="n"/>
      <c r="B201" s="3538" t="n"/>
      <c r="C201" s="101" t="n"/>
      <c r="E201" s="3464" t="n"/>
      <c r="F201" s="1172" t="n"/>
      <c r="G201" s="1283" t="inlineStr">
        <is>
          <t xml:space="preserve">Building Repair</t>
        </is>
      </c>
      <c r="H201" s="3586">
        <f>J201*$I$14</f>
        <v>445.665</v>
      </c>
      <c r="I201" s="1171">
        <f>IFERROR(H201/$H$44,0)</f>
        <v>0.0003</v>
      </c>
      <c r="J201" s="3662">
        <v>0.0222</v>
      </c>
      <c r="K201" s="1172" t="n"/>
      <c r="L201" s="3586">
        <f>N201*$M$14</f>
        <v>531.96195</v>
      </c>
      <c r="M201" s="1171">
        <f>IFERROR(L201/$L$44,0)</f>
        <v>0.000297058823529</v>
      </c>
      <c r="N201" s="3662">
        <f>J201*(1+$L$6)</f>
        <v>0.022422</v>
      </c>
      <c r="P201" s="3586">
        <f>R201*$Q$14</f>
        <v>595.1426616</v>
      </c>
      <c r="Q201" s="1171">
        <f>IFERROR(P201/$P$44,0)</f>
        <v>0.000294146482122</v>
      </c>
      <c r="R201" s="3662">
        <f>N201*(1+$L$6)</f>
        <v>0.02264622</v>
      </c>
      <c r="T201" s="3586">
        <f>V201*$U$14</f>
        <v>601.094088216</v>
      </c>
      <c r="U201" s="1171">
        <f>IFERROR(T201/$T$44,0)</f>
        <v>0.000291262693082</v>
      </c>
      <c r="V201" s="3662">
        <f>R201*(1+$L$6)</f>
        <v>0.0228726822</v>
      </c>
      <c r="X201" s="3586">
        <f>Z201*$Y$14</f>
        <v>607.105029098</v>
      </c>
      <c r="Y201" s="1171">
        <f>IFERROR(X201/$X$44,0)</f>
        <v>0.000288407176483</v>
      </c>
      <c r="Z201" s="3662">
        <f>V201*(1+$L$6)</f>
        <v>0.023101409022</v>
      </c>
      <c r="AB201" s="3586">
        <f>AD201*$AC$14</f>
        <v>613.176079389</v>
      </c>
      <c r="AC201" s="1171">
        <f>IFERROR(AB201/$AB$44,0)</f>
        <v>0.000285579655145</v>
      </c>
      <c r="AD201" s="3662">
        <f>Z201*(1+$L$6)</f>
        <v>0.0233324231122</v>
      </c>
      <c r="AF201" s="3586">
        <f>AH201*$AG$14</f>
        <v>619.307840183</v>
      </c>
      <c r="AG201" s="1171">
        <f>IFERROR(AF201/$AF$44,0)</f>
        <v>0.000282779854604</v>
      </c>
      <c r="AH201" s="3662">
        <f>AD201*(1+$L$6)</f>
        <v>0.0235657473433</v>
      </c>
      <c r="AJ201" s="3586">
        <f>AL201*$AK$14</f>
        <v>625.500918585</v>
      </c>
      <c r="AK201" s="1171">
        <f>IFERROR(AJ201/$AJ$44,0)</f>
        <v>0.000280007503089</v>
      </c>
      <c r="AL201" s="3662">
        <f>AH201*(1+$L$6)</f>
        <v>0.0238014048168</v>
      </c>
      <c r="AN201" s="3586">
        <f>AP201*$AO$14</f>
        <v>631.755927771</v>
      </c>
      <c r="AO201" s="1171">
        <f>IFERROR(AN201/$AN$44,0)</f>
        <v>0.00027726233149</v>
      </c>
      <c r="AP201" s="3662">
        <f>AL201*(1+$L$6)</f>
        <v>0.0240394188649</v>
      </c>
      <c r="AR201" s="3586">
        <f>AT201*$AS$14</f>
        <v>638.073487048</v>
      </c>
      <c r="AS201" s="1171">
        <f>IFERROR(AR201/$AR$44,0)</f>
        <v>0.000274544073338</v>
      </c>
      <c r="AT201" s="3662">
        <f>AP201*(1+$L$6)</f>
        <v>0.0242798130536</v>
      </c>
      <c r="AV201" s="3586">
        <f>AX201*$AW$14</f>
        <v>644.454221919</v>
      </c>
      <c r="AW201" s="1171">
        <f>IFERROR(AV201/$AV$44,0)</f>
        <v>0.000277289514071</v>
      </c>
      <c r="AX201" s="3662">
        <f>AT201*(1+$L$6)</f>
        <v>0.0245226111841</v>
      </c>
      <c r="AZ201" s="3586">
        <f>BB201*$BA$14</f>
        <v>650.898764138</v>
      </c>
      <c r="BA201" s="1171">
        <f>IFERROR(AZ201/$AZ$44,0)</f>
        <v>0.000280062409212</v>
      </c>
      <c r="BB201" s="3662">
        <f>AX201*(1+$L$6)</f>
        <v>0.024767837296</v>
      </c>
      <c r="BD201" s="3586" t="n">
        <f t="array" ref="BD201">IFERROR($H201/12,0)</f>
        <v>37.138749999999995</v>
      </c>
      <c r="BE201" s="1171" t="n">
        <f t="array" ref="BE201">IFERROR($H201/$H$44,0)</f>
        <v>0.0003</v>
      </c>
      <c r="BF201" s="3662" t="n">
        <f t="array" ref="BF201">IFERROR(($H201/12)/1650,0)</f>
        <v>0.02250833333333333</v>
      </c>
      <c r="BG201" s="1568" t="n"/>
    </row>
    <row r="202" s="1168" customFormat="1" ht="15" customHeight="1">
      <c r="A202" s="3445" t="n"/>
      <c r="B202" s="3538" t="n"/>
      <c r="C202" s="101" t="n"/>
      <c r="E202" s="3464" t="n"/>
      <c r="F202" s="1172" t="n"/>
      <c r="G202" s="1325" t="inlineStr">
        <is>
          <t xml:space="preserve">Electrical &amp; Mechanical</t>
        </is>
      </c>
      <c r="H202" s="3620">
        <f>J202*$I$14</f>
        <v>742.775</v>
      </c>
      <c r="I202" s="1429">
        <f>IFERROR(H202/$H$44,0)</f>
        <v>0.0005</v>
      </c>
      <c r="J202" s="3667">
        <v>0.037</v>
      </c>
      <c r="K202" s="1172" t="n"/>
      <c r="L202" s="3620">
        <f>N202*$M$14</f>
        <v>886.60325</v>
      </c>
      <c r="M202" s="1429">
        <f>IFERROR(L202/$L$44,0)</f>
        <v>0.000495098039216</v>
      </c>
      <c r="N202" s="3667">
        <f>J202*(1+$L$6)</f>
        <v>0.03737</v>
      </c>
      <c r="P202" s="3620">
        <f>R202*$Q$14</f>
        <v>991.904436</v>
      </c>
      <c r="Q202" s="1429">
        <f>IFERROR(P202/$P$44,0)</f>
        <v>0.00049024413687</v>
      </c>
      <c r="R202" s="3667">
        <f>N202*(1+$L$6)</f>
        <v>0.0377437</v>
      </c>
      <c r="T202" s="3620">
        <f>V202*$U$14</f>
        <v>1001.82348036</v>
      </c>
      <c r="U202" s="1429">
        <f>IFERROR(T202/$T$44,0)</f>
        <v>0.000485437821803</v>
      </c>
      <c r="V202" s="3667">
        <f>R202*(1+$L$6)</f>
        <v>0.038121137</v>
      </c>
      <c r="X202" s="3620">
        <f>Z202*$Y$14</f>
        <v>1011.84171516</v>
      </c>
      <c r="Y202" s="1429">
        <f>IFERROR(X202/$X$44,0)</f>
        <v>0.000480678627472</v>
      </c>
      <c r="Z202" s="3667">
        <f>V202*(1+$L$6)</f>
        <v>0.03850234837</v>
      </c>
      <c r="AB202" s="3620">
        <f>AD202*$AC$14</f>
        <v>1021.96013232</v>
      </c>
      <c r="AC202" s="1429">
        <f>IFERROR(AB202/$AB$44,0)</f>
        <v>0.000475966091908</v>
      </c>
      <c r="AD202" s="3667">
        <f>Z202*(1+$L$6)</f>
        <v>0.0388873718537</v>
      </c>
      <c r="AF202" s="3620">
        <f>AH202*$AG$14</f>
        <v>1032.17973364</v>
      </c>
      <c r="AG202" s="1429">
        <f>IFERROR(AF202/$AF$44,0)</f>
        <v>0.000471299757674</v>
      </c>
      <c r="AH202" s="3667">
        <f>AD202*(1+$L$6)</f>
        <v>0.0392762455722</v>
      </c>
      <c r="AJ202" s="3620">
        <f>AL202*$AK$14</f>
        <v>1042.50153097</v>
      </c>
      <c r="AK202" s="1429">
        <f>IFERROR(AJ202/$AJ$44,0)</f>
        <v>0.000466679171814</v>
      </c>
      <c r="AL202" s="3667">
        <f>AH202*(1+$L$6)</f>
        <v>0.039669008028</v>
      </c>
      <c r="AN202" s="3620">
        <f>AP202*$AO$14</f>
        <v>1052.92654628</v>
      </c>
      <c r="AO202" s="1429">
        <f>IFERROR(AN202/$AN$44,0)</f>
        <v>0.000462103885816</v>
      </c>
      <c r="AP202" s="3667">
        <f>AL202*(1+$L$6)</f>
        <v>0.0400656981082</v>
      </c>
      <c r="AR202" s="3620">
        <f>AT202*$AS$14</f>
        <v>1063.45581175</v>
      </c>
      <c r="AS202" s="1429">
        <f>IFERROR(AR202/$AR$44,0)</f>
        <v>0.000457573455563</v>
      </c>
      <c r="AT202" s="3667">
        <f>AP202*(1+$L$6)</f>
        <v>0.0404663550893</v>
      </c>
      <c r="AV202" s="3620">
        <f>AX202*$AW$14</f>
        <v>1074.09036986</v>
      </c>
      <c r="AW202" s="1429">
        <f>IFERROR(AV202/$AV$44,0)</f>
        <v>0.000462149190119</v>
      </c>
      <c r="AX202" s="3667">
        <f>AT202*(1+$L$6)</f>
        <v>0.0408710186402</v>
      </c>
      <c r="AZ202" s="3620">
        <f>BB202*$BA$14</f>
        <v>1084.83127356</v>
      </c>
      <c r="BA202" s="1429">
        <f>IFERROR(AZ202/$AZ$44,0)</f>
        <v>0.00046677068202</v>
      </c>
      <c r="BB202" s="3667">
        <f>AX202*(1+$L$6)</f>
        <v>0.0412797288266</v>
      </c>
      <c r="BD202" s="3620" t="n">
        <f t="array" ref="BD202">IFERROR($H202/12,0)</f>
        <v>61.89791666666667</v>
      </c>
      <c r="BE202" s="1429" t="n">
        <f t="array" ref="BE202">IFERROR($H202/$H$44,0)</f>
        <v>0.0005</v>
      </c>
      <c r="BF202" s="3667" t="n">
        <f t="array" ref="BF202">IFERROR(($H202/12)/1650,0)</f>
        <v>0.03751388888888889</v>
      </c>
      <c r="BG202" s="1568" t="n"/>
    </row>
    <row r="203" s="1168" customFormat="1" ht="15" customHeight="1">
      <c r="A203" s="3445" t="n"/>
      <c r="B203" s="3538" t="n"/>
      <c r="C203" s="101" t="n"/>
      <c r="E203" s="3464" t="n">
        <v>500</v>
      </c>
      <c r="F203" s="1172" t="n"/>
      <c r="G203" s="1569" t="inlineStr">
        <is>
          <t xml:space="preserve">Elevator Insurance/ warranty</t>
        </is>
      </c>
      <c r="H203" s="3641">
        <f>J203*$I$14</f>
        <v>6000</v>
      </c>
      <c r="I203" s="1434">
        <f>IFERROR(H203/$H$44,0)</f>
        <v>0.0040389081485</v>
      </c>
      <c r="J203" s="3669">
        <v>0.298879202989</v>
      </c>
      <c r="K203" s="1172" t="n"/>
      <c r="L203" s="3641">
        <f>N203*$M$14</f>
        <v>7161.81818182</v>
      </c>
      <c r="M203" s="1434">
        <f>IFERROR(L203/$L$44,0)</f>
        <v>0.00399931100979</v>
      </c>
      <c r="N203" s="3669">
        <f>J203*(1+$L$6)</f>
        <v>0.301867995019</v>
      </c>
      <c r="P203" s="3641">
        <f>R203*$Q$14</f>
        <v>8012.42181818</v>
      </c>
      <c r="Q203" s="1434">
        <f>IFERROR(P203/$P$44,0)</f>
        <v>0.00396010207832</v>
      </c>
      <c r="R203" s="3669">
        <f>N203*(1+$L$6)</f>
        <v>0.304886674969</v>
      </c>
      <c r="T203" s="3641">
        <f>V203*$U$14</f>
        <v>8092.54603636</v>
      </c>
      <c r="U203" s="1434">
        <f>IFERROR(T203/$T$44,0)</f>
        <v>0.00392127754814</v>
      </c>
      <c r="V203" s="3669">
        <f>R203*(1+$L$6)</f>
        <v>0.307935541719</v>
      </c>
      <c r="X203" s="3641">
        <f>Z203*$Y$14</f>
        <v>8173.47149673</v>
      </c>
      <c r="Y203" s="1434">
        <f>IFERROR(X203/$X$44,0)</f>
        <v>0.00388283365061</v>
      </c>
      <c r="Z203" s="3669">
        <f>V203*(1+$L$6)</f>
        <v>0.311014897136</v>
      </c>
      <c r="AB203" s="3641">
        <f>AD203*$AC$14</f>
        <v>8255.20621169</v>
      </c>
      <c r="AC203" s="1434">
        <f>IFERROR(AB203/$AB$44,0)</f>
        <v>0.00384476665403</v>
      </c>
      <c r="AD203" s="3669">
        <f>Z203*(1+$L$6)</f>
        <v>0.314125046107</v>
      </c>
      <c r="AF203" s="3641">
        <f>AH203*$AG$14</f>
        <v>8337.75827381</v>
      </c>
      <c r="AG203" s="1434">
        <f>IFERROR(AF203/$AF$44,0)</f>
        <v>0.00380707286331</v>
      </c>
      <c r="AH203" s="3669">
        <f>AD203*(1+$L$6)</f>
        <v>0.317266296568</v>
      </c>
      <c r="AJ203" s="3641">
        <f>AL203*$AK$14</f>
        <v>8421.13585655</v>
      </c>
      <c r="AK203" s="1434">
        <f>IFERROR(AJ203/$AJ$44,0)</f>
        <v>0.00376974861955</v>
      </c>
      <c r="AL203" s="3669">
        <f>AH203*(1+$L$6)</f>
        <v>0.320438959534</v>
      </c>
      <c r="AN203" s="3641">
        <f>AP203*$AO$14</f>
        <v>8505.34721512</v>
      </c>
      <c r="AO203" s="1434">
        <f>IFERROR(AN203/$AN$44,0)</f>
        <v>0.00373279029975</v>
      </c>
      <c r="AP203" s="3669">
        <f>AL203*(1+$L$6)</f>
        <v>0.323643349129</v>
      </c>
      <c r="AR203" s="3641">
        <f>AT203*$AS$14</f>
        <v>8590.40068727</v>
      </c>
      <c r="AS203" s="1434">
        <f>IFERROR(AR203/$AR$44,0)</f>
        <v>0.00369619431642</v>
      </c>
      <c r="AT203" s="3669">
        <f>AP203*(1+$L$6)</f>
        <v>0.32687978262</v>
      </c>
      <c r="AV203" s="3641">
        <f>AX203*$AW$14</f>
        <v>8676.30469414</v>
      </c>
      <c r="AW203" s="1434">
        <f>IFERROR(AV203/$AV$44,0)</f>
        <v>0.00373315625958</v>
      </c>
      <c r="AX203" s="3669">
        <f>AT203*(1+$L$6)</f>
        <v>0.330148580447</v>
      </c>
      <c r="AZ203" s="3641">
        <f>BB203*$BA$14</f>
        <v>8763.06774108</v>
      </c>
      <c r="BA203" s="1434">
        <f>IFERROR(AZ203/$AZ$44,0)</f>
        <v>0.00377048782218</v>
      </c>
      <c r="BB203" s="3669">
        <f>AX203*(1+$L$6)</f>
        <v>0.333450066251</v>
      </c>
      <c r="BD203" s="3641" t="n">
        <f t="array" ref="BD203">IFERROR($H203/12,0)</f>
        <v>500</v>
      </c>
      <c r="BE203" s="1434" t="n">
        <f t="array" ref="BE203">IFERROR($H203/$H$44,0)</f>
        <v>0.004038908148497189</v>
      </c>
      <c r="BF203" s="3669" t="n">
        <f t="array" ref="BF203">IFERROR(($H203/12)/1650,0)</f>
        <v>0.30303030303030304</v>
      </c>
      <c r="BG203" s="1568" t="n"/>
    </row>
    <row r="204" s="1168" customFormat="1" ht="15" customHeight="1">
      <c r="A204" s="3445" t="n"/>
      <c r="B204" s="3538" t="n"/>
      <c r="C204" s="101" t="n"/>
      <c r="E204" s="3464" t="n"/>
      <c r="F204" s="1172" t="n"/>
      <c r="G204" s="1376" t="inlineStr">
        <is>
          <t xml:space="preserve">Furniture &amp; Fixtures</t>
        </is>
      </c>
      <c r="H204" s="3678">
        <f>J204*$I$14</f>
        <v>1485.55</v>
      </c>
      <c r="I204" s="1448">
        <f>IFERROR(H204/$H$44,0)</f>
        <v>0.001</v>
      </c>
      <c r="J204" s="3562">
        <v>0.074</v>
      </c>
      <c r="K204" s="1172" t="n"/>
      <c r="L204" s="3678">
        <f>N204*$M$14</f>
        <v>1773.2065</v>
      </c>
      <c r="M204" s="1448">
        <f>IFERROR(L204/$L$44,0)</f>
        <v>0.000990196078431</v>
      </c>
      <c r="N204" s="3562">
        <f>J204*(1+$L$6)</f>
        <v>0.07474</v>
      </c>
      <c r="P204" s="3678">
        <f>R204*$Q$14</f>
        <v>1983.808872</v>
      </c>
      <c r="Q204" s="1448">
        <f>IFERROR(P204/$P$44,0)</f>
        <v>0.000980488273741</v>
      </c>
      <c r="R204" s="3562">
        <f>N204*(1+$L$6)</f>
        <v>0.0754874</v>
      </c>
      <c r="T204" s="3678">
        <f>V204*$U$14</f>
        <v>2003.64696072</v>
      </c>
      <c r="U204" s="1448">
        <f>IFERROR(T204/$T$44,0)</f>
        <v>0.000970875643606</v>
      </c>
      <c r="V204" s="3562">
        <f>R204*(1+$L$6)</f>
        <v>0.076242274</v>
      </c>
      <c r="X204" s="3678">
        <f>Z204*$Y$14</f>
        <v>2023.68343033</v>
      </c>
      <c r="Y204" s="1448">
        <f>IFERROR(X204/$X$44,0)</f>
        <v>0.000961357254943</v>
      </c>
      <c r="Z204" s="3562">
        <f>V204*(1+$L$6)</f>
        <v>0.07700469674</v>
      </c>
      <c r="AB204" s="3678">
        <f>AD204*$AC$14</f>
        <v>2043.92026463</v>
      </c>
      <c r="AC204" s="1448">
        <f>IFERROR(AB204/$AB$44,0)</f>
        <v>0.000951932183816</v>
      </c>
      <c r="AD204" s="3562">
        <f>Z204*(1+$L$6)</f>
        <v>0.0777747437074</v>
      </c>
      <c r="AF204" s="3678">
        <f>AH204*$AG$14</f>
        <v>2064.35946728</v>
      </c>
      <c r="AG204" s="1448">
        <f>IFERROR(AF204/$AF$44,0)</f>
        <v>0.000942599515348</v>
      </c>
      <c r="AH204" s="3562">
        <f>AD204*(1+$L$6)</f>
        <v>0.0785524911445</v>
      </c>
      <c r="AJ204" s="3678">
        <f>AL204*$AK$14</f>
        <v>2085.00306195</v>
      </c>
      <c r="AK204" s="1448">
        <f>IFERROR(AJ204/$AJ$44,0)</f>
        <v>0.000933358343629</v>
      </c>
      <c r="AL204" s="3562">
        <f>AH204*(1+$L$6)</f>
        <v>0.0793380160559</v>
      </c>
      <c r="AN204" s="3678">
        <f>AP204*$AO$14</f>
        <v>2105.85309257</v>
      </c>
      <c r="AO204" s="1448">
        <f>IFERROR(AN204/$AN$44,0)</f>
        <v>0.000924207771632</v>
      </c>
      <c r="AP204" s="3562">
        <f>AL204*(1+$L$6)</f>
        <v>0.0801313962165</v>
      </c>
      <c r="AR204" s="3678">
        <f>AT204*$AS$14</f>
        <v>2126.91162349</v>
      </c>
      <c r="AS204" s="1448">
        <f>IFERROR(AR204/$AR$44,0)</f>
        <v>0.000915146911126</v>
      </c>
      <c r="AT204" s="3562">
        <f>AP204*(1+$L$6)</f>
        <v>0.0809327101786</v>
      </c>
      <c r="AV204" s="3678">
        <f>AX204*$AW$14</f>
        <v>2148.18073973</v>
      </c>
      <c r="AW204" s="1448">
        <f>IFERROR(AV204/$AV$44,0)</f>
        <v>0.000924298380237</v>
      </c>
      <c r="AX204" s="3562">
        <f>AT204*(1+$L$6)</f>
        <v>0.0817420372804</v>
      </c>
      <c r="AZ204" s="3678">
        <f>BB204*$BA$14</f>
        <v>2169.66254713</v>
      </c>
      <c r="BA204" s="1448">
        <f>IFERROR(AZ204/$AZ$44,0)</f>
        <v>0.00093354136404</v>
      </c>
      <c r="BB204" s="3562">
        <f>AX204*(1+$L$6)</f>
        <v>0.0825594576532</v>
      </c>
      <c r="BD204" s="3678" t="n">
        <f t="array" ref="BD204">IFERROR($H204/12,0)</f>
        <v>123.79583333333333</v>
      </c>
      <c r="BE204" s="1448" t="n">
        <f t="array" ref="BE204">IFERROR($H204/$H$44,0)</f>
        <v>0.001</v>
      </c>
      <c r="BF204" s="3562" t="n">
        <f t="array" ref="BF204">IFERROR(($H204/12)/1650,0)</f>
        <v>0.07502777777777778</v>
      </c>
      <c r="BG204" s="1568" t="n"/>
    </row>
    <row r="205" s="1168" customFormat="1" ht="15" customHeight="1">
      <c r="A205" s="3445" t="n"/>
      <c r="B205" s="3538" t="n"/>
      <c r="C205" s="101" t="n"/>
      <c r="E205" s="3464" t="n"/>
      <c r="F205" s="1172" t="n"/>
      <c r="G205" s="1283" t="inlineStr">
        <is>
          <t xml:space="preserve">Floor Coverings</t>
        </is>
      </c>
      <c r="H205" s="3586">
        <f>J205*$I$14</f>
        <v>16341.05</v>
      </c>
      <c r="I205" s="1171">
        <f>IFERROR(H205/$H$44,0)</f>
        <v>0.011</v>
      </c>
      <c r="J205" s="3662">
        <v>0.814</v>
      </c>
      <c r="K205" s="1172" t="n"/>
      <c r="L205" s="3586">
        <f>N205*$M$14</f>
        <v>19505.2715</v>
      </c>
      <c r="M205" s="1171">
        <f>IFERROR(L205/$L$44,0)</f>
        <v>0.0108921568627</v>
      </c>
      <c r="N205" s="3662">
        <f>J205*(1+$L$6)</f>
        <v>0.82214</v>
      </c>
      <c r="P205" s="3586">
        <f>R205*$Q$14</f>
        <v>21821.897592</v>
      </c>
      <c r="Q205" s="1171">
        <f>IFERROR(P205/$P$44,0)</f>
        <v>0.0107853710111</v>
      </c>
      <c r="R205" s="3662">
        <f>N205*(1+$L$6)</f>
        <v>0.8303614</v>
      </c>
      <c r="T205" s="3586">
        <f>V205*$U$14</f>
        <v>22040.1165679</v>
      </c>
      <c r="U205" s="1171">
        <f>IFERROR(T205/$T$44,0)</f>
        <v>0.0106796320797</v>
      </c>
      <c r="V205" s="3662">
        <f>R205*(1+$L$6)</f>
        <v>0.838665014</v>
      </c>
      <c r="X205" s="3586">
        <f>Z205*$Y$14</f>
        <v>22260.5177336</v>
      </c>
      <c r="Y205" s="1171">
        <f>IFERROR(X205/$X$44,0)</f>
        <v>0.0105749298044</v>
      </c>
      <c r="Z205" s="3662">
        <f>V205*(1+$L$6)</f>
        <v>0.84705166414</v>
      </c>
      <c r="AB205" s="3586">
        <f>AD205*$AC$14</f>
        <v>22483.1229109</v>
      </c>
      <c r="AC205" s="1171">
        <f>IFERROR(AB205/$AB$44,0)</f>
        <v>0.010471254022</v>
      </c>
      <c r="AD205" s="3662">
        <f>Z205*(1+$L$6)</f>
        <v>0.855522180781</v>
      </c>
      <c r="AF205" s="3586">
        <f>AH205*$AG$14</f>
        <v>22707.95414</v>
      </c>
      <c r="AG205" s="1171">
        <f>IFERROR(AF205/$AF$44,0)</f>
        <v>0.0103685946688</v>
      </c>
      <c r="AH205" s="3662">
        <f>AD205*(1+$L$6)</f>
        <v>0.864077402589</v>
      </c>
      <c r="AJ205" s="3586">
        <f>AL205*$AK$14</f>
        <v>22935.0336814</v>
      </c>
      <c r="AK205" s="1171">
        <f>IFERROR(AJ205/$AJ$44,0)</f>
        <v>0.0102669417799</v>
      </c>
      <c r="AL205" s="3662">
        <f>AH205*(1+$L$6)</f>
        <v>0.872718176615</v>
      </c>
      <c r="AN205" s="3586">
        <f>AP205*$AO$14</f>
        <v>23164.3840183</v>
      </c>
      <c r="AO205" s="1171">
        <f>IFERROR(AN205/$AN$44,0)</f>
        <v>0.010166285488</v>
      </c>
      <c r="AP205" s="3662">
        <f>AL205*(1+$L$6)</f>
        <v>0.881445358381</v>
      </c>
      <c r="AR205" s="3586">
        <f>AT205*$AS$14</f>
        <v>23396.0278584</v>
      </c>
      <c r="AS205" s="1171">
        <f>IFERROR(AR205/$AR$44,0)</f>
        <v>0.0100666160224</v>
      </c>
      <c r="AT205" s="3662">
        <f>AP205*(1+$L$6)</f>
        <v>0.890259811965</v>
      </c>
      <c r="AV205" s="3586">
        <f>AX205*$AW$14</f>
        <v>23629.988137</v>
      </c>
      <c r="AW205" s="1171">
        <f>IFERROR(AV205/$AV$44,0)</f>
        <v>0.0101672821826</v>
      </c>
      <c r="AX205" s="3662">
        <f>AT205*(1+$L$6)</f>
        <v>0.899162410085</v>
      </c>
      <c r="AZ205" s="3586">
        <f>BB205*$BA$14</f>
        <v>23866.2880184</v>
      </c>
      <c r="BA205" s="1171">
        <f>IFERROR(AZ205/$AZ$44,0)</f>
        <v>0.0102689550044</v>
      </c>
      <c r="BB205" s="3662">
        <f>AX205*(1+$L$6)</f>
        <v>0.908154034186</v>
      </c>
      <c r="BD205" s="3586" t="n">
        <f t="array" ref="BD205">IFERROR($H205/12,0)</f>
        <v>1361.7541666666666</v>
      </c>
      <c r="BE205" s="1171" t="n">
        <f t="array" ref="BE205">IFERROR($H205/$H$44,0)</f>
        <v>0.011</v>
      </c>
      <c r="BF205" s="3662" t="n">
        <f t="array" ref="BF205">IFERROR(($H205/12)/1650,0)</f>
        <v>0.8253055555555555</v>
      </c>
      <c r="BG205" s="1568" t="n"/>
    </row>
    <row r="206" s="1168" customFormat="1" ht="15" customHeight="1">
      <c r="A206" s="3445" t="n"/>
      <c r="B206" s="3538" t="n"/>
      <c r="C206" s="101" t="n"/>
      <c r="E206" s="3464" t="n"/>
      <c r="F206" s="1172" t="n"/>
      <c r="G206" s="1283" t="inlineStr">
        <is>
          <t xml:space="preserve">Air Conditioning/Refrigeration</t>
        </is>
      </c>
      <c r="H206" s="3586">
        <f>J206*$I$14</f>
        <v>7427.75</v>
      </c>
      <c r="I206" s="1171">
        <f>IFERROR(H206/$H$44,0)</f>
        <v>0.005</v>
      </c>
      <c r="J206" s="3662">
        <v>0.37</v>
      </c>
      <c r="K206" s="1172" t="n"/>
      <c r="L206" s="3586">
        <f>N206*$M$14</f>
        <v>8866.0325</v>
      </c>
      <c r="M206" s="1171">
        <f>IFERROR(L206/$L$44,0)</f>
        <v>0.00495098039216</v>
      </c>
      <c r="N206" s="3662">
        <f>J206*(1+$L$6)</f>
        <v>0.3737</v>
      </c>
      <c r="P206" s="3586">
        <f>R206*$Q$14</f>
        <v>9919.04436</v>
      </c>
      <c r="Q206" s="1171">
        <f>IFERROR(P206/$P$44,0)</f>
        <v>0.0049024413687</v>
      </c>
      <c r="R206" s="3662">
        <f>N206*(1+$L$6)</f>
        <v>0.377437</v>
      </c>
      <c r="T206" s="3586">
        <f>V206*$U$14</f>
        <v>10018.2348036</v>
      </c>
      <c r="U206" s="1171">
        <f>IFERROR(T206/$T$44,0)</f>
        <v>0.00485437821803</v>
      </c>
      <c r="V206" s="3662">
        <f>R206*(1+$L$6)</f>
        <v>0.38121137</v>
      </c>
      <c r="X206" s="3586">
        <f>Z206*$Y$14</f>
        <v>10118.4171516</v>
      </c>
      <c r="Y206" s="1171">
        <f>IFERROR(X206/$X$44,0)</f>
        <v>0.00480678627472</v>
      </c>
      <c r="Z206" s="3662">
        <f>V206*(1+$L$6)</f>
        <v>0.3850234837</v>
      </c>
      <c r="AB206" s="3586">
        <f>AD206*$AC$14</f>
        <v>10219.6013232</v>
      </c>
      <c r="AC206" s="1171">
        <f>IFERROR(AB206/$AB$44,0)</f>
        <v>0.00475966091908</v>
      </c>
      <c r="AD206" s="3662">
        <f>Z206*(1+$L$6)</f>
        <v>0.388873718537</v>
      </c>
      <c r="AF206" s="3586">
        <f>AH206*$AG$14</f>
        <v>10321.7973364</v>
      </c>
      <c r="AG206" s="1171">
        <f>IFERROR(AF206/$AF$44,0)</f>
        <v>0.00471299757674</v>
      </c>
      <c r="AH206" s="3662">
        <f>AD206*(1+$L$6)</f>
        <v>0.392762455722</v>
      </c>
      <c r="AJ206" s="3586">
        <f>AL206*$AK$14</f>
        <v>10425.0153097</v>
      </c>
      <c r="AK206" s="1171">
        <f>IFERROR(AJ206/$AJ$44,0)</f>
        <v>0.00466679171814</v>
      </c>
      <c r="AL206" s="3662">
        <f>AH206*(1+$L$6)</f>
        <v>0.39669008028</v>
      </c>
      <c r="AN206" s="3586">
        <f>AP206*$AO$14</f>
        <v>10529.2654628</v>
      </c>
      <c r="AO206" s="1171">
        <f>IFERROR(AN206/$AN$44,0)</f>
        <v>0.00462103885816</v>
      </c>
      <c r="AP206" s="3662">
        <f>AL206*(1+$L$6)</f>
        <v>0.400656981082</v>
      </c>
      <c r="AR206" s="3586">
        <f>AT206*$AS$14</f>
        <v>10634.5581175</v>
      </c>
      <c r="AS206" s="1171">
        <f>IFERROR(AR206/$AR$44,0)</f>
        <v>0.00457573455563</v>
      </c>
      <c r="AT206" s="3662">
        <f>AP206*(1+$L$6)</f>
        <v>0.404663550893</v>
      </c>
      <c r="AV206" s="3586">
        <f>AX206*$AW$14</f>
        <v>10740.9036986</v>
      </c>
      <c r="AW206" s="1171">
        <f>IFERROR(AV206/$AV$44,0)</f>
        <v>0.00462149190119</v>
      </c>
      <c r="AX206" s="3662">
        <f>AT206*(1+$L$6)</f>
        <v>0.408710186402</v>
      </c>
      <c r="AZ206" s="3586">
        <f>BB206*$BA$14</f>
        <v>10848.3127356</v>
      </c>
      <c r="BA206" s="1171">
        <f>IFERROR(AZ206/$AZ$44,0)</f>
        <v>0.0046677068202</v>
      </c>
      <c r="BB206" s="3662">
        <f>AX206*(1+$L$6)</f>
        <v>0.412797288266</v>
      </c>
      <c r="BD206" s="3586" t="n">
        <f t="array" ref="BD206">IFERROR($H206/12,0)</f>
        <v>618.9791666666666</v>
      </c>
      <c r="BE206" s="1171" t="n">
        <f t="array" ref="BE206">IFERROR($H206/$H$44,0)</f>
        <v>0.005</v>
      </c>
      <c r="BF206" s="3662" t="n">
        <f t="array" ref="BF206">IFERROR(($H206/12)/1650,0)</f>
        <v>0.37513888888888886</v>
      </c>
      <c r="BG206" s="1568" t="n"/>
    </row>
    <row r="207" s="1168" customFormat="1" ht="15" customHeight="1">
      <c r="A207" s="3445" t="n"/>
      <c r="B207" s="3538" t="n"/>
      <c r="C207" s="101" t="n"/>
      <c r="E207" s="3464" t="n"/>
      <c r="F207" s="1172" t="n"/>
      <c r="G207" s="1283" t="inlineStr">
        <is>
          <t xml:space="preserve">Painting &amp; Decorating</t>
        </is>
      </c>
      <c r="H207" s="3586">
        <f>J207*$I$14</f>
        <v>1485.55</v>
      </c>
      <c r="I207" s="1171">
        <f>IFERROR(H207/$H$44,0)</f>
        <v>0.001</v>
      </c>
      <c r="J207" s="3662">
        <v>0.074</v>
      </c>
      <c r="K207" s="1172" t="n"/>
      <c r="L207" s="3586">
        <f>N207*$M$14</f>
        <v>1773.2065</v>
      </c>
      <c r="M207" s="1171">
        <f>IFERROR(L207/$L$44,0)</f>
        <v>0.000990196078431</v>
      </c>
      <c r="N207" s="3662">
        <f>J207*(1+$L$6)</f>
        <v>0.07474</v>
      </c>
      <c r="P207" s="3586">
        <f>R207*$Q$14</f>
        <v>1983.808872</v>
      </c>
      <c r="Q207" s="1171">
        <f>IFERROR(P207/$P$44,0)</f>
        <v>0.000980488273741</v>
      </c>
      <c r="R207" s="3662">
        <f>N207*(1+$L$6)</f>
        <v>0.0754874</v>
      </c>
      <c r="T207" s="3586">
        <f>V207*$U$14</f>
        <v>2003.64696072</v>
      </c>
      <c r="U207" s="1171">
        <f>IFERROR(T207/$T$44,0)</f>
        <v>0.000970875643606</v>
      </c>
      <c r="V207" s="3662">
        <f>R207*(1+$L$6)</f>
        <v>0.076242274</v>
      </c>
      <c r="X207" s="3586">
        <f>Z207*$Y$14</f>
        <v>2023.68343033</v>
      </c>
      <c r="Y207" s="1171">
        <f>IFERROR(X207/$X$44,0)</f>
        <v>0.000961357254943</v>
      </c>
      <c r="Z207" s="3662">
        <f>V207*(1+$L$6)</f>
        <v>0.07700469674</v>
      </c>
      <c r="AB207" s="3586">
        <f>AD207*$AC$14</f>
        <v>2043.92026463</v>
      </c>
      <c r="AC207" s="1171">
        <f>IFERROR(AB207/$AB$44,0)</f>
        <v>0.000951932183816</v>
      </c>
      <c r="AD207" s="3662">
        <f>Z207*(1+$L$6)</f>
        <v>0.0777747437074</v>
      </c>
      <c r="AF207" s="3586">
        <f>AH207*$AG$14</f>
        <v>2064.35946728</v>
      </c>
      <c r="AG207" s="1171">
        <f>IFERROR(AF207/$AF$44,0)</f>
        <v>0.000942599515348</v>
      </c>
      <c r="AH207" s="3662">
        <f>AD207*(1+$L$6)</f>
        <v>0.0785524911445</v>
      </c>
      <c r="AJ207" s="3586">
        <f>AL207*$AK$14</f>
        <v>2085.00306195</v>
      </c>
      <c r="AK207" s="1171">
        <f>IFERROR(AJ207/$AJ$44,0)</f>
        <v>0.000933358343629</v>
      </c>
      <c r="AL207" s="3662">
        <f>AH207*(1+$L$6)</f>
        <v>0.0793380160559</v>
      </c>
      <c r="AN207" s="3586">
        <f>AP207*$AO$14</f>
        <v>2105.85309257</v>
      </c>
      <c r="AO207" s="1171">
        <f>IFERROR(AN207/$AN$44,0)</f>
        <v>0.000924207771632</v>
      </c>
      <c r="AP207" s="3662">
        <f>AL207*(1+$L$6)</f>
        <v>0.0801313962165</v>
      </c>
      <c r="AR207" s="3586">
        <f>AT207*$AS$14</f>
        <v>2126.91162349</v>
      </c>
      <c r="AS207" s="1171">
        <f>IFERROR(AR207/$AR$44,0)</f>
        <v>0.000915146911126</v>
      </c>
      <c r="AT207" s="3662">
        <f>AP207*(1+$L$6)</f>
        <v>0.0809327101786</v>
      </c>
      <c r="AV207" s="3586">
        <f>AX207*$AW$14</f>
        <v>2148.18073973</v>
      </c>
      <c r="AW207" s="1171">
        <f>IFERROR(AV207/$AV$44,0)</f>
        <v>0.000924298380237</v>
      </c>
      <c r="AX207" s="3662">
        <f>AT207*(1+$L$6)</f>
        <v>0.0817420372804</v>
      </c>
      <c r="AZ207" s="3586">
        <f>BB207*$BA$14</f>
        <v>2169.66254713</v>
      </c>
      <c r="BA207" s="1171">
        <f>IFERROR(AZ207/$AZ$44,0)</f>
        <v>0.00093354136404</v>
      </c>
      <c r="BB207" s="3662">
        <f>AX207*(1+$L$6)</f>
        <v>0.0825594576532</v>
      </c>
      <c r="BD207" s="3586" t="n">
        <f t="array" ref="BD207">IFERROR($H207/12,0)</f>
        <v>123.79583333333333</v>
      </c>
      <c r="BE207" s="1171" t="n">
        <f t="array" ref="BE207">IFERROR($H207/$H$44,0)</f>
        <v>0.001</v>
      </c>
      <c r="BF207" s="3662" t="n">
        <f t="array" ref="BF207">IFERROR(($H207/12)/1650,0)</f>
        <v>0.07502777777777778</v>
      </c>
      <c r="BG207" s="1568" t="n"/>
    </row>
    <row r="208" s="1168" customFormat="1" ht="15" customHeight="1">
      <c r="A208" s="3445" t="n"/>
      <c r="B208" s="3538" t="n"/>
      <c r="C208" s="101" t="n"/>
      <c r="E208" s="3464" t="n"/>
      <c r="F208" s="1172" t="n"/>
      <c r="G208" s="1283" t="inlineStr">
        <is>
          <t xml:space="preserve">Plumbing &amp; Heating</t>
        </is>
      </c>
      <c r="H208" s="3586">
        <f>J208*$I$14</f>
        <v>1485.55</v>
      </c>
      <c r="I208" s="1171">
        <f>IFERROR(H208/$H$44,0)</f>
        <v>0.001</v>
      </c>
      <c r="J208" s="3662">
        <v>0.074</v>
      </c>
      <c r="K208" s="1172" t="n"/>
      <c r="L208" s="3586">
        <f>N208*$M$14</f>
        <v>1773.2065</v>
      </c>
      <c r="M208" s="1171">
        <f>IFERROR(L208/$L$44,0)</f>
        <v>0.000990196078431</v>
      </c>
      <c r="N208" s="3662">
        <f>J208*(1+$L$6)</f>
        <v>0.07474</v>
      </c>
      <c r="P208" s="3586">
        <f>R208*$Q$14</f>
        <v>1983.808872</v>
      </c>
      <c r="Q208" s="1171">
        <f>IFERROR(P208/$P$44,0)</f>
        <v>0.000980488273741</v>
      </c>
      <c r="R208" s="3662">
        <f>N208*(1+$L$6)</f>
        <v>0.0754874</v>
      </c>
      <c r="T208" s="3586">
        <f>V208*$U$14</f>
        <v>2003.64696072</v>
      </c>
      <c r="U208" s="1171">
        <f>IFERROR(T208/$T$44,0)</f>
        <v>0.000970875643606</v>
      </c>
      <c r="V208" s="3662">
        <f>R208*(1+$L$6)</f>
        <v>0.076242274</v>
      </c>
      <c r="X208" s="3586">
        <f>Z208*$Y$14</f>
        <v>2023.68343033</v>
      </c>
      <c r="Y208" s="1171">
        <f>IFERROR(X208/$X$44,0)</f>
        <v>0.000961357254943</v>
      </c>
      <c r="Z208" s="3662">
        <f>V208*(1+$L$6)</f>
        <v>0.07700469674</v>
      </c>
      <c r="AB208" s="3586">
        <f>AD208*$AC$14</f>
        <v>2043.92026463</v>
      </c>
      <c r="AC208" s="1171">
        <f>IFERROR(AB208/$AB$44,0)</f>
        <v>0.000951932183816</v>
      </c>
      <c r="AD208" s="3662">
        <f>Z208*(1+$L$6)</f>
        <v>0.0777747437074</v>
      </c>
      <c r="AF208" s="3586">
        <f>AH208*$AG$14</f>
        <v>2064.35946728</v>
      </c>
      <c r="AG208" s="1171">
        <f>IFERROR(AF208/$AF$44,0)</f>
        <v>0.000942599515348</v>
      </c>
      <c r="AH208" s="3662">
        <f>AD208*(1+$L$6)</f>
        <v>0.0785524911445</v>
      </c>
      <c r="AJ208" s="3586">
        <f>AL208*$AK$14</f>
        <v>2085.00306195</v>
      </c>
      <c r="AK208" s="1171">
        <f>IFERROR(AJ208/$AJ$44,0)</f>
        <v>0.000933358343629</v>
      </c>
      <c r="AL208" s="3662">
        <f>AH208*(1+$L$6)</f>
        <v>0.0793380160559</v>
      </c>
      <c r="AN208" s="3586">
        <f>AP208*$AO$14</f>
        <v>2105.85309257</v>
      </c>
      <c r="AO208" s="1171">
        <f>IFERROR(AN208/$AN$44,0)</f>
        <v>0.000924207771632</v>
      </c>
      <c r="AP208" s="3662">
        <f>AL208*(1+$L$6)</f>
        <v>0.0801313962165</v>
      </c>
      <c r="AR208" s="3586">
        <f>AT208*$AS$14</f>
        <v>2126.91162349</v>
      </c>
      <c r="AS208" s="1171">
        <f>IFERROR(AR208/$AR$44,0)</f>
        <v>0.000915146911126</v>
      </c>
      <c r="AT208" s="3662">
        <f>AP208*(1+$L$6)</f>
        <v>0.0809327101786</v>
      </c>
      <c r="AV208" s="3586">
        <f>AX208*$AW$14</f>
        <v>2148.18073973</v>
      </c>
      <c r="AW208" s="1171">
        <f>IFERROR(AV208/$AV$44,0)</f>
        <v>0.000924298380237</v>
      </c>
      <c r="AX208" s="3662">
        <f>AT208*(1+$L$6)</f>
        <v>0.0817420372804</v>
      </c>
      <c r="AZ208" s="3586">
        <f>BB208*$BA$14</f>
        <v>2169.66254713</v>
      </c>
      <c r="BA208" s="1171">
        <f>IFERROR(AZ208/$AZ$44,0)</f>
        <v>0.00093354136404</v>
      </c>
      <c r="BB208" s="3662">
        <f>AX208*(1+$L$6)</f>
        <v>0.0825594576532</v>
      </c>
      <c r="BD208" s="3586" t="n">
        <f t="array" ref="BD208">IFERROR($H208/12,0)</f>
        <v>123.79583333333333</v>
      </c>
      <c r="BE208" s="1171" t="n">
        <f t="array" ref="BE208">IFERROR($H208/$H$44,0)</f>
        <v>0.001</v>
      </c>
      <c r="BF208" s="3662" t="n">
        <f t="array" ref="BF208">IFERROR(($H208/12)/1650,0)</f>
        <v>0.07502777777777778</v>
      </c>
      <c r="BG208" s="1568" t="n"/>
    </row>
    <row r="209" s="1168" customFormat="1" ht="15" customHeight="1">
      <c r="A209" s="3445" t="n"/>
      <c r="B209" s="3538" t="n"/>
      <c r="C209" s="101" t="n"/>
      <c r="E209" s="3464" t="n"/>
      <c r="F209" s="1172" t="n"/>
      <c r="G209" s="1283" t="inlineStr">
        <is>
          <t xml:space="preserve">Sign Repair</t>
        </is>
      </c>
      <c r="H209" s="3586">
        <f>J209*$I$14</f>
        <v>0</v>
      </c>
      <c r="I209" s="1171">
        <f>IFERROR(H209/$H$44,0)</f>
        <v>0</v>
      </c>
      <c r="J209" s="3662">
        <v>0</v>
      </c>
      <c r="K209" s="1172" t="n"/>
      <c r="L209" s="3586">
        <f>N209*$M$14</f>
        <v>0</v>
      </c>
      <c r="M209" s="1171">
        <f>IFERROR(L209/$L$44,0)</f>
        <v>0</v>
      </c>
      <c r="N209" s="3662">
        <f>J209*(1+$L$6)</f>
        <v>0</v>
      </c>
      <c r="P209" s="3586">
        <f>R209*$Q$14</f>
        <v>0</v>
      </c>
      <c r="Q209" s="1171">
        <f>IFERROR(P209/$P$44,0)</f>
        <v>0</v>
      </c>
      <c r="R209" s="3662">
        <f>N209*(1+$L$6)</f>
        <v>0</v>
      </c>
      <c r="T209" s="3586">
        <f>V209*$U$14</f>
        <v>0</v>
      </c>
      <c r="U209" s="1171">
        <f>IFERROR(T209/$T$44,0)</f>
        <v>0</v>
      </c>
      <c r="V209" s="3662">
        <f>R209*(1+$L$6)</f>
        <v>0</v>
      </c>
      <c r="X209" s="3586">
        <f>Z209*$Y$14</f>
        <v>0</v>
      </c>
      <c r="Y209" s="1171">
        <f>IFERROR(X209/$X$44,0)</f>
        <v>0</v>
      </c>
      <c r="Z209" s="3662">
        <f>V209*(1+$L$6)</f>
        <v>0</v>
      </c>
      <c r="AB209" s="3586">
        <f>AD209*$AC$14</f>
        <v>0</v>
      </c>
      <c r="AC209" s="1171">
        <f>IFERROR(AB209/$AB$44,0)</f>
        <v>0</v>
      </c>
      <c r="AD209" s="3662">
        <f>Z209*(1+$L$6)</f>
        <v>0</v>
      </c>
      <c r="AF209" s="3586">
        <f>AH209*$AG$14</f>
        <v>0</v>
      </c>
      <c r="AG209" s="1171">
        <f>IFERROR(AF209/$AF$44,0)</f>
        <v>0</v>
      </c>
      <c r="AH209" s="3662">
        <f>AD209*(1+$L$6)</f>
        <v>0</v>
      </c>
      <c r="AJ209" s="3586">
        <f>AL209*$AK$14</f>
        <v>0</v>
      </c>
      <c r="AK209" s="1171">
        <f>IFERROR(AJ209/$AJ$44,0)</f>
        <v>0</v>
      </c>
      <c r="AL209" s="3662">
        <f>AH209*(1+$L$6)</f>
        <v>0</v>
      </c>
      <c r="AN209" s="3586">
        <f>AP209*$AO$14</f>
        <v>0</v>
      </c>
      <c r="AO209" s="1171">
        <f>IFERROR(AN209/$AN$44,0)</f>
        <v>0</v>
      </c>
      <c r="AP209" s="3662">
        <f>AL209*(1+$L$6)</f>
        <v>0</v>
      </c>
      <c r="AR209" s="3586">
        <f>AT209*$AS$14</f>
        <v>0</v>
      </c>
      <c r="AS209" s="1171">
        <f>IFERROR(AR209/$AR$44,0)</f>
        <v>0</v>
      </c>
      <c r="AT209" s="3662">
        <f>AP209*(1+$L$6)</f>
        <v>0</v>
      </c>
      <c r="AV209" s="3586">
        <f>AX209*$AW$14</f>
        <v>0</v>
      </c>
      <c r="AW209" s="1171">
        <f>IFERROR(AV209/$AV$44,0)</f>
        <v>0</v>
      </c>
      <c r="AX209" s="3662">
        <f>AT209*(1+$L$6)</f>
        <v>0</v>
      </c>
      <c r="AZ209" s="3586">
        <f>BB209*$BA$14</f>
        <v>0</v>
      </c>
      <c r="BA209" s="1171">
        <f>IFERROR(AZ209/$AZ$44,0)</f>
        <v>0</v>
      </c>
      <c r="BB209" s="3662">
        <f>AX209*(1+$L$6)</f>
        <v>0</v>
      </c>
      <c r="BD209" s="3586" t="n">
        <f t="array" ref="BD209">IFERROR($H209/12,0)</f>
        <v>0</v>
      </c>
      <c r="BE209" s="1171" t="n">
        <f t="array" ref="BE209">IFERROR($H209/$H$44,0)</f>
        <v>0</v>
      </c>
      <c r="BF209" s="3662" t="n">
        <f t="array" ref="BF209">IFERROR(($H209/12)/1650,0)</f>
        <v>0</v>
      </c>
      <c r="BG209" s="1568" t="n"/>
    </row>
    <row r="210" s="1168" customFormat="1" ht="15" customHeight="1">
      <c r="A210" s="3445" t="n"/>
      <c r="B210" s="3538" t="n"/>
      <c r="C210" s="101" t="n"/>
      <c r="E210" s="3464" t="n"/>
      <c r="F210" s="1172" t="n"/>
      <c r="G210" s="1283" t="inlineStr">
        <is>
          <t xml:space="preserve">Laundry Repair</t>
        </is>
      </c>
      <c r="H210" s="3586">
        <f>J210*$I$14</f>
        <v>0</v>
      </c>
      <c r="I210" s="1171">
        <f>IFERROR(H210/$H$44,0)</f>
        <v>0</v>
      </c>
      <c r="J210" s="3662">
        <v>0</v>
      </c>
      <c r="K210" s="1172" t="n"/>
      <c r="L210" s="3586">
        <f>N210*$M$14</f>
        <v>0</v>
      </c>
      <c r="M210" s="1171">
        <f>IFERROR(L210/$L$44,0)</f>
        <v>0</v>
      </c>
      <c r="N210" s="3662">
        <f>J210*(1+$L$6)</f>
        <v>0</v>
      </c>
      <c r="P210" s="3586">
        <f>R210*$Q$14</f>
        <v>0</v>
      </c>
      <c r="Q210" s="1171">
        <f>IFERROR(P210/$P$44,0)</f>
        <v>0</v>
      </c>
      <c r="R210" s="3662">
        <f>N210*(1+$L$6)</f>
        <v>0</v>
      </c>
      <c r="T210" s="3586">
        <f>V210*$U$14</f>
        <v>0</v>
      </c>
      <c r="U210" s="1171">
        <f>IFERROR(T210/$T$44,0)</f>
        <v>0</v>
      </c>
      <c r="V210" s="3662">
        <f>R210*(1+$L$6)</f>
        <v>0</v>
      </c>
      <c r="X210" s="3586">
        <f>Z210*$Y$14</f>
        <v>0</v>
      </c>
      <c r="Y210" s="1171">
        <f>IFERROR(X210/$X$44,0)</f>
        <v>0</v>
      </c>
      <c r="Z210" s="3662">
        <f>V210*(1+$L$6)</f>
        <v>0</v>
      </c>
      <c r="AB210" s="3586">
        <f>AD210*$AC$14</f>
        <v>0</v>
      </c>
      <c r="AC210" s="1171">
        <f>IFERROR(AB210/$AB$44,0)</f>
        <v>0</v>
      </c>
      <c r="AD210" s="3662">
        <f>Z210*(1+$L$6)</f>
        <v>0</v>
      </c>
      <c r="AF210" s="3586">
        <f>AH210*$AG$14</f>
        <v>0</v>
      </c>
      <c r="AG210" s="1171">
        <f>IFERROR(AF210/$AF$44,0)</f>
        <v>0</v>
      </c>
      <c r="AH210" s="3662">
        <f>AD210*(1+$L$6)</f>
        <v>0</v>
      </c>
      <c r="AJ210" s="3586">
        <f>AL210*$AK$14</f>
        <v>0</v>
      </c>
      <c r="AK210" s="1171">
        <f>IFERROR(AJ210/$AJ$44,0)</f>
        <v>0</v>
      </c>
      <c r="AL210" s="3662">
        <f>AH210*(1+$L$6)</f>
        <v>0</v>
      </c>
      <c r="AN210" s="3586">
        <f>AP210*$AO$14</f>
        <v>0</v>
      </c>
      <c r="AO210" s="1171">
        <f>IFERROR(AN210/$AN$44,0)</f>
        <v>0</v>
      </c>
      <c r="AP210" s="3662">
        <f>AL210*(1+$L$6)</f>
        <v>0</v>
      </c>
      <c r="AR210" s="3586">
        <f>AT210*$AS$14</f>
        <v>0</v>
      </c>
      <c r="AS210" s="1171">
        <f>IFERROR(AR210/$AR$44,0)</f>
        <v>0</v>
      </c>
      <c r="AT210" s="3662">
        <f>AP210*(1+$L$6)</f>
        <v>0</v>
      </c>
      <c r="AV210" s="3586">
        <f>AX210*$AW$14</f>
        <v>0</v>
      </c>
      <c r="AW210" s="1171">
        <f>IFERROR(AV210/$AV$44,0)</f>
        <v>0</v>
      </c>
      <c r="AX210" s="3662">
        <f>AT210*(1+$L$6)</f>
        <v>0</v>
      </c>
      <c r="AZ210" s="3586">
        <f>BB210*$BA$14</f>
        <v>0</v>
      </c>
      <c r="BA210" s="1171">
        <f>IFERROR(AZ210/$AZ$44,0)</f>
        <v>0</v>
      </c>
      <c r="BB210" s="3662">
        <f>AX210*(1+$L$6)</f>
        <v>0</v>
      </c>
      <c r="BD210" s="3586" t="n">
        <f t="array" ref="BD210">IFERROR($H210/12,0)</f>
        <v>0</v>
      </c>
      <c r="BE210" s="1171" t="n">
        <f t="array" ref="BE210">IFERROR($H210/$H$44,0)</f>
        <v>0</v>
      </c>
      <c r="BF210" s="3662" t="n">
        <f t="array" ref="BF210">IFERROR(($H210/12)/1650,0)</f>
        <v>0</v>
      </c>
      <c r="BG210" s="1568" t="n"/>
    </row>
    <row r="211" s="1168" customFormat="1" ht="15" customHeight="1">
      <c r="A211" s="3445" t="n"/>
      <c r="B211" s="3538" t="n"/>
      <c r="C211" s="101" t="n"/>
      <c r="E211" s="3464" t="n"/>
      <c r="F211" s="1172" t="n"/>
      <c r="G211" s="1283" t="inlineStr">
        <is>
          <t xml:space="preserve">Swimming Pool</t>
        </is>
      </c>
      <c r="H211" s="3586">
        <f>J211*$I$14</f>
        <v>0</v>
      </c>
      <c r="I211" s="1171">
        <f>IFERROR(H211/$H$44,0)</f>
        <v>0</v>
      </c>
      <c r="J211" s="3662">
        <v>0</v>
      </c>
      <c r="K211" s="1172" t="n"/>
      <c r="L211" s="3586">
        <f>N211*$M$14</f>
        <v>0</v>
      </c>
      <c r="M211" s="1171">
        <f>IFERROR(L211/$L$44,0)</f>
        <v>0</v>
      </c>
      <c r="N211" s="3662">
        <f>J211*(1+$L$6)</f>
        <v>0</v>
      </c>
      <c r="P211" s="3586">
        <f>R211*$Q$14</f>
        <v>0</v>
      </c>
      <c r="Q211" s="1171">
        <f>IFERROR(P211/$P$44,0)</f>
        <v>0</v>
      </c>
      <c r="R211" s="3662">
        <f>N211*(1+$L$6)</f>
        <v>0</v>
      </c>
      <c r="T211" s="3586">
        <f>V211*$U$14</f>
        <v>0</v>
      </c>
      <c r="U211" s="1171">
        <f>IFERROR(T211/$T$44,0)</f>
        <v>0</v>
      </c>
      <c r="V211" s="3662">
        <f>R211*(1+$L$6)</f>
        <v>0</v>
      </c>
      <c r="X211" s="3586">
        <f>Z211*$Y$14</f>
        <v>0</v>
      </c>
      <c r="Y211" s="1171">
        <f>IFERROR(X211/$X$44,0)</f>
        <v>0</v>
      </c>
      <c r="Z211" s="3662">
        <f>V211*(1+$L$6)</f>
        <v>0</v>
      </c>
      <c r="AB211" s="3586">
        <f>AD211*$AC$14</f>
        <v>0</v>
      </c>
      <c r="AC211" s="1171">
        <f>IFERROR(AB211/$AB$44,0)</f>
        <v>0</v>
      </c>
      <c r="AD211" s="3662">
        <f>Z211*(1+$L$6)</f>
        <v>0</v>
      </c>
      <c r="AF211" s="3586">
        <f>AH211*$AG$14</f>
        <v>0</v>
      </c>
      <c r="AG211" s="1171">
        <f>IFERROR(AF211/$AF$44,0)</f>
        <v>0</v>
      </c>
      <c r="AH211" s="3662">
        <f>AD211*(1+$L$6)</f>
        <v>0</v>
      </c>
      <c r="AJ211" s="3586">
        <f>AL211*$AK$14</f>
        <v>0</v>
      </c>
      <c r="AK211" s="1171">
        <f>IFERROR(AJ211/$AJ$44,0)</f>
        <v>0</v>
      </c>
      <c r="AL211" s="3662">
        <f>AH211*(1+$L$6)</f>
        <v>0</v>
      </c>
      <c r="AN211" s="3586">
        <f>AP211*$AO$14</f>
        <v>0</v>
      </c>
      <c r="AO211" s="1171">
        <f>IFERROR(AN211/$AN$44,0)</f>
        <v>0</v>
      </c>
      <c r="AP211" s="3662">
        <f>AL211*(1+$L$6)</f>
        <v>0</v>
      </c>
      <c r="AR211" s="3586">
        <f>AT211*$AS$14</f>
        <v>0</v>
      </c>
      <c r="AS211" s="1171">
        <f>IFERROR(AR211/$AR$44,0)</f>
        <v>0</v>
      </c>
      <c r="AT211" s="3662">
        <f>AP211*(1+$L$6)</f>
        <v>0</v>
      </c>
      <c r="AV211" s="3586">
        <f>AX211*$AW$14</f>
        <v>0</v>
      </c>
      <c r="AW211" s="1171">
        <f>IFERROR(AV211/$AV$44,0)</f>
        <v>0</v>
      </c>
      <c r="AX211" s="3662">
        <f>AT211*(1+$L$6)</f>
        <v>0</v>
      </c>
      <c r="AZ211" s="3586">
        <f>BB211*$BA$14</f>
        <v>0</v>
      </c>
      <c r="BA211" s="1171">
        <f>IFERROR(AZ211/$AZ$44,0)</f>
        <v>0</v>
      </c>
      <c r="BB211" s="3662">
        <f>AX211*(1+$L$6)</f>
        <v>0</v>
      </c>
      <c r="BD211" s="3586" t="n">
        <f t="array" ref="BD211">IFERROR($H211/12,0)</f>
        <v>0</v>
      </c>
      <c r="BE211" s="1171" t="n">
        <f t="array" ref="BE211">IFERROR($H211/$H$44,0)</f>
        <v>0</v>
      </c>
      <c r="BF211" s="3662" t="n">
        <f t="array" ref="BF211">IFERROR(($H211/12)/1650,0)</f>
        <v>0</v>
      </c>
      <c r="BG211" s="1568" t="n"/>
    </row>
    <row r="212" s="1168" customFormat="1" ht="15" customHeight="1">
      <c r="A212" s="3445" t="n"/>
      <c r="B212" s="3538" t="n"/>
      <c r="C212" s="101" t="n"/>
      <c r="E212" s="3464" t="n"/>
      <c r="F212" s="1172" t="n"/>
      <c r="G212" s="1283" t="inlineStr">
        <is>
          <t xml:space="preserve">Grounds Maintenance</t>
        </is>
      </c>
      <c r="H212" s="3586">
        <f>J212*$I$14</f>
        <v>3713.875</v>
      </c>
      <c r="I212" s="1171">
        <f>IFERROR(H212/$H$44,0)</f>
        <v>0.0025</v>
      </c>
      <c r="J212" s="3662">
        <v>0.185</v>
      </c>
      <c r="K212" s="1172" t="n"/>
      <c r="L212" s="3586">
        <f>N212*$M$14</f>
        <v>4433.01625</v>
      </c>
      <c r="M212" s="1171">
        <f>IFERROR(L212/$L$44,0)</f>
        <v>0.00247549019608</v>
      </c>
      <c r="N212" s="3662">
        <f>J212*(1+$L$6)</f>
        <v>0.18685</v>
      </c>
      <c r="P212" s="3586">
        <f>R212*$Q$14</f>
        <v>4959.52218</v>
      </c>
      <c r="Q212" s="1171">
        <f>IFERROR(P212/$P$44,0)</f>
        <v>0.00245122068435</v>
      </c>
      <c r="R212" s="3662">
        <f>N212*(1+$L$6)</f>
        <v>0.1887185</v>
      </c>
      <c r="T212" s="3586">
        <f>V212*$U$14</f>
        <v>5009.1174018</v>
      </c>
      <c r="U212" s="1171">
        <f>IFERROR(T212/$T$44,0)</f>
        <v>0.00242718910902</v>
      </c>
      <c r="V212" s="3662">
        <f>R212*(1+$L$6)</f>
        <v>0.190605685</v>
      </c>
      <c r="X212" s="3586">
        <f>Z212*$Y$14</f>
        <v>5059.20857582</v>
      </c>
      <c r="Y212" s="1171">
        <f>IFERROR(X212/$X$44,0)</f>
        <v>0.00240339313736</v>
      </c>
      <c r="Z212" s="3662">
        <f>V212*(1+$L$6)</f>
        <v>0.19251174185</v>
      </c>
      <c r="AB212" s="3586">
        <f>AD212*$AC$14</f>
        <v>5109.80066158</v>
      </c>
      <c r="AC212" s="1171">
        <f>IFERROR(AB212/$AB$44,0)</f>
        <v>0.00237983045954</v>
      </c>
      <c r="AD212" s="3662">
        <f>Z212*(1+$L$6)</f>
        <v>0.194436859269</v>
      </c>
      <c r="AF212" s="3586">
        <f>AH212*$AG$14</f>
        <v>5160.89866819</v>
      </c>
      <c r="AG212" s="1171">
        <f>IFERROR(AF212/$AF$44,0)</f>
        <v>0.00235649878837</v>
      </c>
      <c r="AH212" s="3662">
        <f>AD212*(1+$L$6)</f>
        <v>0.196381227861</v>
      </c>
      <c r="AJ212" s="3586">
        <f>AL212*$AK$14</f>
        <v>5212.50765487</v>
      </c>
      <c r="AK212" s="1171">
        <f>IFERROR(AJ212/$AJ$44,0)</f>
        <v>0.00233339585907</v>
      </c>
      <c r="AL212" s="3662">
        <f>AH212*(1+$L$6)</f>
        <v>0.19834504014</v>
      </c>
      <c r="AN212" s="3586">
        <f>AP212*$AO$14</f>
        <v>5264.63273142</v>
      </c>
      <c r="AO212" s="1171">
        <f>IFERROR(AN212/$AN$44,0)</f>
        <v>0.00231051942908</v>
      </c>
      <c r="AP212" s="3662">
        <f>AL212*(1+$L$6)</f>
        <v>0.200328490541</v>
      </c>
      <c r="AR212" s="3586">
        <f>AT212*$AS$14</f>
        <v>5317.27905874</v>
      </c>
      <c r="AS212" s="1171">
        <f>IFERROR(AR212/$AR$44,0)</f>
        <v>0.00228786727782</v>
      </c>
      <c r="AT212" s="3662">
        <f>AP212*(1+$L$6)</f>
        <v>0.202331775447</v>
      </c>
      <c r="AV212" s="3586">
        <f>AX212*$AW$14</f>
        <v>5370.45184932</v>
      </c>
      <c r="AW212" s="1171">
        <f>IFERROR(AV212/$AV$44,0)</f>
        <v>0.00231074595059</v>
      </c>
      <c r="AX212" s="3662">
        <f>AT212*(1+$L$6)</f>
        <v>0.204355093201</v>
      </c>
      <c r="AZ212" s="3586">
        <f>BB212*$BA$14</f>
        <v>5424.15636782</v>
      </c>
      <c r="BA212" s="1171">
        <f>IFERROR(AZ212/$AZ$44,0)</f>
        <v>0.0023338534101</v>
      </c>
      <c r="BB212" s="3662">
        <f>AX212*(1+$L$6)</f>
        <v>0.206398644133</v>
      </c>
      <c r="BD212" s="3586" t="n">
        <f t="array" ref="BD212">IFERROR($H212/12,0)</f>
        <v>309.4895833333333</v>
      </c>
      <c r="BE212" s="1171" t="n">
        <f t="array" ref="BE212">IFERROR($H212/$H$44,0)</f>
        <v>0.0025</v>
      </c>
      <c r="BF212" s="3662" t="n">
        <f t="array" ref="BF212">IFERROR(($H212/12)/1650,0)</f>
        <v>0.18756944444444443</v>
      </c>
      <c r="BG212" s="1568" t="n"/>
    </row>
    <row r="213" s="1168" customFormat="1" ht="15" customHeight="1">
      <c r="A213" s="3445" t="n"/>
      <c r="B213" s="3538" t="n"/>
      <c r="C213" s="101" t="n"/>
      <c r="E213" s="3464" t="n"/>
      <c r="F213" s="1172" t="n"/>
      <c r="G213" s="1283" t="inlineStr">
        <is>
          <t xml:space="preserve">Radio's &amp; Televisons</t>
        </is>
      </c>
      <c r="H213" s="3586">
        <f>J213*$I$14</f>
        <v>742.775</v>
      </c>
      <c r="I213" s="1171">
        <f>IFERROR(H213/$H$44,0)</f>
        <v>0.0005</v>
      </c>
      <c r="J213" s="3662">
        <v>0.037</v>
      </c>
      <c r="K213" s="1172" t="n"/>
      <c r="L213" s="3586">
        <f>N213*$M$14</f>
        <v>886.60325</v>
      </c>
      <c r="M213" s="1171">
        <f>IFERROR(L213/$L$44,0)</f>
        <v>0.000495098039216</v>
      </c>
      <c r="N213" s="3662">
        <f>J213*(1+$L$6)</f>
        <v>0.03737</v>
      </c>
      <c r="P213" s="3586">
        <f>R213*$Q$14</f>
        <v>991.904436</v>
      </c>
      <c r="Q213" s="1171">
        <f>IFERROR(P213/$P$44,0)</f>
        <v>0.00049024413687</v>
      </c>
      <c r="R213" s="3662">
        <f>N213*(1+$L$6)</f>
        <v>0.0377437</v>
      </c>
      <c r="T213" s="3586">
        <f>V213*$U$14</f>
        <v>1001.82348036</v>
      </c>
      <c r="U213" s="1171">
        <f>IFERROR(T213/$T$44,0)</f>
        <v>0.000485437821803</v>
      </c>
      <c r="V213" s="3662">
        <f>R213*(1+$L$6)</f>
        <v>0.038121137</v>
      </c>
      <c r="X213" s="3586">
        <f>Z213*$Y$14</f>
        <v>1011.84171516</v>
      </c>
      <c r="Y213" s="1171">
        <f>IFERROR(X213/$X$44,0)</f>
        <v>0.000480678627472</v>
      </c>
      <c r="Z213" s="3662">
        <f>V213*(1+$L$6)</f>
        <v>0.03850234837</v>
      </c>
      <c r="AB213" s="3586">
        <f>AD213*$AC$14</f>
        <v>1021.96013232</v>
      </c>
      <c r="AC213" s="1171">
        <f>IFERROR(AB213/$AB$44,0)</f>
        <v>0.000475966091908</v>
      </c>
      <c r="AD213" s="3662">
        <f>Z213*(1+$L$6)</f>
        <v>0.0388873718537</v>
      </c>
      <c r="AF213" s="3586">
        <f>AH213*$AG$14</f>
        <v>1032.17973364</v>
      </c>
      <c r="AG213" s="1171">
        <f>IFERROR(AF213/$AF$44,0)</f>
        <v>0.000471299757674</v>
      </c>
      <c r="AH213" s="3662">
        <f>AD213*(1+$L$6)</f>
        <v>0.0392762455722</v>
      </c>
      <c r="AJ213" s="3586">
        <f>AL213*$AK$14</f>
        <v>1042.50153097</v>
      </c>
      <c r="AK213" s="1171">
        <f>IFERROR(AJ213/$AJ$44,0)</f>
        <v>0.000466679171814</v>
      </c>
      <c r="AL213" s="3662">
        <f>AH213*(1+$L$6)</f>
        <v>0.039669008028</v>
      </c>
      <c r="AN213" s="3586">
        <f>AP213*$AO$14</f>
        <v>1052.92654628</v>
      </c>
      <c r="AO213" s="1171">
        <f>IFERROR(AN213/$AN$44,0)</f>
        <v>0.000462103885816</v>
      </c>
      <c r="AP213" s="3662">
        <f>AL213*(1+$L$6)</f>
        <v>0.0400656981082</v>
      </c>
      <c r="AR213" s="3586">
        <f>AT213*$AS$14</f>
        <v>1063.45581175</v>
      </c>
      <c r="AS213" s="1171">
        <f>IFERROR(AR213/$AR$44,0)</f>
        <v>0.000457573455563</v>
      </c>
      <c r="AT213" s="3662">
        <f>AP213*(1+$L$6)</f>
        <v>0.0404663550893</v>
      </c>
      <c r="AV213" s="3586">
        <f>AX213*$AW$14</f>
        <v>1074.09036986</v>
      </c>
      <c r="AW213" s="1171">
        <f>IFERROR(AV213/$AV$44,0)</f>
        <v>0.000462149190119</v>
      </c>
      <c r="AX213" s="3662">
        <f>AT213*(1+$L$6)</f>
        <v>0.0408710186402</v>
      </c>
      <c r="AZ213" s="3586">
        <f>BB213*$BA$14</f>
        <v>1084.83127356</v>
      </c>
      <c r="BA213" s="1171">
        <f>IFERROR(AZ213/$AZ$44,0)</f>
        <v>0.00046677068202</v>
      </c>
      <c r="BB213" s="3662">
        <f>AX213*(1+$L$6)</f>
        <v>0.0412797288266</v>
      </c>
      <c r="BD213" s="3586" t="n">
        <f t="array" ref="BD213">IFERROR($H213/12,0)</f>
        <v>61.89791666666667</v>
      </c>
      <c r="BE213" s="1171" t="n">
        <f t="array" ref="BE213">IFERROR($H213/$H$44,0)</f>
        <v>0.0005</v>
      </c>
      <c r="BF213" s="3662" t="n">
        <f t="array" ref="BF213">IFERROR(($H213/12)/1650,0)</f>
        <v>0.03751388888888889</v>
      </c>
      <c r="BG213" s="1568" t="n"/>
    </row>
    <row r="214" s="1168" customFormat="1" ht="15" customHeight="1">
      <c r="A214" s="3445" t="n"/>
      <c r="B214" s="3538" t="n"/>
      <c r="C214" s="101" t="n"/>
      <c r="E214" s="3464" t="n"/>
      <c r="F214" s="1172" t="n"/>
      <c r="G214" s="1325" t="inlineStr">
        <is>
          <t xml:space="preserve">Light Bulbs</t>
        </is>
      </c>
      <c r="H214" s="3620">
        <f>J214*$I$14</f>
        <v>1485.55</v>
      </c>
      <c r="I214" s="1429">
        <f>IFERROR(H214/$H$44,0)</f>
        <v>0.001</v>
      </c>
      <c r="J214" s="3667">
        <v>0.074</v>
      </c>
      <c r="K214" s="1172" t="n"/>
      <c r="L214" s="3620">
        <f>N214*$M$14</f>
        <v>1773.2065</v>
      </c>
      <c r="M214" s="1429">
        <f>IFERROR(L214/$L$44,0)</f>
        <v>0.000990196078431</v>
      </c>
      <c r="N214" s="3667">
        <f>J214*(1+$L$6)</f>
        <v>0.07474</v>
      </c>
      <c r="P214" s="3620">
        <f>R214*$Q$14</f>
        <v>1983.808872</v>
      </c>
      <c r="Q214" s="1429">
        <f>IFERROR(P214/$P$44,0)</f>
        <v>0.000980488273741</v>
      </c>
      <c r="R214" s="3667">
        <f>N214*(1+$L$6)</f>
        <v>0.0754874</v>
      </c>
      <c r="T214" s="3620">
        <f>V214*$U$14</f>
        <v>2003.64696072</v>
      </c>
      <c r="U214" s="1429">
        <f>IFERROR(T214/$T$44,0)</f>
        <v>0.000970875643606</v>
      </c>
      <c r="V214" s="3667">
        <f>R214*(1+$L$6)</f>
        <v>0.076242274</v>
      </c>
      <c r="X214" s="3620">
        <f>Z214*$Y$14</f>
        <v>2023.68343033</v>
      </c>
      <c r="Y214" s="1429">
        <f>IFERROR(X214/$X$44,0)</f>
        <v>0.000961357254943</v>
      </c>
      <c r="Z214" s="3667">
        <f>V214*(1+$L$6)</f>
        <v>0.07700469674</v>
      </c>
      <c r="AB214" s="3620">
        <f>AD214*$AC$14</f>
        <v>2043.92026463</v>
      </c>
      <c r="AC214" s="1429">
        <f>IFERROR(AB214/$AB$44,0)</f>
        <v>0.000951932183816</v>
      </c>
      <c r="AD214" s="3667">
        <f>Z214*(1+$L$6)</f>
        <v>0.0777747437074</v>
      </c>
      <c r="AF214" s="3620">
        <f>AH214*$AG$14</f>
        <v>2064.35946728</v>
      </c>
      <c r="AG214" s="1429">
        <f>IFERROR(AF214/$AF$44,0)</f>
        <v>0.000942599515348</v>
      </c>
      <c r="AH214" s="3667">
        <f>AD214*(1+$L$6)</f>
        <v>0.0785524911445</v>
      </c>
      <c r="AJ214" s="3620">
        <f>AL214*$AK$14</f>
        <v>2085.00306195</v>
      </c>
      <c r="AK214" s="1429">
        <f>IFERROR(AJ214/$AJ$44,0)</f>
        <v>0.000933358343629</v>
      </c>
      <c r="AL214" s="3667">
        <f>AH214*(1+$L$6)</f>
        <v>0.0793380160559</v>
      </c>
      <c r="AN214" s="3620">
        <f>AP214*$AO$14</f>
        <v>2105.85309257</v>
      </c>
      <c r="AO214" s="1429">
        <f>IFERROR(AN214/$AN$44,0)</f>
        <v>0.000924207771632</v>
      </c>
      <c r="AP214" s="3667">
        <f>AL214*(1+$L$6)</f>
        <v>0.0801313962165</v>
      </c>
      <c r="AR214" s="3620">
        <f>AT214*$AS$14</f>
        <v>2126.91162349</v>
      </c>
      <c r="AS214" s="1429">
        <f>IFERROR(AR214/$AR$44,0)</f>
        <v>0.000915146911126</v>
      </c>
      <c r="AT214" s="3667">
        <f>AP214*(1+$L$6)</f>
        <v>0.0809327101786</v>
      </c>
      <c r="AV214" s="3620">
        <f>AX214*$AW$14</f>
        <v>2148.18073973</v>
      </c>
      <c r="AW214" s="1429">
        <f>IFERROR(AV214/$AV$44,0)</f>
        <v>0.000924298380237</v>
      </c>
      <c r="AX214" s="3667">
        <f>AT214*(1+$L$6)</f>
        <v>0.0817420372804</v>
      </c>
      <c r="AZ214" s="3620">
        <f>BB214*$BA$14</f>
        <v>2169.66254713</v>
      </c>
      <c r="BA214" s="1429">
        <f>IFERROR(AZ214/$AZ$44,0)</f>
        <v>0.00093354136404</v>
      </c>
      <c r="BB214" s="3667">
        <f>AX214*(1+$L$6)</f>
        <v>0.0825594576532</v>
      </c>
      <c r="BD214" s="3620" t="n">
        <f t="array" ref="BD214">IFERROR($H214/12,0)</f>
        <v>123.79583333333333</v>
      </c>
      <c r="BE214" s="1429" t="n">
        <f t="array" ref="BE214">IFERROR($H214/$H$44,0)</f>
        <v>0.001</v>
      </c>
      <c r="BF214" s="3667" t="n">
        <f t="array" ref="BF214">IFERROR(($H214/12)/1650,0)</f>
        <v>0.07502777777777778</v>
      </c>
      <c r="BG214" s="1568" t="n"/>
    </row>
    <row r="215" s="1168" customFormat="1" ht="12.75" customHeight="1">
      <c r="A215" s="3445" t="n"/>
      <c r="B215" s="3538" t="n"/>
      <c r="C215" s="101" t="n"/>
      <c r="E215" s="3464" t="n">
        <v>100</v>
      </c>
      <c r="F215" s="1172" t="n"/>
      <c r="G215" s="1433" t="inlineStr">
        <is>
          <t xml:space="preserve">Life &amp; Safety / Fire- Monitoring</t>
        </is>
      </c>
      <c r="H215" s="3638">
        <f>J215*$I$14</f>
        <v>1200</v>
      </c>
      <c r="I215" s="1434">
        <f>IFERROR(H215/$H$44,0)</f>
        <v>0.000807781629699</v>
      </c>
      <c r="J215" s="3669">
        <v>0.0597758405978</v>
      </c>
      <c r="K215" s="1172" t="n"/>
      <c r="L215" s="3638">
        <f>N215*$M$14</f>
        <v>1432.36363636</v>
      </c>
      <c r="M215" s="1434">
        <f>IFERROR(L215/$L$44,0)</f>
        <v>0.000799862201957</v>
      </c>
      <c r="N215" s="3669">
        <f>J215*(1+$L$6)</f>
        <v>0.0603735990037</v>
      </c>
      <c r="P215" s="3638">
        <f>R215*$Q$14</f>
        <v>1602.48436364</v>
      </c>
      <c r="Q215" s="1434">
        <f>IFERROR(P215/$P$44,0)</f>
        <v>0.000792020415664</v>
      </c>
      <c r="R215" s="3669">
        <f>N215*(1+$L$6)</f>
        <v>0.0609773349938</v>
      </c>
      <c r="T215" s="3638">
        <f>V215*$U$14</f>
        <v>1618.50920727</v>
      </c>
      <c r="U215" s="1434">
        <f>IFERROR(T215/$T$44,0)</f>
        <v>0.000784255509628</v>
      </c>
      <c r="V215" s="3669">
        <f>R215*(1+$L$6)</f>
        <v>0.0615871083437</v>
      </c>
      <c r="X215" s="3638">
        <f>Z215*$Y$14</f>
        <v>1634.69429935</v>
      </c>
      <c r="Y215" s="1434">
        <f>IFERROR(X215/$X$44,0)</f>
        <v>0.000776566730122</v>
      </c>
      <c r="Z215" s="3669">
        <f>V215*(1+$L$6)</f>
        <v>0.0622029794271</v>
      </c>
      <c r="AB215" s="3638">
        <f>AD215*$AC$14</f>
        <v>1651.04124234</v>
      </c>
      <c r="AC215" s="1434">
        <f>IFERROR(AB215/$AB$44,0)</f>
        <v>0.000768953330807</v>
      </c>
      <c r="AD215" s="3669">
        <f>Z215*(1+$L$6)</f>
        <v>0.0628250092214</v>
      </c>
      <c r="AF215" s="3638">
        <f>AH215*$AG$14</f>
        <v>1667.55165476</v>
      </c>
      <c r="AG215" s="1434">
        <f>IFERROR(AF215/$AF$44,0)</f>
        <v>0.000761414572661</v>
      </c>
      <c r="AH215" s="3669">
        <f>AD215*(1+$L$6)</f>
        <v>0.0634532593136</v>
      </c>
      <c r="AJ215" s="3638">
        <f>AL215*$AK$14</f>
        <v>1684.22717131</v>
      </c>
      <c r="AK215" s="1434">
        <f>IFERROR(AJ215/$AJ$44,0)</f>
        <v>0.00075394972391</v>
      </c>
      <c r="AL215" s="3669">
        <f>AH215*(1+$L$6)</f>
        <v>0.0640877919068</v>
      </c>
      <c r="AN215" s="3638">
        <f>AP215*$AO$14</f>
        <v>1701.06944302</v>
      </c>
      <c r="AO215" s="1434">
        <f>IFERROR(AN215/$AN$44,0)</f>
        <v>0.00074655805995</v>
      </c>
      <c r="AP215" s="3669">
        <f>AL215*(1+$L$6)</f>
        <v>0.0647286698258</v>
      </c>
      <c r="AR215" s="3638">
        <f>AT215*$AS$14</f>
        <v>1718.08013745</v>
      </c>
      <c r="AS215" s="1434">
        <f>IFERROR(AR215/$AR$44,0)</f>
        <v>0.000739238863284</v>
      </c>
      <c r="AT215" s="3669">
        <f>AP215*(1+$L$6)</f>
        <v>0.0653759565241</v>
      </c>
      <c r="AV215" s="3638">
        <f>AX215*$AW$14</f>
        <v>1735.26093883</v>
      </c>
      <c r="AW215" s="1434">
        <f>IFERROR(AV215/$AV$44,0)</f>
        <v>0.000746631251917</v>
      </c>
      <c r="AX215" s="3669">
        <f>AT215*(1+$L$6)</f>
        <v>0.0660297160893</v>
      </c>
      <c r="AZ215" s="3638">
        <f>BB215*$BA$14</f>
        <v>1752.61354822</v>
      </c>
      <c r="BA215" s="1434">
        <f>IFERROR(AZ215/$AZ$44,0)</f>
        <v>0.000754097564436</v>
      </c>
      <c r="BB215" s="3669">
        <f>AX215*(1+$L$6)</f>
        <v>0.0666900132502</v>
      </c>
      <c r="BD215" s="3638" t="n">
        <f t="array" ref="BD215">IFERROR($H215/12,0)</f>
        <v>100</v>
      </c>
      <c r="BE215" s="1434" t="n">
        <f t="array" ref="BE215">IFERROR($H215/$H$44,0)</f>
        <v>0.0008077816296994379</v>
      </c>
      <c r="BF215" s="3669" t="n">
        <f t="array" ref="BF215">IFERROR(($H215/12)/1650,0)</f>
        <v>0.06060606060606061</v>
      </c>
      <c r="BG215" s="1568" t="n"/>
    </row>
    <row r="216" s="1168" customFormat="1" ht="15" customHeight="1">
      <c r="A216" s="3445" t="n"/>
      <c r="B216" s="3538" t="n"/>
      <c r="C216" s="101" t="n"/>
      <c r="E216" s="3464" t="n"/>
      <c r="F216" s="1172" t="n"/>
      <c r="G216" s="1439" t="inlineStr">
        <is>
          <t xml:space="preserve">Engineering Supplies / Other</t>
        </is>
      </c>
      <c r="H216" s="3673">
        <f>J216*$I$14</f>
        <v>1931.215</v>
      </c>
      <c r="I216" s="1441">
        <f>IFERROR(H216/$H$44,0)</f>
        <v>0.0013</v>
      </c>
      <c r="J216" s="3674">
        <v>0.0962</v>
      </c>
      <c r="K216" s="1172" t="n"/>
      <c r="L216" s="3673">
        <f>N216*$M$14</f>
        <v>2305.16845</v>
      </c>
      <c r="M216" s="1441">
        <f>IFERROR(L216/$L$44,0)</f>
        <v>0.00128725490196</v>
      </c>
      <c r="N216" s="3674">
        <f>J216*(1+$L$6)</f>
        <v>0.097162</v>
      </c>
      <c r="P216" s="3673">
        <f>R216*$Q$14</f>
        <v>2578.9515336</v>
      </c>
      <c r="Q216" s="1441">
        <f>IFERROR(P216/$P$44,0)</f>
        <v>0.00127463475586</v>
      </c>
      <c r="R216" s="3674">
        <f>N216*(1+$L$6)</f>
        <v>0.09813362</v>
      </c>
      <c r="T216" s="3673">
        <f>V216*$U$14</f>
        <v>2604.74104894</v>
      </c>
      <c r="U216" s="1441">
        <f>IFERROR(T216/$T$44,0)</f>
        <v>0.00126213833669</v>
      </c>
      <c r="V216" s="3674">
        <f>R216*(1+$L$6)</f>
        <v>0.0991149562</v>
      </c>
      <c r="X216" s="3673">
        <f>Z216*$Y$14</f>
        <v>2630.78845943</v>
      </c>
      <c r="Y216" s="1441">
        <f>IFERROR(X216/$X$44,0)</f>
        <v>0.00124976443143</v>
      </c>
      <c r="Z216" s="3674">
        <f>V216*(1+$L$6)</f>
        <v>0.100106105762</v>
      </c>
      <c r="AB216" s="3673">
        <f>AD216*$AC$14</f>
        <v>2657.09634402</v>
      </c>
      <c r="AC216" s="1441">
        <f>IFERROR(AB216/$AB$44,0)</f>
        <v>0.00123751183896</v>
      </c>
      <c r="AD216" s="3674">
        <f>Z216*(1+$L$6)</f>
        <v>0.10110716682</v>
      </c>
      <c r="AF216" s="3673">
        <f>AH216*$AG$14</f>
        <v>2683.66730746</v>
      </c>
      <c r="AG216" s="1441">
        <f>IFERROR(AF216/$AF$44,0)</f>
        <v>0.00122537936995</v>
      </c>
      <c r="AH216" s="3674">
        <f>AD216*(1+$L$6)</f>
        <v>0.102118238488</v>
      </c>
      <c r="AJ216" s="3673">
        <f>AL216*$AK$14</f>
        <v>2710.50398053</v>
      </c>
      <c r="AK216" s="1441">
        <f>IFERROR(AJ216/$AJ$44,0)</f>
        <v>0.00121336584672</v>
      </c>
      <c r="AL216" s="3674">
        <f>AH216*(1+$L$6)</f>
        <v>0.103139420873</v>
      </c>
      <c r="AN216" s="3673">
        <f>AP216*$AO$14</f>
        <v>2737.60902034</v>
      </c>
      <c r="AO216" s="1441">
        <f>IFERROR(AN216/$AN$44,0)</f>
        <v>0.00120147010312</v>
      </c>
      <c r="AP216" s="3674">
        <f>AL216*(1+$L$6)</f>
        <v>0.104170815081</v>
      </c>
      <c r="AR216" s="3673">
        <f>AT216*$AS$14</f>
        <v>2764.98511054</v>
      </c>
      <c r="AS216" s="1441">
        <f>IFERROR(AR216/$AR$44,0)</f>
        <v>0.00118969098446</v>
      </c>
      <c r="AT216" s="3674">
        <f>AP216*(1+$L$6)</f>
        <v>0.105212523232</v>
      </c>
      <c r="AV216" s="3673">
        <f>AX216*$AW$14</f>
        <v>2792.63496165</v>
      </c>
      <c r="AW216" s="1441">
        <f>IFERROR(AV216/$AV$44,0)</f>
        <v>0.00120158789431</v>
      </c>
      <c r="AX216" s="3674">
        <f>AT216*(1+$L$6)</f>
        <v>0.106264648465</v>
      </c>
      <c r="AZ216" s="3673">
        <f>BB216*$BA$14</f>
        <v>2820.56131127</v>
      </c>
      <c r="BA216" s="1441">
        <f>IFERROR(AZ216/$AZ$44,0)</f>
        <v>0.00121360377325</v>
      </c>
      <c r="BB216" s="3674">
        <f>AX216*(1+$L$6)</f>
        <v>0.107327294949</v>
      </c>
      <c r="BD216" s="3673" t="n">
        <f t="array" ref="BD216">IFERROR($H216/12,0)</f>
        <v>160.93458333333334</v>
      </c>
      <c r="BE216" s="1441" t="n">
        <f t="array" ref="BE216">IFERROR($H216/$H$44,0)</f>
        <v>0.0013</v>
      </c>
      <c r="BF216" s="3674" t="n">
        <f t="array" ref="BF216">IFERROR(($H216/12)/1650,0)</f>
        <v>0.09753611111111112</v>
      </c>
      <c r="BG216" s="1568" t="n"/>
    </row>
    <row r="217" s="1168" customFormat="1" ht="12.75" customHeight="1">
      <c r="A217" s="3445" t="n"/>
      <c r="B217" s="3538" t="n"/>
      <c r="C217" s="101" t="n"/>
      <c r="E217" s="3464" t="n"/>
      <c r="F217" s="1172" t="n"/>
      <c r="G217" s="1433" t="inlineStr">
        <is>
          <t xml:space="preserve">Misc- Fixed</t>
        </is>
      </c>
      <c r="H217" s="3638">
        <f>J217*$I$14</f>
        <v>0</v>
      </c>
      <c r="I217" s="1434">
        <f>IFERROR(H217/$H$44,0)</f>
        <v>0</v>
      </c>
      <c r="J217" s="3669">
        <v>0</v>
      </c>
      <c r="K217" s="1172" t="n"/>
      <c r="L217" s="3638">
        <f>N217*$M$14</f>
        <v>0</v>
      </c>
      <c r="M217" s="1434">
        <f>IFERROR(L217/$L$44,0)</f>
        <v>0</v>
      </c>
      <c r="N217" s="3669">
        <f>J217*(1+$L$6)</f>
        <v>0</v>
      </c>
      <c r="P217" s="3638">
        <f>R217*$Q$14</f>
        <v>0</v>
      </c>
      <c r="Q217" s="1434">
        <f>IFERROR(P217/$P$44,0)</f>
        <v>0</v>
      </c>
      <c r="R217" s="3669">
        <f>N217*(1+$L$6)</f>
        <v>0</v>
      </c>
      <c r="T217" s="3638">
        <f>V217*$U$14</f>
        <v>0</v>
      </c>
      <c r="U217" s="1434">
        <f>IFERROR(T217/$T$44,0)</f>
        <v>0</v>
      </c>
      <c r="V217" s="3669">
        <f>R217*(1+$L$6)</f>
        <v>0</v>
      </c>
      <c r="X217" s="3638">
        <f>Z217*$Y$14</f>
        <v>0</v>
      </c>
      <c r="Y217" s="1434">
        <f>IFERROR(X217/$X$44,0)</f>
        <v>0</v>
      </c>
      <c r="Z217" s="3669">
        <f>V217*(1+$L$6)</f>
        <v>0</v>
      </c>
      <c r="AB217" s="3638">
        <f>AD217*$AC$14</f>
        <v>0</v>
      </c>
      <c r="AC217" s="1434">
        <f>IFERROR(AB217/$AB$44,0)</f>
        <v>0</v>
      </c>
      <c r="AD217" s="3669">
        <f>Z217*(1+$L$6)</f>
        <v>0</v>
      </c>
      <c r="AF217" s="3638">
        <f>AH217*$AG$14</f>
        <v>0</v>
      </c>
      <c r="AG217" s="1434">
        <f>IFERROR(AF217/$AF$44,0)</f>
        <v>0</v>
      </c>
      <c r="AH217" s="3669">
        <f>AD217*(1+$L$6)</f>
        <v>0</v>
      </c>
      <c r="AJ217" s="3638">
        <f>AL217*$AK$14</f>
        <v>0</v>
      </c>
      <c r="AK217" s="1434">
        <f>IFERROR(AJ217/$AJ$44,0)</f>
        <v>0</v>
      </c>
      <c r="AL217" s="3669">
        <f>AH217*(1+$L$6)</f>
        <v>0</v>
      </c>
      <c r="AN217" s="3638">
        <f>AP217*$AO$14</f>
        <v>0</v>
      </c>
      <c r="AO217" s="1434">
        <f>IFERROR(AN217/$AN$44,0)</f>
        <v>0</v>
      </c>
      <c r="AP217" s="3669">
        <f>AL217*(1+$L$6)</f>
        <v>0</v>
      </c>
      <c r="AR217" s="3638">
        <f>AT217*$AS$14</f>
        <v>0</v>
      </c>
      <c r="AS217" s="1434">
        <f>IFERROR(AR217/$AR$44,0)</f>
        <v>0</v>
      </c>
      <c r="AT217" s="3669">
        <f>AP217*(1+$L$6)</f>
        <v>0</v>
      </c>
      <c r="AV217" s="3638">
        <f>AX217*$AW$14</f>
        <v>0</v>
      </c>
      <c r="AW217" s="1434">
        <f>IFERROR(AV217/$AV$44,0)</f>
        <v>0</v>
      </c>
      <c r="AX217" s="3669">
        <f>AT217*(1+$L$6)</f>
        <v>0</v>
      </c>
      <c r="AZ217" s="3638">
        <f>BB217*$BA$14</f>
        <v>0</v>
      </c>
      <c r="BA217" s="1434">
        <f>IFERROR(AZ217/$AZ$44,0)</f>
        <v>0</v>
      </c>
      <c r="BB217" s="3669">
        <f>AX217*(1+$L$6)</f>
        <v>0</v>
      </c>
      <c r="BD217" s="3638" t="n">
        <f t="array" ref="BD217">IFERROR($H217/12,0)</f>
        <v>0</v>
      </c>
      <c r="BE217" s="1434" t="n">
        <f t="array" ref="BE217">IFERROR($H217/$H$44,0)</f>
        <v>0</v>
      </c>
      <c r="BF217" s="3669" t="n">
        <f t="array" ref="BF217">IFERROR(($H217/12)/1650,0)</f>
        <v>0</v>
      </c>
      <c r="BG217" s="1568" t="n"/>
    </row>
    <row r="218" s="1168" customFormat="1" ht="15" customHeight="1">
      <c r="A218" s="3445" t="n"/>
      <c r="B218" s="3538" t="n"/>
      <c r="C218" s="101" t="n"/>
      <c r="E218" s="3464" t="n"/>
      <c r="F218" s="1172" t="n"/>
      <c r="G218" s="1376" t="inlineStr">
        <is>
          <t xml:space="preserve">Misc: Variable</t>
        </is>
      </c>
      <c r="H218" s="3678">
        <f>J218*$I$14</f>
        <v>0</v>
      </c>
      <c r="I218" s="1448">
        <f>IFERROR(H218/$H$44,0)</f>
        <v>0</v>
      </c>
      <c r="J218" s="3562">
        <v>0</v>
      </c>
      <c r="K218" s="1172" t="n"/>
      <c r="L218" s="3678">
        <f>N218*$M$14</f>
        <v>0</v>
      </c>
      <c r="M218" s="1448">
        <f>IFERROR(L218/$L$44,0)</f>
        <v>0</v>
      </c>
      <c r="N218" s="3562">
        <f>J218*(1+$L$6)</f>
        <v>0</v>
      </c>
      <c r="P218" s="3678">
        <f>R218*$Q$14</f>
        <v>0</v>
      </c>
      <c r="Q218" s="1448">
        <f>IFERROR(P218/$P$44,0)</f>
        <v>0</v>
      </c>
      <c r="R218" s="3562">
        <f>N218*(1+$L$6)</f>
        <v>0</v>
      </c>
      <c r="T218" s="3678">
        <f>V218*$U$14</f>
        <v>0</v>
      </c>
      <c r="U218" s="1448">
        <f>IFERROR(T218/$T$44,0)</f>
        <v>0</v>
      </c>
      <c r="V218" s="3562">
        <f>R218*(1+$L$6)</f>
        <v>0</v>
      </c>
      <c r="X218" s="3678">
        <f>Z218*$Y$14</f>
        <v>0</v>
      </c>
      <c r="Y218" s="1448">
        <f>IFERROR(X218/$X$44,0)</f>
        <v>0</v>
      </c>
      <c r="Z218" s="3562">
        <f>V218*(1+$L$6)</f>
        <v>0</v>
      </c>
      <c r="AB218" s="3678">
        <f>AD218*$AC$14</f>
        <v>0</v>
      </c>
      <c r="AC218" s="1448">
        <f>IFERROR(AB218/$AB$44,0)</f>
        <v>0</v>
      </c>
      <c r="AD218" s="3562">
        <f>Z218*(1+$L$6)</f>
        <v>0</v>
      </c>
      <c r="AF218" s="3678">
        <f>AH218*$AG$14</f>
        <v>0</v>
      </c>
      <c r="AG218" s="1448">
        <f>IFERROR(AF218/$AF$44,0)</f>
        <v>0</v>
      </c>
      <c r="AH218" s="3562">
        <f>AD218*(1+$L$6)</f>
        <v>0</v>
      </c>
      <c r="AJ218" s="3678">
        <f>AL218*$AK$14</f>
        <v>0</v>
      </c>
      <c r="AK218" s="1448">
        <f>IFERROR(AJ218/$AJ$44,0)</f>
        <v>0</v>
      </c>
      <c r="AL218" s="3562">
        <f>AH218*(1+$L$6)</f>
        <v>0</v>
      </c>
      <c r="AN218" s="3678">
        <f>AP218*$AO$14</f>
        <v>0</v>
      </c>
      <c r="AO218" s="1448">
        <f>IFERROR(AN218/$AN$44,0)</f>
        <v>0</v>
      </c>
      <c r="AP218" s="3562">
        <f>AL218*(1+$L$6)</f>
        <v>0</v>
      </c>
      <c r="AR218" s="3678">
        <f>AT218*$AS$14</f>
        <v>0</v>
      </c>
      <c r="AS218" s="1448">
        <f>IFERROR(AR218/$AR$44,0)</f>
        <v>0</v>
      </c>
      <c r="AT218" s="3562">
        <f>AP218*(1+$L$6)</f>
        <v>0</v>
      </c>
      <c r="AV218" s="3678">
        <f>AX218*$AW$14</f>
        <v>0</v>
      </c>
      <c r="AW218" s="1448">
        <f>IFERROR(AV218/$AV$44,0)</f>
        <v>0</v>
      </c>
      <c r="AX218" s="3562">
        <f>AT218*(1+$L$6)</f>
        <v>0</v>
      </c>
      <c r="AZ218" s="3678">
        <f>BB218*$BA$14</f>
        <v>0</v>
      </c>
      <c r="BA218" s="1448">
        <f>IFERROR(AZ218/$AZ$44,0)</f>
        <v>0</v>
      </c>
      <c r="BB218" s="3562">
        <f>AX218*(1+$L$6)</f>
        <v>0</v>
      </c>
      <c r="BD218" s="3678" t="n">
        <f t="array" ref="BD218">IFERROR($H218/12,0)</f>
        <v>0</v>
      </c>
      <c r="BE218" s="1448" t="n">
        <f t="array" ref="BE218">IFERROR($H218/$H$44,0)</f>
        <v>0</v>
      </c>
      <c r="BF218" s="3562" t="n">
        <f t="array" ref="BF218">IFERROR(($H218/12)/1650,0)</f>
        <v>0</v>
      </c>
      <c r="BG218" s="1568" t="n"/>
    </row>
    <row r="219" s="1168" customFormat="1" ht="15" customHeight="1">
      <c r="A219" s="3445" t="n"/>
      <c r="B219" s="3538" t="n"/>
      <c r="C219" s="101" t="n"/>
      <c r="E219" s="3464" t="n"/>
      <c r="F219" s="1172" t="n"/>
      <c r="G219" s="1283" t="inlineStr">
        <is>
          <t xml:space="preserve">TBA</t>
        </is>
      </c>
      <c r="H219" s="3586">
        <f>J219*$I$14</f>
        <v>0</v>
      </c>
      <c r="I219" s="1171">
        <f>IFERROR(H219/$H$44,0)</f>
        <v>0</v>
      </c>
      <c r="J219" s="3662">
        <v>0</v>
      </c>
      <c r="K219" s="1172" t="n"/>
      <c r="L219" s="3586">
        <f>N219*$M$14</f>
        <v>0</v>
      </c>
      <c r="M219" s="1171">
        <f>IFERROR(L219/$L$44,0)</f>
        <v>0</v>
      </c>
      <c r="N219" s="3662">
        <f>J219*(1+$L$6)</f>
        <v>0</v>
      </c>
      <c r="P219" s="3586">
        <f>R219*$Q$14</f>
        <v>0</v>
      </c>
      <c r="Q219" s="1171">
        <f>IFERROR(P219/$P$44,0)</f>
        <v>0</v>
      </c>
      <c r="R219" s="3662">
        <f>N219*(1+$L$6)</f>
        <v>0</v>
      </c>
      <c r="T219" s="3586">
        <f>V219*$U$14</f>
        <v>0</v>
      </c>
      <c r="U219" s="1171">
        <f>IFERROR(T219/$T$44,0)</f>
        <v>0</v>
      </c>
      <c r="V219" s="3662">
        <f>R219*(1+$L$6)</f>
        <v>0</v>
      </c>
      <c r="X219" s="3586">
        <f>Z219*$Y$14</f>
        <v>0</v>
      </c>
      <c r="Y219" s="1171">
        <f>IFERROR(X219/$X$44,0)</f>
        <v>0</v>
      </c>
      <c r="Z219" s="3662">
        <f>V219*(1+$L$6)</f>
        <v>0</v>
      </c>
      <c r="AB219" s="3586">
        <f>AD219*$AC$14</f>
        <v>0</v>
      </c>
      <c r="AC219" s="1171">
        <f>IFERROR(AB219/$AB$44,0)</f>
        <v>0</v>
      </c>
      <c r="AD219" s="3662">
        <f>Z219*(1+$L$6)</f>
        <v>0</v>
      </c>
      <c r="AF219" s="3586">
        <f>AH219*$AG$14</f>
        <v>0</v>
      </c>
      <c r="AG219" s="1171">
        <f>IFERROR(AF219/$AF$44,0)</f>
        <v>0</v>
      </c>
      <c r="AH219" s="3662">
        <f>AD219*(1+$L$6)</f>
        <v>0</v>
      </c>
      <c r="AJ219" s="3586">
        <f>AL219*$AK$14</f>
        <v>0</v>
      </c>
      <c r="AK219" s="1171">
        <f>IFERROR(AJ219/$AJ$44,0)</f>
        <v>0</v>
      </c>
      <c r="AL219" s="3662">
        <f>AH219*(1+$L$6)</f>
        <v>0</v>
      </c>
      <c r="AN219" s="3586">
        <f>AP219*$AO$14</f>
        <v>0</v>
      </c>
      <c r="AO219" s="1171">
        <f>IFERROR(AN219/$AN$44,0)</f>
        <v>0</v>
      </c>
      <c r="AP219" s="3662">
        <f>AL219*(1+$L$6)</f>
        <v>0</v>
      </c>
      <c r="AR219" s="3586">
        <f>AT219*$AS$14</f>
        <v>0</v>
      </c>
      <c r="AS219" s="1171">
        <f>IFERROR(AR219/$AR$44,0)</f>
        <v>0</v>
      </c>
      <c r="AT219" s="3662">
        <f>AP219*(1+$L$6)</f>
        <v>0</v>
      </c>
      <c r="AV219" s="3586">
        <f>AX219*$AW$14</f>
        <v>0</v>
      </c>
      <c r="AW219" s="1171">
        <f>IFERROR(AV219/$AV$44,0)</f>
        <v>0</v>
      </c>
      <c r="AX219" s="3662">
        <f>AT219*(1+$L$6)</f>
        <v>0</v>
      </c>
      <c r="AZ219" s="3586">
        <f>BB219*$BA$14</f>
        <v>0</v>
      </c>
      <c r="BA219" s="1171">
        <f>IFERROR(AZ219/$AZ$44,0)</f>
        <v>0</v>
      </c>
      <c r="BB219" s="3662">
        <f>AX219*(1+$L$6)</f>
        <v>0</v>
      </c>
      <c r="BD219" s="3586" t="n">
        <f t="array" ref="BD219">IFERROR($H219/12,0)</f>
        <v>0</v>
      </c>
      <c r="BE219" s="1171" t="n">
        <f t="array" ref="BE219">IFERROR($H219/$H$44,0)</f>
        <v>0</v>
      </c>
      <c r="BF219" s="3662" t="n">
        <f t="array" ref="BF219">IFERROR(($H219/12)/1650,0)</f>
        <v>0</v>
      </c>
      <c r="BG219" s="1568" t="n"/>
    </row>
    <row r="220" s="1168" customFormat="1" ht="15" customHeight="1">
      <c r="A220" s="3445" t="n"/>
      <c r="B220" s="3538" t="n"/>
      <c r="C220" s="101" t="n"/>
      <c r="E220" s="3464" t="n"/>
      <c r="F220" s="1172" t="n"/>
      <c r="G220" s="1283" t="inlineStr">
        <is>
          <t xml:space="preserve">TBA</t>
        </is>
      </c>
      <c r="H220" s="3586">
        <f>J220*$I$14</f>
        <v>0</v>
      </c>
      <c r="I220" s="1171">
        <f>IFERROR(H220/$H$44,0)</f>
        <v>0</v>
      </c>
      <c r="J220" s="3662">
        <v>0</v>
      </c>
      <c r="K220" s="1172" t="n"/>
      <c r="L220" s="3586">
        <f>N220*$M$14</f>
        <v>0</v>
      </c>
      <c r="M220" s="1171">
        <f>IFERROR(L220/$L$44,0)</f>
        <v>0</v>
      </c>
      <c r="N220" s="3662">
        <f>J220*(1+$L$6)</f>
        <v>0</v>
      </c>
      <c r="P220" s="3586">
        <f>R220*$Q$14</f>
        <v>0</v>
      </c>
      <c r="Q220" s="1171">
        <f>IFERROR(P220/$P$44,0)</f>
        <v>0</v>
      </c>
      <c r="R220" s="3662">
        <f>N220*(1+$L$6)</f>
        <v>0</v>
      </c>
      <c r="T220" s="3586">
        <f>V220*$U$14</f>
        <v>0</v>
      </c>
      <c r="U220" s="1171">
        <f>IFERROR(T220/$T$44,0)</f>
        <v>0</v>
      </c>
      <c r="V220" s="3662">
        <f>R220*(1+$L$6)</f>
        <v>0</v>
      </c>
      <c r="X220" s="3586">
        <f>Z220*$Y$14</f>
        <v>0</v>
      </c>
      <c r="Y220" s="1171">
        <f>IFERROR(X220/$X$44,0)</f>
        <v>0</v>
      </c>
      <c r="Z220" s="3662">
        <f>V220*(1+$L$6)</f>
        <v>0</v>
      </c>
      <c r="AB220" s="3586">
        <f>AD220*$AC$14</f>
        <v>0</v>
      </c>
      <c r="AC220" s="1171">
        <f>IFERROR(AB220/$AB$44,0)</f>
        <v>0</v>
      </c>
      <c r="AD220" s="3662">
        <f>Z220*(1+$L$6)</f>
        <v>0</v>
      </c>
      <c r="AF220" s="3586">
        <f>AH220*$AG$14</f>
        <v>0</v>
      </c>
      <c r="AG220" s="1171">
        <f>IFERROR(AF220/$AF$44,0)</f>
        <v>0</v>
      </c>
      <c r="AH220" s="3662">
        <f>AD220*(1+$L$6)</f>
        <v>0</v>
      </c>
      <c r="AJ220" s="3586">
        <f>AL220*$AK$14</f>
        <v>0</v>
      </c>
      <c r="AK220" s="1171">
        <f>IFERROR(AJ220/$AJ$44,0)</f>
        <v>0</v>
      </c>
      <c r="AL220" s="3662">
        <f>AH220*(1+$L$6)</f>
        <v>0</v>
      </c>
      <c r="AN220" s="3586">
        <f>AP220*$AO$14</f>
        <v>0</v>
      </c>
      <c r="AO220" s="1171">
        <f>IFERROR(AN220/$AN$44,0)</f>
        <v>0</v>
      </c>
      <c r="AP220" s="3662">
        <f>AL220*(1+$L$6)</f>
        <v>0</v>
      </c>
      <c r="AR220" s="3586">
        <f>AT220*$AS$14</f>
        <v>0</v>
      </c>
      <c r="AS220" s="1171">
        <f>IFERROR(AR220/$AR$44,0)</f>
        <v>0</v>
      </c>
      <c r="AT220" s="3662">
        <f>AP220*(1+$L$6)</f>
        <v>0</v>
      </c>
      <c r="AV220" s="3586">
        <f>AX220*$AW$14</f>
        <v>0</v>
      </c>
      <c r="AW220" s="1171">
        <f>IFERROR(AV220/$AV$44,0)</f>
        <v>0</v>
      </c>
      <c r="AX220" s="3662">
        <f>AT220*(1+$L$6)</f>
        <v>0</v>
      </c>
      <c r="AZ220" s="3586">
        <f>BB220*$BA$14</f>
        <v>0</v>
      </c>
      <c r="BA220" s="1171">
        <f>IFERROR(AZ220/$AZ$44,0)</f>
        <v>0</v>
      </c>
      <c r="BB220" s="3662">
        <f>AX220*(1+$L$6)</f>
        <v>0</v>
      </c>
      <c r="BD220" s="3586" t="n">
        <f t="array" ref="BD220">IFERROR($H220/12,0)</f>
        <v>0</v>
      </c>
      <c r="BE220" s="1171" t="n">
        <f t="array" ref="BE220">IFERROR($H220/$H$44,0)</f>
        <v>0</v>
      </c>
      <c r="BF220" s="3662" t="n">
        <f t="array" ref="BF220">IFERROR(($H220/12)/1650,0)</f>
        <v>0</v>
      </c>
      <c r="BG220" s="1568" t="n"/>
    </row>
    <row r="221" s="1168" customFormat="1" ht="15.75" customHeight="1">
      <c r="A221" s="3445" t="n"/>
      <c r="B221" s="3538" t="n"/>
      <c r="C221" s="101" t="n"/>
      <c r="E221" s="3464" t="n"/>
      <c r="F221" s="1172" t="n"/>
      <c r="G221" s="1325" t="inlineStr">
        <is>
          <t xml:space="preserve">TBA</t>
        </is>
      </c>
      <c r="H221" s="3681">
        <f>J221*$I$14</f>
        <v>0</v>
      </c>
      <c r="I221" s="1456">
        <f>IFERROR(H221/$H$44,0)</f>
        <v>0</v>
      </c>
      <c r="J221" s="3595">
        <v>0</v>
      </c>
      <c r="K221" s="1172" t="n"/>
      <c r="L221" s="3681">
        <f>N221*$M$14</f>
        <v>0</v>
      </c>
      <c r="M221" s="1456">
        <f>IFERROR(L221/$L$44,0)</f>
        <v>0</v>
      </c>
      <c r="N221" s="3595">
        <f>J221*(1+$L$6)</f>
        <v>0</v>
      </c>
      <c r="P221" s="3681">
        <f>R221*$Q$14</f>
        <v>0</v>
      </c>
      <c r="Q221" s="1456">
        <f>IFERROR(P221/$P$44,0)</f>
        <v>0</v>
      </c>
      <c r="R221" s="3595">
        <f>N221*(1+$L$6)</f>
        <v>0</v>
      </c>
      <c r="T221" s="3681">
        <f>V221*$U$14</f>
        <v>0</v>
      </c>
      <c r="U221" s="1456">
        <f>IFERROR(T221/$T$44,0)</f>
        <v>0</v>
      </c>
      <c r="V221" s="3595">
        <f>R221*(1+$L$6)</f>
        <v>0</v>
      </c>
      <c r="X221" s="3681">
        <f>Z221*$Y$14</f>
        <v>0</v>
      </c>
      <c r="Y221" s="1456">
        <f>IFERROR(X221/$X$44,0)</f>
        <v>0</v>
      </c>
      <c r="Z221" s="3595">
        <f>V221*(1+$L$6)</f>
        <v>0</v>
      </c>
      <c r="AB221" s="3681">
        <f>AD221*$AC$14</f>
        <v>0</v>
      </c>
      <c r="AC221" s="1456">
        <f>IFERROR(AB221/$AB$44,0)</f>
        <v>0</v>
      </c>
      <c r="AD221" s="3595">
        <f>Z221*(1+$L$6)</f>
        <v>0</v>
      </c>
      <c r="AF221" s="3681">
        <f>AH221*$AG$14</f>
        <v>0</v>
      </c>
      <c r="AG221" s="1456">
        <f>IFERROR(AF221/$AF$44,0)</f>
        <v>0</v>
      </c>
      <c r="AH221" s="3595">
        <f>AD221*(1+$L$6)</f>
        <v>0</v>
      </c>
      <c r="AJ221" s="3681">
        <f>AL221*$AK$14</f>
        <v>0</v>
      </c>
      <c r="AK221" s="1456">
        <f>IFERROR(AJ221/$AJ$44,0)</f>
        <v>0</v>
      </c>
      <c r="AL221" s="3595">
        <f>AH221*(1+$L$6)</f>
        <v>0</v>
      </c>
      <c r="AN221" s="3681">
        <f>AP221*$AO$14</f>
        <v>0</v>
      </c>
      <c r="AO221" s="1456">
        <f>IFERROR(AN221/$AN$44,0)</f>
        <v>0</v>
      </c>
      <c r="AP221" s="3595">
        <f>AL221*(1+$L$6)</f>
        <v>0</v>
      </c>
      <c r="AR221" s="3681">
        <f>AT221*$AS$14</f>
        <v>0</v>
      </c>
      <c r="AS221" s="1456">
        <f>IFERROR(AR221/$AR$44,0)</f>
        <v>0</v>
      </c>
      <c r="AT221" s="3595">
        <f>AP221*(1+$L$6)</f>
        <v>0</v>
      </c>
      <c r="AV221" s="3681">
        <f>AX221*$AW$14</f>
        <v>0</v>
      </c>
      <c r="AW221" s="1456">
        <f>IFERROR(AV221/$AV$44,0)</f>
        <v>0</v>
      </c>
      <c r="AX221" s="3595">
        <f>AT221*(1+$L$6)</f>
        <v>0</v>
      </c>
      <c r="AZ221" s="3681">
        <f>BB221*$BA$14</f>
        <v>0</v>
      </c>
      <c r="BA221" s="1456">
        <f>IFERROR(AZ221/$AZ$44,0)</f>
        <v>0</v>
      </c>
      <c r="BB221" s="3595">
        <f>AX221*(1+$L$6)</f>
        <v>0</v>
      </c>
      <c r="BD221" s="3681" t="n">
        <f t="array" ref="BD221">IFERROR($H221/12,0)</f>
        <v>0</v>
      </c>
      <c r="BE221" s="1456" t="n">
        <f t="array" ref="BE221">IFERROR($H221/$H$44,0)</f>
        <v>0</v>
      </c>
      <c r="BF221" s="3595" t="n">
        <f t="array" ref="BF221">IFERROR(($H221/12)/1650,0)</f>
        <v>0</v>
      </c>
      <c r="BG221" s="1568" t="n"/>
    </row>
    <row r="222" s="1168" customFormat="1" ht="13.5" customHeight="1">
      <c r="A222" s="3445" t="n"/>
      <c r="B222" s="3538" t="n"/>
      <c r="C222" s="101" t="n"/>
      <c r="E222" s="3464" t="n"/>
      <c r="F222" s="1172" t="n"/>
      <c r="G222" s="1537" t="inlineStr">
        <is>
          <t xml:space="preserve">Total Repairs &amp; Maintenance Expenses</t>
        </is>
      </c>
      <c r="H222" s="3601">
        <f>SUM(H201:H221)</f>
        <v>44487.305</v>
      </c>
      <c r="I222" s="1316">
        <f>SUM(I201:I221)</f>
        <v>0.0299466897782</v>
      </c>
      <c r="J222" s="3602">
        <f>SUM(J201:J221)</f>
        <v>2.21605504359</v>
      </c>
      <c r="K222" s="1172" t="n"/>
      <c r="L222" s="3601">
        <f>SUM(L201:L221)</f>
        <v>53101.6649682</v>
      </c>
      <c r="M222" s="1316">
        <f>SUM(M201:M221)</f>
        <v>0.0296530947804</v>
      </c>
      <c r="N222" s="3602">
        <f>SUM(N201:N221)</f>
        <v>2.23821559402</v>
      </c>
      <c r="O222" s="1172" t="n"/>
      <c r="P222" s="3745">
        <f>SUM(P201:P221)</f>
        <v>59408.508869</v>
      </c>
      <c r="Q222" s="1316">
        <f>SUM(Q201:Q221)</f>
        <v>0.0293623781649</v>
      </c>
      <c r="R222" s="3602">
        <f>SUM(R201:R221)</f>
        <v>2.26059774996</v>
      </c>
      <c r="S222" s="1172" t="n"/>
      <c r="T222" s="3601">
        <f>SUM(T201:T221)</f>
        <v>60002.5939577</v>
      </c>
      <c r="U222" s="1316">
        <f>SUM(U201:U221)</f>
        <v>0.0290745117123</v>
      </c>
      <c r="V222" s="3602">
        <f>SUM(V201:V221)</f>
        <v>2.28320372746</v>
      </c>
      <c r="W222" s="1172" t="n"/>
      <c r="X222" s="3601">
        <f>SUM(X201:X221)</f>
        <v>60602.6198973</v>
      </c>
      <c r="Y222" s="1316">
        <f>SUM(Y201:Y221)</f>
        <v>0.0287894674798</v>
      </c>
      <c r="Z222" s="3602">
        <f>SUM(Z201:Z221)</f>
        <v>2.30603576474</v>
      </c>
      <c r="AA222" s="1172" t="n"/>
      <c r="AB222" s="3601">
        <f>SUM(AB201:AB221)</f>
        <v>61208.6460963</v>
      </c>
      <c r="AC222" s="1316">
        <f>SUM(AC201:AC221)</f>
        <v>0.0285072177986</v>
      </c>
      <c r="AD222" s="3602">
        <f>SUM(AD201:AD221)</f>
        <v>2.32909612238</v>
      </c>
      <c r="AE222" s="1172" t="n"/>
      <c r="AF222" s="3601">
        <f>SUM(AF201:AF221)</f>
        <v>61820.7325572</v>
      </c>
      <c r="AG222" s="1316">
        <f>SUM(AG201:AG221)</f>
        <v>0.0282277352712</v>
      </c>
      <c r="AH222" s="3602">
        <f>SUM(AH201:AH221)</f>
        <v>2.35238708361</v>
      </c>
      <c r="AI222" s="1172" t="n"/>
      <c r="AJ222" s="3601">
        <f>SUM(AJ201:AJ221)</f>
        <v>62438.9398828</v>
      </c>
      <c r="AK222" s="1316">
        <f>SUM(AK201:AK221)</f>
        <v>0.0279509927685</v>
      </c>
      <c r="AL222" s="3602">
        <f>SUM(AL201:AL221)</f>
        <v>2.37591095444</v>
      </c>
      <c r="AM222" s="1172" t="n"/>
      <c r="AN222" s="3601">
        <f>SUM(AN201:AN221)</f>
        <v>63063.3292816</v>
      </c>
      <c r="AO222" s="1316">
        <f>SUM(AO201:AO221)</f>
        <v>0.0276769634277</v>
      </c>
      <c r="AP222" s="3602">
        <f>SUM(AP201:AP221)</f>
        <v>2.39967006399</v>
      </c>
      <c r="AQ222" s="1172" t="n"/>
      <c r="AR222" s="3601">
        <f>SUM(AR201:AR221)</f>
        <v>63693.9625744</v>
      </c>
      <c r="AS222" s="1316">
        <f>SUM(AS201:AS221)</f>
        <v>0.027405620649</v>
      </c>
      <c r="AT222" s="3602">
        <f>SUM(AT201:AT221)</f>
        <v>2.42366676463</v>
      </c>
      <c r="AU222" s="1172" t="n"/>
      <c r="AV222" s="3601">
        <f>SUM(AV201:AV221)</f>
        <v>64330.9022002</v>
      </c>
      <c r="AW222" s="1316">
        <f>SUM(AW201:AW221)</f>
        <v>0.0276796768555</v>
      </c>
      <c r="AX222" s="3602">
        <f>SUM(AX201:AX221)</f>
        <v>2.44790343227</v>
      </c>
      <c r="AY222" s="1172" t="n"/>
      <c r="AZ222" s="3601">
        <f>SUM(AZ201:AZ221)</f>
        <v>64974.2112222</v>
      </c>
      <c r="BA222" s="1316">
        <f>SUM(BA201:BA221)</f>
        <v>0.027956473624</v>
      </c>
      <c r="BB222" s="3602">
        <f>SUM(BB201:BB221)</f>
        <v>2.4723824666</v>
      </c>
      <c r="BC222" s="1426" t="n"/>
      <c r="BD222" s="3601" t="n">
        <f t="array" ref="BD222">IFERROR($H222/12,0)</f>
        <v>3707.2754166666673</v>
      </c>
      <c r="BE222" s="1316">
        <f>H222+L222+P222+T222+X222+AB222+AF222+AJ222+AN222+AR222+AV222+AZ222</f>
        <v>719133.416507</v>
      </c>
      <c r="BF222" s="3602">
        <f>IFERROR(BE222/BE14,0)</f>
        <v>2.34551016473</v>
      </c>
      <c r="BG222" s="1568" t="n"/>
    </row>
    <row r="223" s="1168" customFormat="1" ht="15.75" customHeight="1">
      <c r="A223" s="3445" t="n"/>
      <c r="B223" s="3538" t="n"/>
      <c r="C223" s="101" t="n"/>
      <c r="E223" s="3464" t="n"/>
      <c r="F223" s="1172" t="n"/>
      <c r="H223" s="3563" t="n"/>
      <c r="I223" s="1460" t="n"/>
      <c r="J223" s="3565" t="n"/>
      <c r="K223" s="1172" t="n"/>
      <c r="L223" s="3566" t="n"/>
      <c r="M223" s="1269" t="n"/>
      <c r="N223" s="1460" t="n"/>
      <c r="P223" s="3571" t="n"/>
      <c r="Q223" s="1460" t="n"/>
      <c r="R223" s="3570" t="n"/>
      <c r="T223" s="3571" t="n"/>
      <c r="U223" s="1269" t="n"/>
      <c r="V223" s="3570" t="n"/>
      <c r="X223" s="3571" t="n"/>
      <c r="Y223" s="1269" t="n"/>
      <c r="Z223" s="3570" t="n"/>
      <c r="AB223" s="3571" t="n"/>
      <c r="AC223" s="1269" t="n"/>
      <c r="AD223" s="3570" t="n"/>
      <c r="AF223" s="3571" t="n"/>
      <c r="AG223" s="1269" t="n"/>
      <c r="AH223" s="3570" t="n"/>
      <c r="AJ223" s="3571" t="n"/>
      <c r="AK223" s="1269" t="n"/>
      <c r="AL223" s="3570" t="n"/>
      <c r="AN223" s="3571" t="n"/>
      <c r="AO223" s="1269" t="n"/>
      <c r="AP223" s="3750" t="n"/>
      <c r="AR223" s="3571" t="n"/>
      <c r="AS223" s="1269" t="n"/>
      <c r="AT223" s="3570" t="n"/>
      <c r="AV223" s="3571" t="n"/>
      <c r="AW223" s="1269" t="n"/>
      <c r="AX223" s="3570" t="n"/>
      <c r="AZ223" s="3571" t="n"/>
      <c r="BA223" s="1269" t="n"/>
      <c r="BB223" s="3570" t="n"/>
      <c r="BD223" s="3571" t="n"/>
      <c r="BE223" s="1269" t="n"/>
      <c r="BF223" s="3751" t="n"/>
      <c r="BG223" s="1572" t="n"/>
    </row>
    <row r="224" s="1168" customFormat="1" ht="15" customHeight="1">
      <c r="A224" s="3445" t="n"/>
      <c r="B224" s="3538" t="n"/>
      <c r="C224" s="101" t="n"/>
      <c r="E224" s="3464" t="n"/>
      <c r="F224" s="1172" t="n"/>
      <c r="G224" s="1272" t="inlineStr">
        <is>
          <t xml:space="preserve">Utilities</t>
        </is>
      </c>
      <c r="H224" s="3572" t="n"/>
      <c r="I224" s="1323" t="n"/>
      <c r="J224" s="3574" t="n"/>
      <c r="K224" s="1172" t="n"/>
      <c r="L224" s="3575" t="n"/>
      <c r="M224" s="1280" t="n"/>
      <c r="N224" s="1324" t="n"/>
      <c r="P224" s="3572" t="n"/>
      <c r="Q224" s="1323" t="n"/>
      <c r="R224" s="3578" t="n"/>
      <c r="T224" s="3572" t="n"/>
      <c r="U224" s="1323" t="n"/>
      <c r="V224" s="3574" t="n"/>
      <c r="X224" s="3572" t="n"/>
      <c r="Y224" s="1323" t="n"/>
      <c r="Z224" s="3574" t="n"/>
      <c r="AB224" s="3572" t="n"/>
      <c r="AC224" s="1323" t="n"/>
      <c r="AD224" s="3574" t="n"/>
      <c r="AF224" s="3572" t="n"/>
      <c r="AG224" s="1323" t="n"/>
      <c r="AH224" s="3574" t="n"/>
      <c r="AJ224" s="3572" t="n"/>
      <c r="AK224" s="1323" t="n"/>
      <c r="AL224" s="3574" t="n"/>
      <c r="AN224" s="3572" t="n"/>
      <c r="AO224" s="1323" t="n"/>
      <c r="AP224" s="3574" t="n"/>
      <c r="AR224" s="3572" t="n"/>
      <c r="AS224" s="1323" t="n"/>
      <c r="AT224" s="3574" t="n"/>
      <c r="AV224" s="3572" t="n"/>
      <c r="AW224" s="1323" t="n"/>
      <c r="AX224" s="3574" t="n"/>
      <c r="AZ224" s="3572" t="n"/>
      <c r="BA224" s="1323" t="n"/>
      <c r="BB224" s="3574" t="n"/>
      <c r="BD224" s="3572" t="n"/>
      <c r="BE224" s="1323" t="n"/>
      <c r="BF224" s="3574" t="n"/>
      <c r="BG224" s="1568" t="n"/>
    </row>
    <row r="225" s="1168" customFormat="1" ht="15" customHeight="1">
      <c r="A225" s="3445" t="n"/>
      <c r="B225" s="3538" t="n"/>
      <c r="C225" s="101" t="n"/>
      <c r="E225" s="3464" t="n"/>
      <c r="F225" s="1172" t="n"/>
      <c r="G225" s="1283" t="inlineStr">
        <is>
          <t xml:space="preserve">Gas</t>
        </is>
      </c>
      <c r="H225" s="3620">
        <f>J225*$I$14</f>
        <v>9656.075</v>
      </c>
      <c r="I225" s="1429">
        <f>IFERROR(H225/$H$44,0)</f>
        <v>0.0065</v>
      </c>
      <c r="J225" s="3667">
        <v>0.481</v>
      </c>
      <c r="K225" s="1172" t="n"/>
      <c r="L225" s="3608">
        <f>N225*$M$14</f>
        <v>11525.84225</v>
      </c>
      <c r="M225" s="1330">
        <f>IFERROR(L225/$L$44,0)</f>
        <v>0.0064362745098</v>
      </c>
      <c r="N225" s="3667">
        <f>J225*(1+$L$6)</f>
        <v>0.48581</v>
      </c>
      <c r="P225" s="3620">
        <f>R225*$Q$14</f>
        <v>12894.757668</v>
      </c>
      <c r="Q225" s="1332">
        <f>IFERROR(P225/$P$44,0)</f>
        <v>0.00637317377932</v>
      </c>
      <c r="R225" s="3667">
        <f>N225*(1+$L$6)</f>
        <v>0.4906681</v>
      </c>
      <c r="T225" s="3620">
        <f>V225*$U$14</f>
        <v>13023.7052447</v>
      </c>
      <c r="U225" s="1429">
        <f>IFERROR(T225/$T$44,0)</f>
        <v>0.00631069168344</v>
      </c>
      <c r="V225" s="3667">
        <f>R225*(1+$L$6)</f>
        <v>0.495574781</v>
      </c>
      <c r="X225" s="3620">
        <f>Z225*$Y$14</f>
        <v>13153.9422971</v>
      </c>
      <c r="Y225" s="1429">
        <f>IFERROR(X225/$X$44,0)</f>
        <v>0.00624882215713</v>
      </c>
      <c r="Z225" s="3667">
        <f>V225*(1+$L$6)</f>
        <v>0.50053052881</v>
      </c>
      <c r="AB225" s="3620">
        <f>AD225*$AC$14</f>
        <v>13285.4817201</v>
      </c>
      <c r="AC225" s="1429">
        <f>IFERROR(AB225/$AB$44,0)</f>
        <v>0.00618755919481</v>
      </c>
      <c r="AD225" s="3667">
        <f>Z225*(1+$L$6)</f>
        <v>0.505535834098</v>
      </c>
      <c r="AF225" s="3620">
        <f>AH225*$AG$14</f>
        <v>13418.3365373</v>
      </c>
      <c r="AG225" s="1429">
        <f>IFERROR(AF225/$AF$44,0)</f>
        <v>0.00612689684976</v>
      </c>
      <c r="AH225" s="3667">
        <f>AD225*(1+$L$6)</f>
        <v>0.510591192439</v>
      </c>
      <c r="AJ225" s="3620">
        <f>AL225*$AK$14</f>
        <v>13552.5199027</v>
      </c>
      <c r="AK225" s="1429">
        <f>IFERROR(AJ225/$AJ$44,0)</f>
        <v>0.00606682923359</v>
      </c>
      <c r="AL225" s="3667">
        <f>AH225*(1+$L$6)</f>
        <v>0.515697104363</v>
      </c>
      <c r="AN225" s="3620">
        <f>AP225*$AO$14</f>
        <v>13688.0451017</v>
      </c>
      <c r="AO225" s="1429">
        <f>IFERROR(AN225/$AN$44,0)</f>
        <v>0.00600735051561</v>
      </c>
      <c r="AP225" s="3667">
        <f>AL225*(1+$L$6)</f>
        <v>0.520854075407</v>
      </c>
      <c r="AR225" s="3620">
        <f>AT225*$AS$14</f>
        <v>13824.9255527</v>
      </c>
      <c r="AS225" s="1429">
        <f>IFERROR(AR225/$AR$44,0)</f>
        <v>0.00594845492232</v>
      </c>
      <c r="AT225" s="3667">
        <f>AP225*(1+$L$6)</f>
        <v>0.526062616161</v>
      </c>
      <c r="AV225" s="3620">
        <f>AX225*$AW$14</f>
        <v>13963.1748082</v>
      </c>
      <c r="AW225" s="1429">
        <f>IFERROR(AV225/$AV$44,0)</f>
        <v>0.00600793947154</v>
      </c>
      <c r="AX225" s="3667">
        <f>AT225*(1+$L$6)</f>
        <v>0.531323242323</v>
      </c>
      <c r="AZ225" s="3620">
        <f>BB225*$BA$14</f>
        <v>14102.8065563</v>
      </c>
      <c r="BA225" s="1429">
        <f>IFERROR(AZ225/$AZ$44,0)</f>
        <v>0.00606801886626</v>
      </c>
      <c r="BB225" s="3667">
        <f>AX225*(1+$L$6)</f>
        <v>0.536636474746</v>
      </c>
      <c r="BD225" s="3620" t="n">
        <f t="array" ref="BD225">IFERROR($H225/12,0)</f>
        <v>804.6729166666665</v>
      </c>
      <c r="BE225" s="1429" t="n">
        <f t="array" ref="BE225">IFERROR($H225/$H$44,0)</f>
        <v>0.006499999999999999</v>
      </c>
      <c r="BF225" s="3667" t="n">
        <f t="array" ref="BF225">IFERROR(($H225/12)/1650,0)</f>
        <v>0.48768055555555545</v>
      </c>
      <c r="BG225" s="1568" t="n"/>
    </row>
    <row r="226" s="1168" customFormat="1" ht="15" customHeight="1">
      <c r="A226" s="3445" t="n"/>
      <c r="B226" s="3538" t="n"/>
      <c r="C226" s="101" t="n"/>
      <c r="E226" s="3464" t="n">
        <v>300</v>
      </c>
      <c r="F226" s="1172" t="n"/>
      <c r="G226" s="1283" t="inlineStr">
        <is>
          <t xml:space="preserve">Waste Removal</t>
        </is>
      </c>
      <c r="H226" s="3641">
        <f>J226*$I$14</f>
        <v>3600</v>
      </c>
      <c r="I226" s="1378">
        <f>IFERROR(H226/$H$44,0)</f>
        <v>0.0024233448891</v>
      </c>
      <c r="J226" s="3639">
        <v>0.179327521793</v>
      </c>
      <c r="K226" s="1172" t="n"/>
      <c r="L226" s="3640">
        <f>N226*$M$14</f>
        <v>4297.09090909</v>
      </c>
      <c r="M226" s="1381">
        <f>IFERROR(L226/$L$44,0)</f>
        <v>0.00239958660587</v>
      </c>
      <c r="N226" s="3639">
        <f>J226*(1+$L$6)</f>
        <v>0.181120797011</v>
      </c>
      <c r="P226" s="3641">
        <f>R226*$Q$14</f>
        <v>4807.45309091</v>
      </c>
      <c r="Q226" s="1378">
        <f>IFERROR(P226/$P$44,0)</f>
        <v>0.00237606124699</v>
      </c>
      <c r="R226" s="3639">
        <f>N226*(1+$L$6)</f>
        <v>0.182932004981</v>
      </c>
      <c r="T226" s="3641">
        <f>V226*$U$14</f>
        <v>4855.52762182</v>
      </c>
      <c r="U226" s="1378">
        <f>IFERROR(T226/$T$44,0)</f>
        <v>0.00235276652888</v>
      </c>
      <c r="V226" s="3639">
        <f>R226*(1+$L$6)</f>
        <v>0.184761325031</v>
      </c>
      <c r="X226" s="3641">
        <f>Z226*$Y$14</f>
        <v>4904.08289804</v>
      </c>
      <c r="Y226" s="1378">
        <f>IFERROR(X226/$X$44,0)</f>
        <v>0.00232970019036</v>
      </c>
      <c r="Z226" s="3639">
        <f>V226*(1+$L$6)</f>
        <v>0.186608938281</v>
      </c>
      <c r="AB226" s="3641">
        <f>AD226*$AC$14</f>
        <v>4953.12372702</v>
      </c>
      <c r="AC226" s="1378">
        <f>IFERROR(AB226/$AB$44,0)</f>
        <v>0.00230685999242</v>
      </c>
      <c r="AD226" s="3639">
        <f>Z226*(1+$L$6)</f>
        <v>0.188475027664</v>
      </c>
      <c r="AF226" s="3641">
        <f>AH226*$AG$14</f>
        <v>5002.65496429</v>
      </c>
      <c r="AG226" s="1378">
        <f>IFERROR(AF226/$AF$44,0)</f>
        <v>0.00228424371798</v>
      </c>
      <c r="AH226" s="3639">
        <f>AD226*(1+$L$6)</f>
        <v>0.190359777941</v>
      </c>
      <c r="AJ226" s="3641">
        <f>AL226*$AK$14</f>
        <v>5052.68151393</v>
      </c>
      <c r="AK226" s="1378">
        <f>IFERROR(AJ226/$AJ$44,0)</f>
        <v>0.00226184917173</v>
      </c>
      <c r="AL226" s="3639">
        <f>AH226*(1+$L$6)</f>
        <v>0.19226337572</v>
      </c>
      <c r="AN226" s="3641">
        <f>AP226*$AO$14</f>
        <v>5103.20832907</v>
      </c>
      <c r="AO226" s="1378">
        <f>IFERROR(AN226/$AN$44,0)</f>
        <v>0.00223967417985</v>
      </c>
      <c r="AP226" s="3639">
        <f>AL226*(1+$L$6)</f>
        <v>0.194186009478</v>
      </c>
      <c r="AR226" s="3641">
        <f>AT226*$AS$14</f>
        <v>5154.24041236</v>
      </c>
      <c r="AS226" s="1378">
        <f>IFERROR(AR226/$AR$44,0)</f>
        <v>0.00221771658985</v>
      </c>
      <c r="AT226" s="3639">
        <f>AP226*(1+$L$6)</f>
        <v>0.196127869572</v>
      </c>
      <c r="AV226" s="3641">
        <f>AX226*$AW$14</f>
        <v>5205.78281648</v>
      </c>
      <c r="AW226" s="1378">
        <f>IFERROR(AV226/$AV$44,0)</f>
        <v>0.00223989375575</v>
      </c>
      <c r="AX226" s="3639">
        <f>AT226*(1+$L$6)</f>
        <v>0.198089148268</v>
      </c>
      <c r="AZ226" s="3641">
        <f>BB226*$BA$14</f>
        <v>5257.84064465</v>
      </c>
      <c r="BA226" s="1378">
        <f>IFERROR(AZ226/$AZ$44,0)</f>
        <v>0.00226229269331</v>
      </c>
      <c r="BB226" s="3639">
        <f>AX226*(1+$L$6)</f>
        <v>0.200070039751</v>
      </c>
      <c r="BD226" s="3641" t="n">
        <f t="array" ref="BD226">IFERROR($H226/12,0)</f>
        <v>300</v>
      </c>
      <c r="BE226" s="1378" t="n">
        <f t="array" ref="BE226">IFERROR($H226/$H$44,0)</f>
        <v>0.0024233448890983137</v>
      </c>
      <c r="BF226" s="3639" t="n">
        <f t="array" ref="BF226">IFERROR(($H226/12)/1650,0)</f>
        <v>0.18181818181818182</v>
      </c>
      <c r="BG226" s="1568" t="n"/>
    </row>
    <row r="227" s="1168" customFormat="1" ht="15" customHeight="1">
      <c r="A227" s="3445" t="n"/>
      <c r="B227" s="3538" t="n"/>
      <c r="C227" s="101" t="n"/>
      <c r="E227" s="3464" t="n"/>
      <c r="F227" s="1172" t="n"/>
      <c r="G227" s="1283" t="inlineStr">
        <is>
          <t xml:space="preserve">Electricity</t>
        </is>
      </c>
      <c r="H227" s="3678">
        <f>J227*$I$14</f>
        <v>44566.5</v>
      </c>
      <c r="I227" s="1465">
        <f>IFERROR(H227/$H$44,0)</f>
        <v>0.03</v>
      </c>
      <c r="J227" s="3562">
        <v>2.22</v>
      </c>
      <c r="K227" s="1172" t="n"/>
      <c r="L227" s="3679">
        <f>N227*$M$14</f>
        <v>53196.195</v>
      </c>
      <c r="M227" s="1450">
        <f>IFERROR(L227/$L$44,0)</f>
        <v>0.0297058823529</v>
      </c>
      <c r="N227" s="3562">
        <f>J227*(1+$L$6)</f>
        <v>2.2422</v>
      </c>
      <c r="P227" s="3678">
        <f>R227*$Q$14</f>
        <v>59514.26616</v>
      </c>
      <c r="Q227" s="1465">
        <f>IFERROR(P227/$P$44,0)</f>
        <v>0.0294146482122</v>
      </c>
      <c r="R227" s="3562">
        <f>N227*(1+$L$6)</f>
        <v>2.264622</v>
      </c>
      <c r="T227" s="3678">
        <f>V227*$U$14</f>
        <v>60109.4088216</v>
      </c>
      <c r="U227" s="1465">
        <f>IFERROR(T227/$T$44,0)</f>
        <v>0.0291262693082</v>
      </c>
      <c r="V227" s="3562">
        <f>R227*(1+$L$6)</f>
        <v>2.28726822</v>
      </c>
      <c r="X227" s="3678">
        <f>Z227*$Y$14</f>
        <v>60710.5029098</v>
      </c>
      <c r="Y227" s="1465">
        <f>IFERROR(X227/$X$44,0)</f>
        <v>0.0288407176483</v>
      </c>
      <c r="Z227" s="3562">
        <f>V227*(1+$L$6)</f>
        <v>2.3101409022</v>
      </c>
      <c r="AB227" s="3678">
        <f>AD227*$AC$14</f>
        <v>61317.6079389</v>
      </c>
      <c r="AC227" s="1465">
        <f>IFERROR(AB227/$AB$44,0)</f>
        <v>0.0285579655145</v>
      </c>
      <c r="AD227" s="3562">
        <f>Z227*(1+$L$6)</f>
        <v>2.33324231122</v>
      </c>
      <c r="AF227" s="3678">
        <f>AH227*$AG$14</f>
        <v>61930.7840183</v>
      </c>
      <c r="AG227" s="1465">
        <f>IFERROR(AF227/$AF$44,0)</f>
        <v>0.0282779854604</v>
      </c>
      <c r="AH227" s="3562">
        <f>AD227*(1+$L$6)</f>
        <v>2.35657473433</v>
      </c>
      <c r="AJ227" s="3678">
        <f>AL227*$AK$14</f>
        <v>62550.0918585</v>
      </c>
      <c r="AK227" s="1465">
        <f>IFERROR(AJ227/$AJ$44,0)</f>
        <v>0.0280007503089</v>
      </c>
      <c r="AL227" s="3562">
        <f>AH227*(1+$L$6)</f>
        <v>2.38014048168</v>
      </c>
      <c r="AN227" s="3678">
        <f>AP227*$AO$14</f>
        <v>63175.5927771</v>
      </c>
      <c r="AO227" s="1465">
        <f>IFERROR(AN227/$AN$44,0)</f>
        <v>0.027726233149</v>
      </c>
      <c r="AP227" s="3562">
        <f>AL227*(1+$L$6)</f>
        <v>2.40394188649</v>
      </c>
      <c r="AR227" s="3678">
        <f>AT227*$AS$14</f>
        <v>63807.3487048</v>
      </c>
      <c r="AS227" s="1465">
        <f>IFERROR(AR227/$AR$44,0)</f>
        <v>0.0274544073338</v>
      </c>
      <c r="AT227" s="3562">
        <f>AP227*(1+$L$6)</f>
        <v>2.42798130536</v>
      </c>
      <c r="AV227" s="3678">
        <f>AX227*$AW$14</f>
        <v>64445.4221919</v>
      </c>
      <c r="AW227" s="1465">
        <f>IFERROR(AV227/$AV$44,0)</f>
        <v>0.0277289514071</v>
      </c>
      <c r="AX227" s="3562">
        <f>AT227*(1+$L$6)</f>
        <v>2.45226111841</v>
      </c>
      <c r="AZ227" s="3678">
        <f>BB227*$BA$14</f>
        <v>65089.8764138</v>
      </c>
      <c r="BA227" s="1465">
        <f>IFERROR(AZ227/$AZ$44,0)</f>
        <v>0.0280062409212</v>
      </c>
      <c r="BB227" s="3562">
        <f>AX227*(1+$L$6)</f>
        <v>2.4767837296</v>
      </c>
      <c r="BD227" s="3678" t="n">
        <f t="array" ref="BD227">IFERROR($H227/12,0)</f>
        <v>3713.875</v>
      </c>
      <c r="BE227" s="1465" t="n">
        <f t="array" ref="BE227">IFERROR($H227/$H$44,0)</f>
        <v>0.03</v>
      </c>
      <c r="BF227" s="3562" t="n">
        <f t="array" ref="BF227">IFERROR(($H227/12)/1650,0)</f>
        <v>2.2508333333333335</v>
      </c>
      <c r="BG227" s="1568" t="n"/>
    </row>
    <row r="228" s="1168" customFormat="1" ht="15" customHeight="1">
      <c r="A228" s="3445" t="n"/>
      <c r="B228" s="3538" t="n"/>
      <c r="C228" s="101" t="n"/>
      <c r="E228" s="3464" t="n"/>
      <c r="F228" s="1172" t="n"/>
      <c r="G228" s="1283" t="inlineStr">
        <is>
          <t xml:space="preserve">Water</t>
        </is>
      </c>
      <c r="H228" s="3586">
        <f>J228*$I$14</f>
        <v>7427.75</v>
      </c>
      <c r="I228" s="1292">
        <f>IFERROR(H228/$H$44,0)</f>
        <v>0.005</v>
      </c>
      <c r="J228" s="3662">
        <v>0.37</v>
      </c>
      <c r="K228" s="1172" t="n"/>
      <c r="L228" s="3585">
        <f>N228*$M$14</f>
        <v>8866.0325</v>
      </c>
      <c r="M228" s="1289">
        <f>IFERROR(L228/$L$44,0)</f>
        <v>0.00495098039216</v>
      </c>
      <c r="N228" s="3662">
        <f>J228*(1+$L$6)</f>
        <v>0.3737</v>
      </c>
      <c r="P228" s="3586">
        <f>R228*$Q$14</f>
        <v>9919.04436</v>
      </c>
      <c r="Q228" s="1292">
        <f>IFERROR(P228/$P$44,0)</f>
        <v>0.0049024413687</v>
      </c>
      <c r="R228" s="3662">
        <f>N228*(1+$L$6)</f>
        <v>0.377437</v>
      </c>
      <c r="T228" s="3586">
        <f>V228*$U$14</f>
        <v>10018.2348036</v>
      </c>
      <c r="U228" s="1292">
        <f>IFERROR(T228/$T$44,0)</f>
        <v>0.00485437821803</v>
      </c>
      <c r="V228" s="3662">
        <f>R228*(1+$L$6)</f>
        <v>0.38121137</v>
      </c>
      <c r="X228" s="3586">
        <f>Z228*$Y$14</f>
        <v>10118.4171516</v>
      </c>
      <c r="Y228" s="1292">
        <f>IFERROR(X228/$X$44,0)</f>
        <v>0.00480678627472</v>
      </c>
      <c r="Z228" s="3662">
        <f>V228*(1+$L$6)</f>
        <v>0.3850234837</v>
      </c>
      <c r="AB228" s="3586">
        <f>AD228*$AC$14</f>
        <v>10219.6013232</v>
      </c>
      <c r="AC228" s="1292">
        <f>IFERROR(AB228/$AB$44,0)</f>
        <v>0.00475966091908</v>
      </c>
      <c r="AD228" s="3662">
        <f>Z228*(1+$L$6)</f>
        <v>0.388873718537</v>
      </c>
      <c r="AF228" s="3586">
        <f>AH228*$AG$14</f>
        <v>10321.7973364</v>
      </c>
      <c r="AG228" s="1292">
        <f>IFERROR(AF228/$AF$44,0)</f>
        <v>0.00471299757674</v>
      </c>
      <c r="AH228" s="3662">
        <f>AD228*(1+$L$6)</f>
        <v>0.392762455722</v>
      </c>
      <c r="AJ228" s="3586">
        <f>AL228*$AK$14</f>
        <v>10425.0153097</v>
      </c>
      <c r="AK228" s="1292">
        <f>IFERROR(AJ228/$AJ$44,0)</f>
        <v>0.00466679171814</v>
      </c>
      <c r="AL228" s="3662">
        <f>AH228*(1+$L$6)</f>
        <v>0.39669008028</v>
      </c>
      <c r="AN228" s="3586">
        <f>AP228*$AO$14</f>
        <v>10529.2654628</v>
      </c>
      <c r="AO228" s="1292">
        <f>IFERROR(AN228/$AN$44,0)</f>
        <v>0.00462103885816</v>
      </c>
      <c r="AP228" s="3662">
        <f>AL228*(1+$L$6)</f>
        <v>0.400656981082</v>
      </c>
      <c r="AR228" s="3586">
        <f>AT228*$AS$14</f>
        <v>10634.5581175</v>
      </c>
      <c r="AS228" s="1292">
        <f>IFERROR(AR228/$AR$44,0)</f>
        <v>0.00457573455563</v>
      </c>
      <c r="AT228" s="3662">
        <f>AP228*(1+$L$6)</f>
        <v>0.404663550893</v>
      </c>
      <c r="AV228" s="3586">
        <f>AX228*$AW$14</f>
        <v>10740.9036986</v>
      </c>
      <c r="AW228" s="1292">
        <f>IFERROR(AV228/$AV$44,0)</f>
        <v>0.00462149190119</v>
      </c>
      <c r="AX228" s="3662">
        <f>AT228*(1+$L$6)</f>
        <v>0.408710186402</v>
      </c>
      <c r="AZ228" s="3586">
        <f>BB228*$BA$14</f>
        <v>10848.3127356</v>
      </c>
      <c r="BA228" s="1292">
        <f>IFERROR(AZ228/$AZ$44,0)</f>
        <v>0.0046677068202</v>
      </c>
      <c r="BB228" s="3662">
        <f>AX228*(1+$L$6)</f>
        <v>0.412797288266</v>
      </c>
      <c r="BC228" s="1426" t="n"/>
      <c r="BD228" s="3586" t="n">
        <f t="array" ref="BD228">IFERROR($H228/12,0)</f>
        <v>618.9791666666666</v>
      </c>
      <c r="BE228" s="1292" t="n">
        <f t="array" ref="BE228">IFERROR($H228/$H$44,0)</f>
        <v>0.005</v>
      </c>
      <c r="BF228" s="3662" t="n">
        <f t="array" ref="BF228">IFERROR(($H228/12)/1650,0)</f>
        <v>0.37513888888888886</v>
      </c>
      <c r="BG228" s="1568" t="n"/>
    </row>
    <row r="229" s="1168" customFormat="1" ht="15" customHeight="1">
      <c r="A229" s="3445" t="n"/>
      <c r="B229" s="3538" t="n"/>
      <c r="C229" s="101" t="n"/>
      <c r="E229" s="3464" t="n"/>
      <c r="F229" s="1172" t="n"/>
      <c r="G229" s="1283" t="inlineStr">
        <is>
          <t xml:space="preserve">Sewage</t>
        </is>
      </c>
      <c r="H229" s="3586">
        <f>J229*$I$14</f>
        <v>2228.325</v>
      </c>
      <c r="I229" s="1292">
        <f>IFERROR(H229/$H$44,0)</f>
        <v>0.0015</v>
      </c>
      <c r="J229" s="3662">
        <v>0.111</v>
      </c>
      <c r="K229" s="1172" t="n"/>
      <c r="L229" s="3585">
        <f>N229*$M$14</f>
        <v>2659.80975</v>
      </c>
      <c r="M229" s="1289">
        <f>IFERROR(L229/$L$44,0)</f>
        <v>0.00148529411765</v>
      </c>
      <c r="N229" s="3662">
        <f>J229*(1+$L$6)</f>
        <v>0.11211</v>
      </c>
      <c r="P229" s="3586">
        <f>R229*$Q$14</f>
        <v>2975.713308</v>
      </c>
      <c r="Q229" s="1292">
        <f>IFERROR(P229/$P$44,0)</f>
        <v>0.00147073241061</v>
      </c>
      <c r="R229" s="3662">
        <f>N229*(1+$L$6)</f>
        <v>0.1132311</v>
      </c>
      <c r="T229" s="3586">
        <f>V229*$U$14</f>
        <v>3005.47044108</v>
      </c>
      <c r="U229" s="1292">
        <f>IFERROR(T229/$T$44,0)</f>
        <v>0.00145631346541</v>
      </c>
      <c r="V229" s="3662">
        <f>R229*(1+$L$6)</f>
        <v>0.114363411</v>
      </c>
      <c r="X229" s="3586">
        <f>Z229*$Y$14</f>
        <v>3035.52514549</v>
      </c>
      <c r="Y229" s="1292">
        <f>IFERROR(X229/$X$44,0)</f>
        <v>0.00144203588242</v>
      </c>
      <c r="Z229" s="3662">
        <f>V229*(1+$L$6)</f>
        <v>0.11550704511</v>
      </c>
      <c r="AB229" s="3586">
        <f>AD229*$AC$14</f>
        <v>3065.88039695</v>
      </c>
      <c r="AC229" s="1292">
        <f>IFERROR(AB229/$AB$44,0)</f>
        <v>0.00142789827572</v>
      </c>
      <c r="AD229" s="3662">
        <f>Z229*(1+$L$6)</f>
        <v>0.116662115561</v>
      </c>
      <c r="AF229" s="3586">
        <f>AH229*$AG$14</f>
        <v>3096.53920092</v>
      </c>
      <c r="AG229" s="1292">
        <f>IFERROR(AF229/$AF$44,0)</f>
        <v>0.00141389927302</v>
      </c>
      <c r="AH229" s="3662">
        <f>AD229*(1+$L$6)</f>
        <v>0.117828736717</v>
      </c>
      <c r="AJ229" s="3586">
        <f>AL229*$AK$14</f>
        <v>3127.50459292</v>
      </c>
      <c r="AK229" s="1292">
        <f>IFERROR(AJ229/$AJ$44,0)</f>
        <v>0.00140003751544</v>
      </c>
      <c r="AL229" s="3662">
        <f>AH229*(1+$L$6)</f>
        <v>0.119007024084</v>
      </c>
      <c r="AN229" s="3586">
        <f>AP229*$AO$14</f>
        <v>3158.77963885</v>
      </c>
      <c r="AO229" s="1292">
        <f>IFERROR(AN229/$AN$44,0)</f>
        <v>0.00138631165745</v>
      </c>
      <c r="AP229" s="3662">
        <f>AL229*(1+$L$6)</f>
        <v>0.120197094325</v>
      </c>
      <c r="AR229" s="3586">
        <f>AT229*$AS$14</f>
        <v>3190.36743524</v>
      </c>
      <c r="AS229" s="1292">
        <f>IFERROR(AR229/$AR$44,0)</f>
        <v>0.00137272036669</v>
      </c>
      <c r="AT229" s="3662">
        <f>AP229*(1+$L$6)</f>
        <v>0.121399065268</v>
      </c>
      <c r="AV229" s="3586">
        <f>AX229*$AW$14</f>
        <v>3222.27110959</v>
      </c>
      <c r="AW229" s="1292">
        <f>IFERROR(AV229/$AV$44,0)</f>
        <v>0.00138644757036</v>
      </c>
      <c r="AX229" s="3662">
        <f>AT229*(1+$L$6)</f>
        <v>0.122613055921</v>
      </c>
      <c r="AZ229" s="3586">
        <f>BB229*$BA$14</f>
        <v>3254.49382069</v>
      </c>
      <c r="BA229" s="1292">
        <f>IFERROR(AZ229/$AZ$44,0)</f>
        <v>0.00140031204606</v>
      </c>
      <c r="BB229" s="3662">
        <f>AX229*(1+$L$6)</f>
        <v>0.12383918648</v>
      </c>
      <c r="BC229" s="1426" t="n"/>
      <c r="BD229" s="3586" t="n">
        <f t="array" ref="BD229">IFERROR($H229/12,0)</f>
        <v>185.69375000000002</v>
      </c>
      <c r="BE229" s="1292" t="n">
        <f t="array" ref="BE229">IFERROR($H229/$H$44,0)</f>
        <v>0.0015000000000000002</v>
      </c>
      <c r="BF229" s="3662" t="n">
        <f t="array" ref="BF229">IFERROR(($H229/12)/1650,0)</f>
        <v>0.11254166666666668</v>
      </c>
      <c r="BG229" s="1568" t="n"/>
    </row>
    <row r="230" s="1168" customFormat="1" ht="15" customHeight="1">
      <c r="A230" s="3445" t="n"/>
      <c r="B230" s="3538" t="n"/>
      <c r="C230" s="101" t="n"/>
      <c r="E230" s="3464" t="n"/>
      <c r="F230" s="1172" t="n"/>
      <c r="G230" s="1283" t="inlineStr">
        <is>
          <t xml:space="preserve">TBA</t>
        </is>
      </c>
      <c r="H230" s="3586">
        <f>J230*$I$14</f>
        <v>0</v>
      </c>
      <c r="I230" s="1292">
        <f>IFERROR(H230/$H$44,0)</f>
        <v>0</v>
      </c>
      <c r="J230" s="3662">
        <v>0</v>
      </c>
      <c r="K230" s="1172" t="n"/>
      <c r="L230" s="3585">
        <f>N230*$M$14</f>
        <v>0</v>
      </c>
      <c r="M230" s="1289">
        <f>IFERROR(L230/$L$44,0)</f>
        <v>0</v>
      </c>
      <c r="N230" s="3662">
        <f>J230*(1+$L$6)</f>
        <v>0</v>
      </c>
      <c r="P230" s="3586">
        <f>R230*$Q$14</f>
        <v>0</v>
      </c>
      <c r="Q230" s="1292">
        <f>IFERROR(P230/$P$44,0)</f>
        <v>0</v>
      </c>
      <c r="R230" s="3662">
        <f>N230*(1+$L$6)</f>
        <v>0</v>
      </c>
      <c r="T230" s="3586">
        <f>V230*$U$14</f>
        <v>0</v>
      </c>
      <c r="U230" s="1292">
        <f>IFERROR(T230/$T$44,0)</f>
        <v>0</v>
      </c>
      <c r="V230" s="3662">
        <f>R230*(1+$L$6)</f>
        <v>0</v>
      </c>
      <c r="X230" s="3586">
        <f>Z230*$Y$14</f>
        <v>0</v>
      </c>
      <c r="Y230" s="1292">
        <f>IFERROR(X230/$X$44,0)</f>
        <v>0</v>
      </c>
      <c r="Z230" s="3662">
        <f>V230*(1+$L$6)</f>
        <v>0</v>
      </c>
      <c r="AB230" s="3586">
        <f>AD230*$AC$14</f>
        <v>0</v>
      </c>
      <c r="AC230" s="1292">
        <f>IFERROR(AB230/$AB$44,0)</f>
        <v>0</v>
      </c>
      <c r="AD230" s="3662">
        <f>Z230*(1+$L$6)</f>
        <v>0</v>
      </c>
      <c r="AF230" s="3586">
        <f>AH230*$AG$14</f>
        <v>0</v>
      </c>
      <c r="AG230" s="1292">
        <f>IFERROR(AF230/$AF$44,0)</f>
        <v>0</v>
      </c>
      <c r="AH230" s="3662">
        <f>AD230*(1+$L$6)</f>
        <v>0</v>
      </c>
      <c r="AJ230" s="3586">
        <f>AL230*$AK$14</f>
        <v>0</v>
      </c>
      <c r="AK230" s="1292">
        <f>IFERROR(AJ230/$AJ$44,0)</f>
        <v>0</v>
      </c>
      <c r="AL230" s="3662">
        <f>AH230*(1+$L$6)</f>
        <v>0</v>
      </c>
      <c r="AN230" s="3586">
        <f>AP230*$AO$14</f>
        <v>0</v>
      </c>
      <c r="AO230" s="1292">
        <f>IFERROR(AN230/$AN$44,0)</f>
        <v>0</v>
      </c>
      <c r="AP230" s="3662">
        <f>AL230*(1+$L$6)</f>
        <v>0</v>
      </c>
      <c r="AR230" s="3586">
        <f>AT230*$AS$14</f>
        <v>0</v>
      </c>
      <c r="AS230" s="1292">
        <f>IFERROR(AR230/$AR$44,0)</f>
        <v>0</v>
      </c>
      <c r="AT230" s="3662">
        <f>AP230*(1+$L$6)</f>
        <v>0</v>
      </c>
      <c r="AV230" s="3586">
        <f>AX230*$AW$14</f>
        <v>0</v>
      </c>
      <c r="AW230" s="1292">
        <f>IFERROR(AV230/$AV$44,0)</f>
        <v>0</v>
      </c>
      <c r="AX230" s="3662">
        <f>AT230*(1+$L$6)</f>
        <v>0</v>
      </c>
      <c r="AZ230" s="3586">
        <f>BB230*$BA$14</f>
        <v>0</v>
      </c>
      <c r="BA230" s="1292">
        <f>IFERROR(AZ230/$AZ$44,0)</f>
        <v>0</v>
      </c>
      <c r="BB230" s="3662">
        <f>AX230*(1+$L$6)</f>
        <v>0</v>
      </c>
      <c r="BC230" s="1426" t="n"/>
      <c r="BD230" s="3586" t="n">
        <f t="array" ref="BD230">IFERROR($H230/12,0)</f>
        <v>0</v>
      </c>
      <c r="BE230" s="1292" t="n">
        <f t="array" ref="BE230">IFERROR($H230/$H$44,0)</f>
        <v>0</v>
      </c>
      <c r="BF230" s="3662" t="n">
        <f t="array" ref="BF230">IFERROR(($H230/12)/1650,0)</f>
        <v>0</v>
      </c>
      <c r="BG230" s="1568" t="n"/>
    </row>
    <row r="231" s="1168" customFormat="1" ht="15" customHeight="1">
      <c r="A231" s="3445" t="n"/>
      <c r="B231" s="3538" t="n"/>
      <c r="C231" s="101" t="n"/>
      <c r="E231" s="3464" t="n"/>
      <c r="F231" s="1172" t="n"/>
      <c r="G231" s="1283" t="inlineStr">
        <is>
          <t xml:space="preserve">TBA</t>
        </is>
      </c>
      <c r="H231" s="3586">
        <f>J231*$I$14</f>
        <v>0</v>
      </c>
      <c r="I231" s="1292">
        <f>IFERROR(H231/$H$44,0)</f>
        <v>0</v>
      </c>
      <c r="J231" s="3662">
        <v>0</v>
      </c>
      <c r="K231" s="1172" t="n"/>
      <c r="L231" s="3585">
        <f>N231*$M$14</f>
        <v>0</v>
      </c>
      <c r="M231" s="1289">
        <f>IFERROR(L231/$L$44,0)</f>
        <v>0</v>
      </c>
      <c r="N231" s="3662">
        <f>J231*(1+$L$6)</f>
        <v>0</v>
      </c>
      <c r="P231" s="3586">
        <f>R231*$Q$14</f>
        <v>0</v>
      </c>
      <c r="Q231" s="1292">
        <f>IFERROR(P231/$P$44,0)</f>
        <v>0</v>
      </c>
      <c r="R231" s="3662">
        <f>N231*(1+$L$6)</f>
        <v>0</v>
      </c>
      <c r="T231" s="3586">
        <f>V231*$U$14</f>
        <v>0</v>
      </c>
      <c r="U231" s="1292">
        <f>IFERROR(T231/$T$44,0)</f>
        <v>0</v>
      </c>
      <c r="V231" s="3662">
        <f>R231*(1+$L$6)</f>
        <v>0</v>
      </c>
      <c r="X231" s="3586">
        <f>Z231*$Y$14</f>
        <v>0</v>
      </c>
      <c r="Y231" s="1292">
        <f>IFERROR(X231/$X$44,0)</f>
        <v>0</v>
      </c>
      <c r="Z231" s="3662">
        <f>V231*(1+$L$6)</f>
        <v>0</v>
      </c>
      <c r="AB231" s="3586">
        <f>AD231*$AC$14</f>
        <v>0</v>
      </c>
      <c r="AC231" s="1292">
        <f>IFERROR(AB231/$AB$44,0)</f>
        <v>0</v>
      </c>
      <c r="AD231" s="3662">
        <f>Z231*(1+$L$6)</f>
        <v>0</v>
      </c>
      <c r="AF231" s="3586">
        <f>AH231*$AG$14</f>
        <v>0</v>
      </c>
      <c r="AG231" s="1292">
        <f>IFERROR(AF231/$AF$44,0)</f>
        <v>0</v>
      </c>
      <c r="AH231" s="3662">
        <f>AD231*(1+$L$6)</f>
        <v>0</v>
      </c>
      <c r="AJ231" s="3586">
        <f>AL231*$AK$14</f>
        <v>0</v>
      </c>
      <c r="AK231" s="1292">
        <f>IFERROR(AJ231/$AJ$44,0)</f>
        <v>0</v>
      </c>
      <c r="AL231" s="3662">
        <f>AH231*(1+$L$6)</f>
        <v>0</v>
      </c>
      <c r="AN231" s="3586">
        <f>AP231*$AO$14</f>
        <v>0</v>
      </c>
      <c r="AO231" s="1292">
        <f>IFERROR(AN231/$AN$44,0)</f>
        <v>0</v>
      </c>
      <c r="AP231" s="3662">
        <f>AL231*(1+$L$6)</f>
        <v>0</v>
      </c>
      <c r="AR231" s="3586">
        <f>AT231*$AS$14</f>
        <v>0</v>
      </c>
      <c r="AS231" s="1292">
        <f>IFERROR(AR231/$AR$44,0)</f>
        <v>0</v>
      </c>
      <c r="AT231" s="3662">
        <f>AP231*(1+$L$6)</f>
        <v>0</v>
      </c>
      <c r="AV231" s="3586">
        <f>AX231*$AW$14</f>
        <v>0</v>
      </c>
      <c r="AW231" s="1292">
        <f>IFERROR(AV231/$AV$44,0)</f>
        <v>0</v>
      </c>
      <c r="AX231" s="3662">
        <f>AT231*(1+$L$6)</f>
        <v>0</v>
      </c>
      <c r="AZ231" s="3586">
        <f>BB231*$BA$14</f>
        <v>0</v>
      </c>
      <c r="BA231" s="1292">
        <f>IFERROR(AZ231/$AZ$44,0)</f>
        <v>0</v>
      </c>
      <c r="BB231" s="3662">
        <f>AX231*(1+$L$6)</f>
        <v>0</v>
      </c>
      <c r="BC231" s="1426" t="n"/>
      <c r="BD231" s="3586" t="n">
        <f t="array" ref="BD231">IFERROR($H231/12,0)</f>
        <v>0</v>
      </c>
      <c r="BE231" s="1292" t="n">
        <f t="array" ref="BE231">IFERROR($H231/$H$44,0)</f>
        <v>0</v>
      </c>
      <c r="BF231" s="3662" t="n">
        <f t="array" ref="BF231">IFERROR(($H231/12)/1650,0)</f>
        <v>0</v>
      </c>
      <c r="BG231" s="1568" t="n"/>
    </row>
    <row r="232" s="1168" customFormat="1" ht="15" customHeight="1">
      <c r="A232" s="3445" t="n"/>
      <c r="B232" s="3538" t="n"/>
      <c r="C232" s="101" t="n"/>
      <c r="E232" s="3464" t="n"/>
      <c r="F232" s="1172" t="n"/>
      <c r="G232" s="1283" t="inlineStr">
        <is>
          <t xml:space="preserve">TBA</t>
        </is>
      </c>
      <c r="H232" s="3586">
        <f>J232*$I$14</f>
        <v>0</v>
      </c>
      <c r="I232" s="1292">
        <f>IFERROR(H232/$H$44,0)</f>
        <v>0</v>
      </c>
      <c r="J232" s="3662">
        <v>0</v>
      </c>
      <c r="K232" s="1172" t="n"/>
      <c r="L232" s="3585">
        <f>N232*$M$14</f>
        <v>0</v>
      </c>
      <c r="M232" s="1289">
        <f>IFERROR(L232/$L$44,0)</f>
        <v>0</v>
      </c>
      <c r="N232" s="3662">
        <f>J232*(1+$L$6)</f>
        <v>0</v>
      </c>
      <c r="P232" s="3586">
        <f>R232*$Q$14</f>
        <v>0</v>
      </c>
      <c r="Q232" s="1292">
        <f>IFERROR(P232/$P$44,0)</f>
        <v>0</v>
      </c>
      <c r="R232" s="3662">
        <f>N232*(1+$L$6)</f>
        <v>0</v>
      </c>
      <c r="T232" s="3586">
        <f>V232*$U$14</f>
        <v>0</v>
      </c>
      <c r="U232" s="1292">
        <f>IFERROR(T232/$T$44,0)</f>
        <v>0</v>
      </c>
      <c r="V232" s="3662">
        <f>R232*(1+$L$6)</f>
        <v>0</v>
      </c>
      <c r="X232" s="3586">
        <f>Z232*$Y$14</f>
        <v>0</v>
      </c>
      <c r="Y232" s="1292">
        <f>IFERROR(X232/$X$44,0)</f>
        <v>0</v>
      </c>
      <c r="Z232" s="3662">
        <f>V232*(1+$L$6)</f>
        <v>0</v>
      </c>
      <c r="AB232" s="3586">
        <f>AD232*$AC$14</f>
        <v>0</v>
      </c>
      <c r="AC232" s="1292">
        <f>IFERROR(AB232/$AB$44,0)</f>
        <v>0</v>
      </c>
      <c r="AD232" s="3662">
        <f>Z232*(1+$L$6)</f>
        <v>0</v>
      </c>
      <c r="AF232" s="3586">
        <f>AH232*$AG$14</f>
        <v>0</v>
      </c>
      <c r="AG232" s="1292">
        <f>IFERROR(AF232/$AF$44,0)</f>
        <v>0</v>
      </c>
      <c r="AH232" s="3662">
        <f>AD232*(1+$L$6)</f>
        <v>0</v>
      </c>
      <c r="AJ232" s="3586">
        <f>AL232*$AK$14</f>
        <v>0</v>
      </c>
      <c r="AK232" s="1292">
        <f>IFERROR(AJ232/$AJ$44,0)</f>
        <v>0</v>
      </c>
      <c r="AL232" s="3662">
        <f>AH232*(1+$L$6)</f>
        <v>0</v>
      </c>
      <c r="AN232" s="3586">
        <f>AP232*$AO$14</f>
        <v>0</v>
      </c>
      <c r="AO232" s="1292">
        <f>IFERROR(AN232/$AN$44,0)</f>
        <v>0</v>
      </c>
      <c r="AP232" s="3662">
        <f>AL232*(1+$L$6)</f>
        <v>0</v>
      </c>
      <c r="AR232" s="3586">
        <f>AT232*$AS$14</f>
        <v>0</v>
      </c>
      <c r="AS232" s="1292">
        <f>IFERROR(AR232/$AR$44,0)</f>
        <v>0</v>
      </c>
      <c r="AT232" s="3662">
        <f>AP232*(1+$L$6)</f>
        <v>0</v>
      </c>
      <c r="AV232" s="3586">
        <f>AX232*$AW$14</f>
        <v>0</v>
      </c>
      <c r="AW232" s="1292">
        <f>IFERROR(AV232/$AV$44,0)</f>
        <v>0</v>
      </c>
      <c r="AX232" s="3662">
        <f>AT232*(1+$L$6)</f>
        <v>0</v>
      </c>
      <c r="AZ232" s="3586">
        <f>BB232*$BA$14</f>
        <v>0</v>
      </c>
      <c r="BA232" s="1292">
        <f>IFERROR(AZ232/$AZ$44,0)</f>
        <v>0</v>
      </c>
      <c r="BB232" s="3662">
        <f>AX232*(1+$L$6)</f>
        <v>0</v>
      </c>
      <c r="BC232" s="1426" t="n"/>
      <c r="BD232" s="3586" t="n">
        <f t="array" ref="BD232">IFERROR($H232/12,0)</f>
        <v>0</v>
      </c>
      <c r="BE232" s="1292" t="n">
        <f t="array" ref="BE232">IFERROR($H232/$H$44,0)</f>
        <v>0</v>
      </c>
      <c r="BF232" s="3662" t="n">
        <f t="array" ref="BF232">IFERROR(($H232/12)/1650,0)</f>
        <v>0</v>
      </c>
      <c r="BG232" s="1568" t="n"/>
    </row>
    <row r="233" s="1168" customFormat="1" ht="15.75" customHeight="1">
      <c r="A233" s="3445" t="n"/>
      <c r="B233" s="3538" t="n"/>
      <c r="C233" s="101" t="n"/>
      <c r="E233" s="3464" t="n"/>
      <c r="F233" s="1172" t="n"/>
      <c r="G233" s="1415" t="inlineStr">
        <is>
          <t xml:space="preserve">TBA </t>
        </is>
      </c>
      <c r="H233" s="3681">
        <f>J233*$I$14</f>
        <v>0</v>
      </c>
      <c r="I233" s="1310">
        <f>IFERROR(H233/$H$44,0)</f>
        <v>0</v>
      </c>
      <c r="J233" s="3595">
        <v>0</v>
      </c>
      <c r="K233" s="1172" t="n"/>
      <c r="L233" s="3682">
        <f>N233*$M$14</f>
        <v>0</v>
      </c>
      <c r="M233" s="1307">
        <f>IFERROR(L233/$L$44,0)</f>
        <v>0</v>
      </c>
      <c r="N233" s="3595">
        <f>J233*(1+$L$6)</f>
        <v>0</v>
      </c>
      <c r="P233" s="3681">
        <f>R233*$Q$14</f>
        <v>0</v>
      </c>
      <c r="Q233" s="1310">
        <f>IFERROR(P233/$P$44,0)</f>
        <v>0</v>
      </c>
      <c r="R233" s="3595">
        <f>N233*(1+$L$6)</f>
        <v>0</v>
      </c>
      <c r="T233" s="3681">
        <f>V233*$U$14</f>
        <v>0</v>
      </c>
      <c r="U233" s="1310">
        <f>IFERROR(T233/$T$44,0)</f>
        <v>0</v>
      </c>
      <c r="V233" s="3595">
        <f>R233*(1+$L$6)</f>
        <v>0</v>
      </c>
      <c r="X233" s="3681">
        <f>Z233*$Y$14</f>
        <v>0</v>
      </c>
      <c r="Y233" s="1310">
        <f>IFERROR(X233/$X$44,0)</f>
        <v>0</v>
      </c>
      <c r="Z233" s="3595">
        <f>V233*(1+$L$6)</f>
        <v>0</v>
      </c>
      <c r="AB233" s="3681">
        <f>AD233*$AC$14</f>
        <v>0</v>
      </c>
      <c r="AC233" s="1310">
        <f>IFERROR(AB233/$AB$44,0)</f>
        <v>0</v>
      </c>
      <c r="AD233" s="3595">
        <f>Z233*(1+$L$6)</f>
        <v>0</v>
      </c>
      <c r="AF233" s="3681">
        <f>AH233*$AG$14</f>
        <v>0</v>
      </c>
      <c r="AG233" s="1310">
        <f>IFERROR(AF233/$AF$44,0)</f>
        <v>0</v>
      </c>
      <c r="AH233" s="3595">
        <f>AD233*(1+$L$6)</f>
        <v>0</v>
      </c>
      <c r="AJ233" s="3681">
        <f>AL233*$AK$14</f>
        <v>0</v>
      </c>
      <c r="AK233" s="1310">
        <f>IFERROR(AJ233/$AJ$44,0)</f>
        <v>0</v>
      </c>
      <c r="AL233" s="3595">
        <f>AH233*(1+$L$6)</f>
        <v>0</v>
      </c>
      <c r="AN233" s="3681">
        <f>AP233*$AO$14</f>
        <v>0</v>
      </c>
      <c r="AO233" s="1310">
        <f>IFERROR(AN233/$AN$44,0)</f>
        <v>0</v>
      </c>
      <c r="AP233" s="3595">
        <f>AL233*(1+$L$6)</f>
        <v>0</v>
      </c>
      <c r="AR233" s="3681">
        <f>AT233*$AS$14</f>
        <v>0</v>
      </c>
      <c r="AS233" s="1310">
        <f>IFERROR(AR233/$AR$44,0)</f>
        <v>0</v>
      </c>
      <c r="AT233" s="3595">
        <f>AP233*(1+$L$6)</f>
        <v>0</v>
      </c>
      <c r="AV233" s="3681">
        <f>AX233*$AW$14</f>
        <v>0</v>
      </c>
      <c r="AW233" s="1310">
        <f>IFERROR(AV233/$AV$44,0)</f>
        <v>0</v>
      </c>
      <c r="AX233" s="3595">
        <f>AT233*(1+$L$6)</f>
        <v>0</v>
      </c>
      <c r="AZ233" s="3681">
        <f>BB233*$BA$14</f>
        <v>0</v>
      </c>
      <c r="BA233" s="1310">
        <f>IFERROR(AZ233/$AZ$44,0)</f>
        <v>0</v>
      </c>
      <c r="BB233" s="3595">
        <f>AX233*(1+$L$6)</f>
        <v>0</v>
      </c>
      <c r="BD233" s="3681" t="n">
        <f t="array" ref="BD233">IFERROR($H233/12,0)</f>
        <v>0</v>
      </c>
      <c r="BE233" s="1310" t="n">
        <f t="array" ref="BE233">IFERROR($H233/$H$44,0)</f>
        <v>0</v>
      </c>
      <c r="BF233" s="3595" t="n">
        <f t="array" ref="BF233">IFERROR(($H233/12)/1650,0)</f>
        <v>0</v>
      </c>
      <c r="BG233" s="1568" t="n"/>
    </row>
    <row r="234" s="1168" customFormat="1" ht="13.5" customHeight="1">
      <c r="A234" s="3445" t="n"/>
      <c r="B234" s="3538" t="n"/>
      <c r="C234" s="101" t="n"/>
      <c r="E234" s="3464" t="n"/>
      <c r="F234" s="1172" t="n"/>
      <c r="G234" s="1573" t="inlineStr">
        <is>
          <t xml:space="preserve">Total Utilities</t>
        </is>
      </c>
      <c r="H234" s="3601">
        <f>SUM(H225:H233)</f>
        <v>67478.65</v>
      </c>
      <c r="I234" s="1316">
        <f>SUM(I225:I233)</f>
        <v>0.0454233448891</v>
      </c>
      <c r="J234" s="3602">
        <f>SUM(J225:J233)</f>
        <v>3.36132752179</v>
      </c>
      <c r="K234" s="1172" t="n"/>
      <c r="L234" s="3603">
        <f>SUM(L225:L233)</f>
        <v>80544.9704091</v>
      </c>
      <c r="M234" s="1319">
        <f>SUM(M225:M233)</f>
        <v>0.0449780179784</v>
      </c>
      <c r="N234" s="3602">
        <f>SUM(N225:N233)</f>
        <v>3.39494079701</v>
      </c>
      <c r="P234" s="3745">
        <f>SUM(P225:P233)</f>
        <v>90111.2345869</v>
      </c>
      <c r="Q234" s="1316">
        <f>SUM(Q225:Q233)</f>
        <v>0.0445370570178</v>
      </c>
      <c r="R234" s="3602">
        <f>SUM(R225:R233)</f>
        <v>3.42889020498</v>
      </c>
      <c r="T234" s="3601">
        <f>SUM(T225:T233)</f>
        <v>91012.3469328</v>
      </c>
      <c r="U234" s="1316">
        <f>SUM(U225:U233)</f>
        <v>0.0441004192039</v>
      </c>
      <c r="V234" s="3602">
        <f>SUM(V225:V233)</f>
        <v>3.46317910703</v>
      </c>
      <c r="X234" s="3601">
        <f>SUM(X225:X233)</f>
        <v>91922.4704021</v>
      </c>
      <c r="Y234" s="1316">
        <f>SUM(Y225:Y233)</f>
        <v>0.0436680621529</v>
      </c>
      <c r="Z234" s="3602">
        <f>SUM(Z225:Z233)</f>
        <v>3.4978108981</v>
      </c>
      <c r="AB234" s="3601">
        <f>SUM(AB225:AB233)</f>
        <v>92841.6951061</v>
      </c>
      <c r="AC234" s="1316">
        <f>SUM(AC225:AC233)</f>
        <v>0.0432399438965</v>
      </c>
      <c r="AD234" s="3602">
        <f>SUM(AD225:AD233)</f>
        <v>3.53278900708</v>
      </c>
      <c r="AF234" s="3601">
        <f>SUM(AF225:AF233)</f>
        <v>93770.1120572</v>
      </c>
      <c r="AG234" s="1316">
        <f>SUM(AG225:AG233)</f>
        <v>0.0428160228779</v>
      </c>
      <c r="AH234" s="3602">
        <f>SUM(AH225:AH233)</f>
        <v>3.56811689715</v>
      </c>
      <c r="AJ234" s="3601">
        <f>SUM(AJ225:AJ233)</f>
        <v>94707.8131778</v>
      </c>
      <c r="AK234" s="1316">
        <f>SUM(AK225:AK233)</f>
        <v>0.0423962579478</v>
      </c>
      <c r="AL234" s="3602">
        <f>SUM(AL225:AL233)</f>
        <v>3.60379806612</v>
      </c>
      <c r="AN234" s="3601">
        <f>SUM(AN225:AN233)</f>
        <v>95654.8913095</v>
      </c>
      <c r="AO234" s="1316">
        <f>SUM(AO225:AO233)</f>
        <v>0.04198060836</v>
      </c>
      <c r="AP234" s="3602">
        <f>SUM(AP225:AP233)</f>
        <v>3.63983604679</v>
      </c>
      <c r="AR234" s="3601">
        <f>SUM(AR225:AR233)</f>
        <v>96611.4402226</v>
      </c>
      <c r="AS234" s="1316">
        <f>SUM(AS225:AS233)</f>
        <v>0.0415690337683</v>
      </c>
      <c r="AT234" s="3602">
        <f>SUM(AT225:AT233)</f>
        <v>3.67623440725</v>
      </c>
      <c r="AV234" s="3601">
        <f>SUM(AV225:AV233)</f>
        <v>97577.5546249</v>
      </c>
      <c r="AW234" s="1316">
        <f>SUM(AW225:AW233)</f>
        <v>0.041984724106</v>
      </c>
      <c r="AX234" s="3602">
        <f>SUM(AX225:AX233)</f>
        <v>3.71299675133</v>
      </c>
      <c r="AZ234" s="3601">
        <f>SUM(AZ225:AZ233)</f>
        <v>98553.3301711</v>
      </c>
      <c r="BA234" s="1316">
        <f>SUM(BA225:BA233)</f>
        <v>0.042404571347</v>
      </c>
      <c r="BB234" s="3602">
        <f>SUM(BB225:BB233)</f>
        <v>3.75012671884</v>
      </c>
      <c r="BD234" s="3601" t="n">
        <f t="array" ref="BD234">IFERROR($H234/12,0)</f>
        <v>5623.220833333333</v>
      </c>
      <c r="BE234" s="1316">
        <f>H234+L234+P234+T234+X234+AB234+AF234+AJ234+AN234+AR234+AV234+AZ234</f>
        <v>1090786.509</v>
      </c>
      <c r="BF234" s="3602">
        <f>IFERROR(BE234/BE14,0)</f>
        <v>3.55768593933</v>
      </c>
      <c r="BG234" s="1568" t="n"/>
    </row>
    <row r="235" s="1168" customFormat="1" ht="15.75" customHeight="1">
      <c r="A235" s="3445" t="n"/>
      <c r="B235" s="3538" t="n"/>
      <c r="C235" s="101" t="n"/>
      <c r="E235" s="3464" t="n"/>
      <c r="F235" s="1172" t="n"/>
      <c r="G235" s="1574" t="n"/>
      <c r="H235" s="3563" t="n"/>
      <c r="I235" s="1460" t="n"/>
      <c r="J235" s="3565" t="n"/>
      <c r="K235" s="1172" t="n"/>
      <c r="L235" s="3566" t="n"/>
      <c r="M235" s="1269" t="n"/>
      <c r="N235" s="1460" t="n"/>
      <c r="P235" s="3571" t="n"/>
      <c r="Q235" s="1460" t="n"/>
      <c r="R235" s="3570" t="n"/>
      <c r="T235" s="3571" t="n"/>
      <c r="U235" s="1269" t="n"/>
      <c r="V235" s="3570" t="n"/>
      <c r="X235" s="3571" t="n"/>
      <c r="Y235" s="1269" t="n"/>
      <c r="Z235" s="3570" t="n"/>
      <c r="AB235" s="3571" t="n"/>
      <c r="AC235" s="1269" t="n"/>
      <c r="AD235" s="3570" t="n"/>
      <c r="AF235" s="3571" t="n"/>
      <c r="AG235" s="1269" t="n"/>
      <c r="AH235" s="3570" t="n"/>
      <c r="AJ235" s="3571" t="n"/>
      <c r="AK235" s="1269" t="n"/>
      <c r="AL235" s="3570" t="n"/>
      <c r="AN235" s="3571" t="n"/>
      <c r="AO235" s="1269" t="n"/>
      <c r="AP235" s="3570" t="n"/>
      <c r="AR235" s="3571" t="n"/>
      <c r="AS235" s="1269" t="n"/>
      <c r="AT235" s="3570" t="n"/>
      <c r="AV235" s="3571" t="n"/>
      <c r="AW235" s="1269" t="n"/>
      <c r="AX235" s="3570" t="n"/>
      <c r="AZ235" s="3571" t="n"/>
      <c r="BA235" s="1269" t="n"/>
      <c r="BB235" s="3570" t="n"/>
      <c r="BD235" s="3571" t="n"/>
      <c r="BE235" s="1269" t="n"/>
      <c r="BF235" s="3751" t="n"/>
      <c r="BG235" s="1572" t="n"/>
    </row>
    <row r="236" s="1168" customFormat="1" ht="13.5" customHeight="1">
      <c r="A236" s="3445" t="n"/>
      <c r="B236" s="3538" t="n"/>
      <c r="C236" s="101" t="n"/>
      <c r="E236" s="3464" t="n"/>
      <c r="F236" s="1172" t="n"/>
      <c r="G236" s="1575" t="inlineStr">
        <is>
          <t xml:space="preserve">Total Operating Expenses</t>
        </is>
      </c>
      <c r="H236" s="3601">
        <f>SUM(H234,H222,H198,H185,H173,H146,H91,H82,H73)</f>
        <v>1044978.735</v>
      </c>
      <c r="I236" s="1316">
        <f>SUM(I234,I222,I198,I185,I173,I146,I91,I82,I73)</f>
        <v>0.703428854633</v>
      </c>
      <c r="J236" s="3683">
        <f>SUM(J234,J222,J198,J185,J173,J146,J91,J82,J73)</f>
        <v>52.0537352428</v>
      </c>
      <c r="K236" s="1172" t="n"/>
      <c r="L236" s="3601">
        <f>SUM(L234,L222,L198,L185,L173,L146,L91,L82,L73)</f>
        <v>1247324.61732</v>
      </c>
      <c r="M236" s="1316">
        <f>SUM(M234,M222,M198,M185,M173,M146,M91,M82,M73)</f>
        <v>0.696532493313</v>
      </c>
      <c r="N236" s="3683">
        <f>SUM(N234,N222,N198,N185,N173,N146,N91,N82,N73)</f>
        <v>52.5742725953</v>
      </c>
      <c r="P236" s="3601">
        <f>SUM(P234,P222,P198,P185,P173,P146,P91,P82,P73)</f>
        <v>1395468.40264</v>
      </c>
      <c r="Q236" s="1316">
        <f>SUM(Q234,Q222,Q198,Q185,Q173,Q146,Q91,Q82,Q73)</f>
        <v>0.689703743379</v>
      </c>
      <c r="R236" s="3683">
        <f>SUM(R234,R222,R198,R185,R173,R146,R91,R82,R73)</f>
        <v>53.1000153212</v>
      </c>
      <c r="T236" s="3601">
        <f>SUM(T234,T222,T198,T185,T173,T146,T91,T82,T73)</f>
        <v>1409423.08667</v>
      </c>
      <c r="U236" s="1316">
        <f>SUM(U234,U222,U198,U185,U173,U146,U91,U82,U73)</f>
        <v>0.682941941973</v>
      </c>
      <c r="V236" s="3605">
        <f>SUM(V234,V222,V198,V185,V173,V146,V91,V82,V73)</f>
        <v>53.6310154744</v>
      </c>
      <c r="X236" s="3601">
        <f>SUM(X234,X222,X198,X185,X173,X146,X91,X82,X73)</f>
        <v>1423517.31753</v>
      </c>
      <c r="Y236" s="1316">
        <f>SUM(Y234,Y222,Y198,Y185,Y173,Y146,Y91,Y82,Y73)</f>
        <v>0.676246432738</v>
      </c>
      <c r="Z236" s="3683">
        <f>SUM(Z234,Z222,Z198,Z185,Z173,Z146,Z91,Z82,Z73)</f>
        <v>54.1673256292</v>
      </c>
      <c r="AB236" s="3601">
        <f>SUM(AB234,AB222,AB198,AB185,AB173,AB146,AB91,AB82,AB73)</f>
        <v>1437752.49071</v>
      </c>
      <c r="AC236" s="1316">
        <f>SUM(AC234,AC222,AC198,AC185,AC173,AC146,AC91,AC82,AC73)</f>
        <v>0.66961656575</v>
      </c>
      <c r="AD236" s="3683">
        <f>SUM(AD234,AD222,AD198,AD185,AD173,AD146,AD91,AD82,AD73)</f>
        <v>54.7089988855</v>
      </c>
      <c r="AF236" s="3601">
        <f>SUM(AF234,AF222,AF198,AF185,AF173,AF146,AF91,AF82,AF73)</f>
        <v>1452130.01562</v>
      </c>
      <c r="AG236" s="1316">
        <f>SUM(AG234,AG222,AG198,AG185,AG173,AG146,AG91,AG82,AG73)</f>
        <v>0.663051697459</v>
      </c>
      <c r="AH236" s="3683">
        <f>SUM(AH234,AH222,AH198,AH185,AH173,AH146,AH91,AH82,AH73)</f>
        <v>55.2560888743</v>
      </c>
      <c r="AJ236" s="3601">
        <f>SUM(AJ234,AJ222,AJ198,AJ185,AJ173,AJ146,AJ91,AJ82,AJ73)</f>
        <v>1466651.31577</v>
      </c>
      <c r="AK236" s="1316">
        <f>SUM(AK234,AK222,AK198,AK185,AK173,AK146,AK91,AK82,AK73)</f>
        <v>0.656551190621</v>
      </c>
      <c r="AL236" s="3683">
        <f>SUM(AL234,AL222,AL198,AL185,AL173,AL146,AL91,AL82,AL73)</f>
        <v>55.8086497631</v>
      </c>
      <c r="AN236" s="3601">
        <f>SUM(AN234,AN222,AN198,AN185,AN173,AN146,AN91,AN82,AN73)</f>
        <v>1481317.82893</v>
      </c>
      <c r="AO236" s="1316">
        <f>SUM(AO234,AO222,AO198,AO185,AO173,AO146,AO91,AO82,AO73)</f>
        <v>0.650114414242</v>
      </c>
      <c r="AP236" s="3683">
        <f>SUM(AP234,AP222,AP198,AP185,AP173,AP146,AP91,AP82,AP73)</f>
        <v>56.3667362607</v>
      </c>
      <c r="AR236" s="3601">
        <f>SUM(AR234,AR222,AR198,AR185,AR173,AR146,AR91,AR82,AR73)</f>
        <v>1496131.00722</v>
      </c>
      <c r="AS236" s="1316">
        <f>SUM(AS234,AS222,AS198,AS185,AS173,AS146,AS91,AS82,AS73)</f>
        <v>0.643740743514</v>
      </c>
      <c r="AT236" s="3683">
        <f>SUM(AT234,AT222,AT198,AT185,AT173,AT146,AT91,AT82,AT73)</f>
        <v>56.9304036233</v>
      </c>
      <c r="AV236" s="3601">
        <f>SUM(AV234,AV222,AV198,AV185,AV173,AV146,AV91,AV82,AV73)</f>
        <v>1511092.31729</v>
      </c>
      <c r="AW236" s="1316">
        <f>SUM(AW234,AW222,AW198,AW185,AW173,AW146,AW91,AW82,AW73)</f>
        <v>0.650178150949</v>
      </c>
      <c r="AX236" s="3683">
        <f>SUM(AX234,AX222,AX198,AX185,AX173,AX146,AX91,AX82,AX73)</f>
        <v>57.4997076595</v>
      </c>
      <c r="AZ236" s="3601">
        <f>SUM(AZ234,AZ222,AZ198,AZ185,AZ173,AZ146,AZ91,AZ82,AZ73)</f>
        <v>1526203.24047</v>
      </c>
      <c r="BA236" s="1316">
        <f>SUM(BA234,BA222,BA198,BA185,BA173,BA146,BA91,BA82,BA73)</f>
        <v>0.656679932459</v>
      </c>
      <c r="BB236" s="3605">
        <f>SUM(BB234,BB222,BB198,BB185,BB173,BB146,BB91,BB82,BB73)</f>
        <v>58.0747047361</v>
      </c>
      <c r="BD236" s="3601" t="n">
        <f t="array" ref="BD236">IFERROR($H236/12,0)</f>
        <v>87081.56125</v>
      </c>
      <c r="BE236" s="1316">
        <f>H236+L236+P236+T236+X236+AB236+AF236+AJ236+AN236+AR236+AV236+AZ236</f>
        <v>16891990.3752</v>
      </c>
      <c r="BF236" s="3605">
        <f>IFERROR(BE236/BE14,0)</f>
        <v>55.0945543874</v>
      </c>
      <c r="BG236" s="1572" t="n"/>
    </row>
    <row r="237" s="1168" customFormat="1" ht="13.5" customHeight="1">
      <c r="A237" s="3445" t="n"/>
      <c r="B237" s="3538" t="n"/>
      <c r="E237" s="3464" t="n"/>
      <c r="F237" s="1172" t="n"/>
      <c r="H237" s="3740" t="n">
        <f t="array" ref="H237">H199</f>
        <v>0</v>
      </c>
      <c r="I237" s="901" t="n"/>
      <c r="J237" s="3752" t="n"/>
      <c r="K237" s="1410" t="n"/>
      <c r="L237" s="3737" t="n">
        <f t="array" ref="L237">IFERROR($H237/12,0)</f>
        <v>0</v>
      </c>
      <c r="M237" s="1509" t="n">
        <f t="array" ref="M237">IFERROR($H237/$H$44,0)</f>
        <v>0</v>
      </c>
      <c r="N237" s="1548" t="n">
        <f t="array" ref="N237">IFERROR(($H237/12)/1650,0)</f>
        <v>0</v>
      </c>
      <c r="O237" s="1476" t="n"/>
      <c r="P237" s="3738" t="n">
        <f t="array" ref="P237">IFERROR($H237/12,0)</f>
        <v>0</v>
      </c>
      <c r="Q237" s="901" t="n">
        <f t="array" ref="Q237">IFERROR($H237/$H$44,0)</f>
        <v>0</v>
      </c>
      <c r="R237" s="3739" t="n">
        <f t="array" ref="R237">IFERROR(($H237/12)/1650,0)</f>
        <v>0</v>
      </c>
      <c r="S237" s="1476" t="n"/>
      <c r="T237" s="3738" t="n">
        <f t="array" ref="T237">IFERROR($H237/12,0)</f>
        <v>0</v>
      </c>
      <c r="U237" s="1509" t="n">
        <f t="array" ref="U237">IFERROR($H237/$H$44,0)</f>
        <v>0</v>
      </c>
      <c r="V237" s="3739" t="n">
        <f t="array" ref="V237">IFERROR(($H237/12)/1650,0)</f>
        <v>0</v>
      </c>
      <c r="W237" s="1476" t="n"/>
      <c r="X237" s="3738" t="n">
        <f t="array" ref="X237">IFERROR($H237/12,0)</f>
        <v>0</v>
      </c>
      <c r="Y237" s="1509" t="n">
        <f t="array" ref="Y237">IFERROR($H237/$H$44,0)</f>
        <v>0</v>
      </c>
      <c r="Z237" s="3739" t="n">
        <f t="array" ref="Z237">IFERROR(($H237/12)/1650,0)</f>
        <v>0</v>
      </c>
      <c r="AA237" s="1476" t="n"/>
      <c r="AB237" s="3738" t="n">
        <f t="array" ref="AB237">IFERROR($H237/12,0)</f>
        <v>0</v>
      </c>
      <c r="AC237" s="1509" t="n">
        <f t="array" ref="AC237">IFERROR($H237/$H$44,0)</f>
        <v>0</v>
      </c>
      <c r="AD237" s="3739" t="n">
        <f t="array" ref="AD237">IFERROR(($H237/12)/1650,0)</f>
        <v>0</v>
      </c>
      <c r="AE237" s="1476" t="n"/>
      <c r="AF237" s="3738" t="n">
        <f t="array" ref="AF237">IFERROR($H237/12,0)</f>
        <v>0</v>
      </c>
      <c r="AG237" s="1509" t="n">
        <f t="array" ref="AG237">IFERROR($H237/$H$44,0)</f>
        <v>0</v>
      </c>
      <c r="AH237" s="3739" t="n">
        <f t="array" ref="AH237">IFERROR(($H237/12)/1650,0)</f>
        <v>0</v>
      </c>
      <c r="AI237" s="1476" t="n"/>
      <c r="AJ237" s="3738" t="n">
        <f t="array" ref="AJ237">IFERROR($H237/12,0)</f>
        <v>0</v>
      </c>
      <c r="AK237" s="1509" t="n">
        <f t="array" ref="AK237">IFERROR($H237/$H$44,0)</f>
        <v>0</v>
      </c>
      <c r="AL237" s="3739" t="n">
        <f t="array" ref="AL237">IFERROR(($H237/12)/1650,0)</f>
        <v>0</v>
      </c>
      <c r="AM237" s="1476" t="n"/>
      <c r="AN237" s="3738" t="n">
        <f t="array" ref="AN237">IFERROR($H237/12,0)</f>
        <v>0</v>
      </c>
      <c r="AO237" s="1509" t="n">
        <f t="array" ref="AO237">IFERROR($H237/$H$44,0)</f>
        <v>0</v>
      </c>
      <c r="AP237" s="3739" t="n">
        <f t="array" ref="AP237">IFERROR(($H237/12)/1650,0)</f>
        <v>0</v>
      </c>
      <c r="AQ237" s="1476" t="n"/>
      <c r="AR237" s="3738" t="n">
        <f t="array" ref="AR237">IFERROR($H237/12,0)</f>
        <v>0</v>
      </c>
      <c r="AS237" s="1509" t="n">
        <f t="array" ref="AS237">IFERROR($H237/$H$44,0)</f>
        <v>0</v>
      </c>
      <c r="AT237" s="3739" t="n">
        <f t="array" ref="AT237">IFERROR(($H237/12)/1650,0)</f>
        <v>0</v>
      </c>
      <c r="AU237" s="1476" t="n"/>
      <c r="AV237" s="3738" t="n">
        <f t="array" ref="AV237">IFERROR($H237/12,0)</f>
        <v>0</v>
      </c>
      <c r="AW237" s="1509" t="n">
        <f t="array" ref="AW237">IFERROR($H237/$H$44,0)</f>
        <v>0</v>
      </c>
      <c r="AX237" s="3739" t="n">
        <f t="array" ref="AX237">IFERROR(($H237/12)/1650,0)</f>
        <v>0</v>
      </c>
      <c r="AY237" s="1476" t="n"/>
      <c r="AZ237" s="3738" t="n">
        <f t="array" ref="AZ237">IFERROR($H237/12,0)</f>
        <v>0</v>
      </c>
      <c r="BA237" s="1509" t="n">
        <f t="array" ref="BA237">IFERROR($H237/$H$44,0)</f>
        <v>0</v>
      </c>
      <c r="BB237" s="3543" t="n">
        <f t="array" ref="BB237">IFERROR(($H237/12)/1650,0)</f>
        <v>0</v>
      </c>
      <c r="BC237" s="1413" t="n"/>
      <c r="BD237" s="3740" t="n">
        <f t="array" ref="BD237">IFERROR($H237/12,0)</f>
        <v>0</v>
      </c>
      <c r="BE237" s="1509" t="n">
        <f t="array" ref="BE237">IFERROR($H237/$H$44,0)</f>
        <v>0</v>
      </c>
      <c r="BF237" s="3739" t="n">
        <f t="array" ref="BF237">IFERROR(($H237/12)/1650,0)</f>
        <v>0</v>
      </c>
      <c r="BG237" s="1577" t="n"/>
    </row>
    <row r="238" s="1168" customFormat="1" ht="13.5" customHeight="1">
      <c r="A238" s="3445" t="n"/>
      <c r="B238" s="3538" t="n"/>
      <c r="C238" s="101" t="n"/>
      <c r="E238" s="3464" t="n"/>
      <c r="F238" s="1172" t="n"/>
      <c r="G238" s="1575" t="inlineStr">
        <is>
          <t xml:space="preserve">Operating:   Income / (Loss)</t>
        </is>
      </c>
      <c r="H238" s="3753">
        <f>H44-H236</f>
        <v>440571.265</v>
      </c>
      <c r="I238" s="1579">
        <f>I44-I236</f>
        <v>0.296571145367</v>
      </c>
      <c r="J238" s="3556">
        <f>IFERROR(H238/I14,0)</f>
        <v>21.9462647572</v>
      </c>
      <c r="K238" s="1172" t="n"/>
      <c r="L238" s="3754">
        <f>L44-L236</f>
        <v>543438.382677</v>
      </c>
      <c r="M238" s="1581">
        <f>M44-M236</f>
        <v>0.303467506687</v>
      </c>
      <c r="N238" s="3556">
        <f>IFERROR(L238/M14,0)</f>
        <v>22.9057274047</v>
      </c>
      <c r="P238" s="3753">
        <f>P44-P236</f>
        <v>627818.285358</v>
      </c>
      <c r="Q238" s="1579">
        <f>Q44-Q236</f>
        <v>0.310296256621</v>
      </c>
      <c r="R238" s="3556">
        <f>IFERROR(P238/Q14,0)</f>
        <v>23.8895846788</v>
      </c>
      <c r="T238" s="3753">
        <f>T44-T236</f>
        <v>654329.335092</v>
      </c>
      <c r="U238" s="1581">
        <f>U44-U236</f>
        <v>0.317058058027</v>
      </c>
      <c r="V238" s="3556">
        <f>IFERROR(T238/U14,0)</f>
        <v>24.8983765256</v>
      </c>
      <c r="X238" s="3753">
        <f>X44-X236</f>
        <v>681510.15266</v>
      </c>
      <c r="Y238" s="1581">
        <f>Y44-Y236</f>
        <v>0.323753567262</v>
      </c>
      <c r="Z238" s="3556">
        <f>IFERROR(X238/Y14,0)</f>
        <v>25.9326542108</v>
      </c>
      <c r="AB238" s="3753">
        <f>AB44-AB236</f>
        <v>709375.528889</v>
      </c>
      <c r="AC238" s="1581">
        <f>AC44-AC236</f>
        <v>0.33038343425</v>
      </c>
      <c r="AD238" s="3556">
        <f>IFERROR(AB238/AC14,0)</f>
        <v>26.9929805513</v>
      </c>
      <c r="AF238" s="3753">
        <f>AF44-AF236</f>
        <v>737940.564374</v>
      </c>
      <c r="AG238" s="1581">
        <f>AG44-AG236</f>
        <v>0.336948302541</v>
      </c>
      <c r="AH238" s="3556">
        <f>IFERROR(AF238/AG14,0)</f>
        <v>28.0799301512</v>
      </c>
      <c r="AJ238" s="3753">
        <f>AJ44-AJ236</f>
        <v>767220.675818</v>
      </c>
      <c r="AK238" s="1581">
        <f>AK44-AK236</f>
        <v>0.343448809379</v>
      </c>
      <c r="AL238" s="3556">
        <f>IFERROR(AJ238/AK14,0)</f>
        <v>29.194089643</v>
      </c>
      <c r="AN238" s="3753">
        <f>AN44-AN236</f>
        <v>797231.602492</v>
      </c>
      <c r="AO238" s="1581">
        <f>AO44-AO236</f>
        <v>0.349885585758</v>
      </c>
      <c r="AP238" s="3556">
        <f>IFERROR(AN238/AO14,0)</f>
        <v>30.3360579335</v>
      </c>
      <c r="AR238" s="3753">
        <f>AR44-AR236</f>
        <v>827989.412831</v>
      </c>
      <c r="AS238" s="1581">
        <f>AS44-AS236</f>
        <v>0.356259256486</v>
      </c>
      <c r="AT238" s="3556">
        <f>IFERROR(AR238/AS14,0)</f>
        <v>31.5064464547</v>
      </c>
      <c r="AV238" s="3753">
        <f>AV44-AV236</f>
        <v>813028.102759</v>
      </c>
      <c r="AW238" s="1581">
        <f>AW44-AW236</f>
        <v>0.349821849051</v>
      </c>
      <c r="AX238" s="3556">
        <f>IFERROR(AV238/AW14,0)</f>
        <v>30.9371424185</v>
      </c>
      <c r="AZ238" s="3753">
        <f>AZ44-AZ236</f>
        <v>797917.179586</v>
      </c>
      <c r="BA238" s="1581">
        <f>BA44-BA236</f>
        <v>0.343320067541</v>
      </c>
      <c r="BB238" s="3556">
        <f>IFERROR(AZ238/BA14,0)</f>
        <v>30.3621453419</v>
      </c>
      <c r="BD238" s="3753" t="n">
        <f t="array" ref="BD238">IFERROR($H238/12,0)</f>
        <v>36714.27208333334</v>
      </c>
      <c r="BE238" s="1581">
        <f>H238+L238+P238+T238+X238+AB238+AF238+AJ238+AN238+AR238+AV238+AZ238</f>
        <v>8398370.48753</v>
      </c>
      <c r="BF238" s="3556">
        <f>IFERROR(BE238/BE14,0)</f>
        <v>27.391945491</v>
      </c>
      <c r="BG238" s="1568" t="n"/>
    </row>
    <row r="239" s="1168" customFormat="1" ht="13.5" customHeight="1">
      <c r="A239" s="3445" t="n"/>
      <c r="B239" s="3538" t="n"/>
      <c r="C239" s="101" t="n"/>
      <c r="E239" s="3464" t="n"/>
      <c r="F239" s="1172" t="n"/>
      <c r="G239" s="1272" t="inlineStr">
        <is>
          <t>Other Income / Expense (Interest and Property Tax)</t>
        </is>
      </c>
      <c r="I239" s="901" t="n"/>
      <c r="K239" s="1172" t="n"/>
      <c r="M239" s="1509" t="n"/>
      <c r="N239" s="901" t="n"/>
      <c r="Q239" s="901" t="n"/>
      <c r="U239" s="1509" t="n"/>
      <c r="Y239" s="1509" t="n"/>
      <c r="AC239" s="1509" t="n"/>
      <c r="AG239" s="1509" t="n"/>
      <c r="AK239" s="1509" t="n"/>
      <c r="AO239" s="1509" t="n"/>
      <c r="AW239" s="1509" t="n"/>
      <c r="BA239" s="1509" t="n"/>
      <c r="BE239" s="1509" t="n"/>
      <c r="BG239" s="1572" t="n"/>
    </row>
    <row r="240" s="1168" customFormat="1" ht="15" customHeight="1">
      <c r="A240" s="3445" t="n"/>
      <c r="B240" s="3538" t="n"/>
      <c r="C240" s="101" t="n"/>
      <c r="E240" s="3464" t="n"/>
      <c r="F240" s="1172" t="n"/>
      <c r="G240" s="1283" t="inlineStr">
        <is>
          <t xml:space="preserve">Gain/ (Loss) on Sale of Fixed Asset</t>
        </is>
      </c>
      <c r="H240" s="3755">
        <v>0</v>
      </c>
      <c r="I240" s="1583">
        <f>IFERROR(H240/$H$44,0)</f>
        <v>0</v>
      </c>
      <c r="J240" s="3756">
        <f>IFERROR(H240/$I$14,0)</f>
        <v>0</v>
      </c>
      <c r="K240" s="1172" t="n"/>
      <c r="L240" s="3755">
        <v>0</v>
      </c>
      <c r="M240" s="1583">
        <f>IFERROR(L240/$L$44,0)</f>
        <v>0</v>
      </c>
      <c r="N240" s="3756">
        <f>IFERROR(L240/$M$14,0)</f>
        <v>0</v>
      </c>
      <c r="P240" s="3755">
        <v>0</v>
      </c>
      <c r="Q240" s="1583">
        <f>IFERROR(P240/$P$44,0)</f>
        <v>0</v>
      </c>
      <c r="R240" s="3756">
        <f>IFERROR(P240/$Q$14,0)</f>
        <v>0</v>
      </c>
      <c r="T240" s="3755">
        <v>0</v>
      </c>
      <c r="U240" s="1583">
        <f>IFERROR(T240/$T$44,0)</f>
        <v>0</v>
      </c>
      <c r="V240" s="3756">
        <f>IFERROR(T240/$U$14,0)</f>
        <v>0</v>
      </c>
      <c r="X240" s="3755">
        <v>0</v>
      </c>
      <c r="Y240" s="1583">
        <f>IFERROR(X240/$X$44,0)</f>
        <v>0</v>
      </c>
      <c r="Z240" s="3756">
        <f>IFERROR(X240/$Y$14,0)</f>
        <v>0</v>
      </c>
      <c r="AB240" s="3755">
        <v>0</v>
      </c>
      <c r="AC240" s="1583">
        <f>IFERROR(AB240/$AB$44,0)</f>
        <v>0</v>
      </c>
      <c r="AD240" s="3756">
        <f>IFERROR(AB240/$AC$14,0)</f>
        <v>0</v>
      </c>
      <c r="AF240" s="3755">
        <v>0</v>
      </c>
      <c r="AG240" s="1583">
        <f>IFERROR(AF240/$AF$44,0)</f>
        <v>0</v>
      </c>
      <c r="AH240" s="3756">
        <f>IFERROR(AF240/$AG$14,0)</f>
        <v>0</v>
      </c>
      <c r="AJ240" s="3755">
        <v>0</v>
      </c>
      <c r="AK240" s="1583">
        <f>IFERROR(AJ240/$AJ$44,0)</f>
        <v>0</v>
      </c>
      <c r="AL240" s="3756">
        <f>IFERROR(AJ240/$AK$14,0)</f>
        <v>0</v>
      </c>
      <c r="AN240" s="3755">
        <v>0</v>
      </c>
      <c r="AO240" s="1583">
        <f>IFERROR(AN240/$AN$44,0)</f>
        <v>0</v>
      </c>
      <c r="AP240" s="3756">
        <f>IFERROR(AN240/$AO$14,0)</f>
        <v>0</v>
      </c>
      <c r="AR240" s="3755">
        <v>0</v>
      </c>
      <c r="AS240" s="1583">
        <f>IFERROR(AR240/$AR$44,0)</f>
        <v>0</v>
      </c>
      <c r="AT240" s="3756">
        <f>IFERROR(AR240/$AS$14,0)</f>
        <v>0</v>
      </c>
      <c r="AV240" s="3755">
        <v>0</v>
      </c>
      <c r="AW240" s="1583">
        <f>IFERROR(AV240/$AV$44,0)</f>
        <v>0</v>
      </c>
      <c r="AX240" s="3756">
        <f>IFERROR(AV240/$AW$14,0)</f>
        <v>0</v>
      </c>
      <c r="AZ240" s="3755">
        <v>0</v>
      </c>
      <c r="BA240" s="1583">
        <f>IFERROR(AZ240/$AZ$44,0)</f>
        <v>0</v>
      </c>
      <c r="BB240" s="3756">
        <f>IFERROR(AZ240/$BA$14,0)</f>
        <v>0</v>
      </c>
      <c r="BC240" s="1426" t="n"/>
      <c r="BD240" s="3755" t="n">
        <f t="array" ref="BD240">IFERROR($H240/12,0)</f>
        <v>0</v>
      </c>
      <c r="BE240" s="1583">
        <f>H240+L240+P240+T240+X240+AB240+AF240+AJ240+AN240+AR240+AV240+AZ240</f>
        <v>0</v>
      </c>
      <c r="BF240" s="3756">
        <f>IFERROR(BE240/BE14,0)</f>
        <v>0</v>
      </c>
      <c r="BG240" s="1568" t="n"/>
    </row>
    <row r="241" s="1168" customFormat="1" ht="15" customHeight="1">
      <c r="A241" s="3445" t="n"/>
      <c r="B241" s="3538" t="n"/>
      <c r="C241" s="101" t="n"/>
      <c r="E241" s="3464" t="n"/>
      <c r="F241" s="1172" t="n"/>
      <c r="G241" s="1283" t="inlineStr">
        <is>
          <t xml:space="preserve">Leased Restaurant</t>
        </is>
      </c>
      <c r="H241" s="3641">
        <v>0</v>
      </c>
      <c r="I241" s="1434">
        <f>IFERROR(H241/$H$44,0)</f>
        <v>0</v>
      </c>
      <c r="J241" s="3639">
        <f>IFERROR(H241/$I$14,0)</f>
        <v>0</v>
      </c>
      <c r="K241" s="1172" t="n"/>
      <c r="L241" s="3641">
        <v>0</v>
      </c>
      <c r="M241" s="1434">
        <f>IFERROR(L241/$L$44,0)</f>
        <v>0</v>
      </c>
      <c r="N241" s="3639">
        <f>IFERROR(L241/$M$14,0)</f>
        <v>0</v>
      </c>
      <c r="P241" s="3641">
        <v>0</v>
      </c>
      <c r="Q241" s="1434">
        <f>IFERROR(P241/$P$44,0)</f>
        <v>0</v>
      </c>
      <c r="R241" s="3639">
        <f>IFERROR(P241/$Q$14,0)</f>
        <v>0</v>
      </c>
      <c r="T241" s="3641">
        <v>0</v>
      </c>
      <c r="U241" s="1434">
        <f>IFERROR(T241/$T$44,0)</f>
        <v>0</v>
      </c>
      <c r="V241" s="3639">
        <f>IFERROR(T241/$U$14,0)</f>
        <v>0</v>
      </c>
      <c r="X241" s="3641">
        <v>0</v>
      </c>
      <c r="Y241" s="1434">
        <f>IFERROR(X241/$X$44,0)</f>
        <v>0</v>
      </c>
      <c r="Z241" s="3639">
        <f>IFERROR(X241/$Y$14,0)</f>
        <v>0</v>
      </c>
      <c r="AB241" s="3641">
        <v>0</v>
      </c>
      <c r="AC241" s="1434">
        <f>IFERROR(AB241/$AB$44,0)</f>
        <v>0</v>
      </c>
      <c r="AD241" s="3639">
        <f>IFERROR(AB241/$AC$14,0)</f>
        <v>0</v>
      </c>
      <c r="AF241" s="3641">
        <v>0</v>
      </c>
      <c r="AG241" s="1434">
        <f>IFERROR(AF241/$AF$44,0)</f>
        <v>0</v>
      </c>
      <c r="AH241" s="3639">
        <f>IFERROR(AF241/$AG$14,0)</f>
        <v>0</v>
      </c>
      <c r="AJ241" s="3641">
        <v>0</v>
      </c>
      <c r="AK241" s="1434">
        <f>IFERROR(AJ241/$AJ$44,0)</f>
        <v>0</v>
      </c>
      <c r="AL241" s="3639">
        <f>IFERROR(AJ241/$AK$14,0)</f>
        <v>0</v>
      </c>
      <c r="AN241" s="3641">
        <v>0</v>
      </c>
      <c r="AO241" s="1434">
        <f>IFERROR(AN241/$AN$44,0)</f>
        <v>0</v>
      </c>
      <c r="AP241" s="3639">
        <f>IFERROR(AN241/$AO$14,0)</f>
        <v>0</v>
      </c>
      <c r="AR241" s="3641">
        <v>0</v>
      </c>
      <c r="AS241" s="1434">
        <f>IFERROR(AR241/$AR$44,0)</f>
        <v>0</v>
      </c>
      <c r="AT241" s="3639">
        <f>IFERROR(AR241/$AS$14,0)</f>
        <v>0</v>
      </c>
      <c r="AV241" s="3641">
        <v>0</v>
      </c>
      <c r="AW241" s="1434">
        <f>IFERROR(AV241/$AV$44,0)</f>
        <v>0</v>
      </c>
      <c r="AX241" s="3639">
        <f>IFERROR(AV241/$AW$14,0)</f>
        <v>0</v>
      </c>
      <c r="AZ241" s="3641">
        <v>0</v>
      </c>
      <c r="BA241" s="1434">
        <f>IFERROR(AZ241/$AZ$44,0)</f>
        <v>0</v>
      </c>
      <c r="BB241" s="3639">
        <f>IFERROR(AZ241/$BA$14,0)</f>
        <v>0</v>
      </c>
      <c r="BC241" s="1426" t="n"/>
      <c r="BD241" s="3641" t="n">
        <f t="array" ref="BD241">IFERROR($H241/12,0)</f>
        <v>0</v>
      </c>
      <c r="BE241" s="1434">
        <f>H241+L241+P241+T241+X241+AB241+AF241+AJ241+AN241+AR241+AV241+AZ241</f>
        <v>0</v>
      </c>
      <c r="BF241" s="3639">
        <f>IFERROR(BE241/BE14,0)</f>
        <v>0</v>
      </c>
      <c r="BG241" s="1568" t="n"/>
    </row>
    <row r="242" s="1168" customFormat="1" ht="15" customHeight="1">
      <c r="A242" s="3445" t="n"/>
      <c r="B242" s="3538" t="n"/>
      <c r="C242" s="101" t="n"/>
      <c r="E242" s="3464" t="n"/>
      <c r="F242" s="1172" t="n"/>
      <c r="G242" s="1283" t="inlineStr">
        <is>
          <t xml:space="preserve">Other Management Fees</t>
        </is>
      </c>
      <c r="H242" s="3641">
        <v>0</v>
      </c>
      <c r="I242" s="1434">
        <f>IFERROR(H242/$H$44,0)</f>
        <v>0</v>
      </c>
      <c r="J242" s="3639">
        <f>IFERROR(H242/$I$14,0)</f>
        <v>0</v>
      </c>
      <c r="K242" s="1172" t="n"/>
      <c r="L242" s="3641">
        <v>0</v>
      </c>
      <c r="M242" s="1434">
        <f>IFERROR(L242/$L$44,0)</f>
        <v>0</v>
      </c>
      <c r="N242" s="3639">
        <f>IFERROR(L242/$M$14,0)</f>
        <v>0</v>
      </c>
      <c r="P242" s="3641">
        <v>0</v>
      </c>
      <c r="Q242" s="1434">
        <f>IFERROR(P242/$P$44,0)</f>
        <v>0</v>
      </c>
      <c r="R242" s="3639">
        <f>IFERROR(P242/$Q$14,0)</f>
        <v>0</v>
      </c>
      <c r="T242" s="3641">
        <v>0</v>
      </c>
      <c r="U242" s="1434">
        <f>IFERROR(T242/$T$44,0)</f>
        <v>0</v>
      </c>
      <c r="V242" s="3639">
        <f>IFERROR(T242/$U$14,0)</f>
        <v>0</v>
      </c>
      <c r="X242" s="3641">
        <v>0</v>
      </c>
      <c r="Y242" s="1434">
        <f>IFERROR(X242/$X$44,0)</f>
        <v>0</v>
      </c>
      <c r="Z242" s="3639">
        <f>IFERROR(X242/$Y$14,0)</f>
        <v>0</v>
      </c>
      <c r="AB242" s="3641">
        <v>0</v>
      </c>
      <c r="AC242" s="1434">
        <f>IFERROR(AB242/$AB$44,0)</f>
        <v>0</v>
      </c>
      <c r="AD242" s="3639">
        <f>IFERROR(AB242/$AC$14,0)</f>
        <v>0</v>
      </c>
      <c r="AF242" s="3641">
        <v>0</v>
      </c>
      <c r="AG242" s="1434">
        <f>IFERROR(AF242/$AF$44,0)</f>
        <v>0</v>
      </c>
      <c r="AH242" s="3639">
        <f>IFERROR(AF242/$AG$14,0)</f>
        <v>0</v>
      </c>
      <c r="AJ242" s="3641">
        <v>0</v>
      </c>
      <c r="AK242" s="1434">
        <f>IFERROR(AJ242/$AJ$44,0)</f>
        <v>0</v>
      </c>
      <c r="AL242" s="3639">
        <f>IFERROR(AJ242/$AK$14,0)</f>
        <v>0</v>
      </c>
      <c r="AN242" s="3641">
        <v>0</v>
      </c>
      <c r="AO242" s="1434">
        <f>IFERROR(AN242/$AN$44,0)</f>
        <v>0</v>
      </c>
      <c r="AP242" s="3639">
        <f>IFERROR(AN242/$AO$14,0)</f>
        <v>0</v>
      </c>
      <c r="AR242" s="3641">
        <v>0</v>
      </c>
      <c r="AS242" s="1434">
        <f>IFERROR(AR242/$AR$44,0)</f>
        <v>0</v>
      </c>
      <c r="AT242" s="3639">
        <f>IFERROR(AR242/$AS$14,0)</f>
        <v>0</v>
      </c>
      <c r="AV242" s="3641">
        <v>0</v>
      </c>
      <c r="AW242" s="1434">
        <f>IFERROR(AV242/$AV$44,0)</f>
        <v>0</v>
      </c>
      <c r="AX242" s="3639">
        <f>IFERROR(AV242/$AW$14,0)</f>
        <v>0</v>
      </c>
      <c r="AZ242" s="3641">
        <v>0</v>
      </c>
      <c r="BA242" s="1434">
        <f>IFERROR(AZ242/$AZ$44,0)</f>
        <v>0</v>
      </c>
      <c r="BB242" s="3639">
        <f>IFERROR(AZ242/$BA$14,0)</f>
        <v>0</v>
      </c>
      <c r="BC242" s="1426" t="n"/>
      <c r="BD242" s="3641" t="n">
        <f t="array" ref="BD242">IFERROR($H242/12,0)</f>
        <v>0</v>
      </c>
      <c r="BE242" s="1434">
        <f>H242+L242+P242+T242+X242+AB242+AF242+AJ242+AN242+AR242+AV242+AZ242</f>
        <v>0</v>
      </c>
      <c r="BF242" s="3639">
        <f>IFERROR(BE242/BE14,0)</f>
        <v>0</v>
      </c>
      <c r="BG242" s="1568" t="n"/>
    </row>
    <row r="243" s="1168" customFormat="1" ht="15" customHeight="1">
      <c r="A243" s="3445" t="n"/>
      <c r="B243" s="3538" t="n"/>
      <c r="C243" s="101" t="n"/>
      <c r="E243" s="3464" t="n"/>
      <c r="F243" s="1172" t="n"/>
      <c r="G243" s="1283" t="inlineStr">
        <is>
          <t xml:space="preserve">Hotel Management Fees</t>
        </is>
      </c>
      <c r="H243" s="3641">
        <f>H44*I243</f>
        <v>44566.5</v>
      </c>
      <c r="I243" s="1434">
        <v>0.03</v>
      </c>
      <c r="J243" s="3639">
        <f>IFERROR(H243/$I$14,0)</f>
        <v>2.22</v>
      </c>
      <c r="K243" s="1172" t="n"/>
      <c r="L243" s="3641">
        <f>L44*M243</f>
        <v>53722.89</v>
      </c>
      <c r="M243" s="1434">
        <v>0.03</v>
      </c>
      <c r="N243" s="3639">
        <f>IFERROR(L243/$M$14,0)</f>
        <v>2.2644</v>
      </c>
      <c r="P243" s="3641">
        <f>P44*Q243</f>
        <v>60698.60064</v>
      </c>
      <c r="Q243" s="1434">
        <v>0.03</v>
      </c>
      <c r="R243" s="3639">
        <f>IFERROR(P243/$Q$14,0)</f>
        <v>2.309688</v>
      </c>
      <c r="T243" s="3641">
        <f>T44*U243</f>
        <v>61912.5726528</v>
      </c>
      <c r="U243" s="1434">
        <v>0.03</v>
      </c>
      <c r="V243" s="3639">
        <f>IFERROR(T243/$U$14,0)</f>
        <v>2.35588176</v>
      </c>
      <c r="X243" s="3641">
        <f>X44*Y243</f>
        <v>63150.8241059</v>
      </c>
      <c r="Y243" s="1434">
        <v>0.03</v>
      </c>
      <c r="Z243" s="3639">
        <f>IFERROR(X243/$Y$14,0)</f>
        <v>2.4029993952</v>
      </c>
      <c r="AB243" s="3641">
        <f>AB44*AC243</f>
        <v>64413.840588</v>
      </c>
      <c r="AC243" s="1434">
        <v>0.03</v>
      </c>
      <c r="AD243" s="3639">
        <f>IFERROR(AB243/$AC$14,0)</f>
        <v>2.4510593831</v>
      </c>
      <c r="AF243" s="3641">
        <f>AF44*AG243</f>
        <v>65702.1173997</v>
      </c>
      <c r="AG243" s="1434">
        <v>0.03</v>
      </c>
      <c r="AH243" s="3639">
        <f>IFERROR(AF243/$AG$14,0)</f>
        <v>2.50008057077</v>
      </c>
      <c r="AJ243" s="3641">
        <f>AJ44*AK243</f>
        <v>67016.1597477</v>
      </c>
      <c r="AK243" s="1434">
        <v>0.03</v>
      </c>
      <c r="AL243" s="3639">
        <f>IFERROR(AJ243/$AK$14,0)</f>
        <v>2.55008218218</v>
      </c>
      <c r="AN243" s="3641">
        <f>AN44*AO243</f>
        <v>68356.4829427</v>
      </c>
      <c r="AO243" s="1434">
        <v>0.03</v>
      </c>
      <c r="AP243" s="3639">
        <f>IFERROR(AN243/$AO$14,0)</f>
        <v>2.60108382583</v>
      </c>
      <c r="AR243" s="3641">
        <f>AR44*AS243</f>
        <v>69723.6126015</v>
      </c>
      <c r="AS243" s="1434">
        <v>0.03</v>
      </c>
      <c r="AT243" s="3639">
        <f>IFERROR(AR243/$AS$14,0)</f>
        <v>2.65310550234</v>
      </c>
      <c r="AV243" s="3641">
        <f>AV44*AW243</f>
        <v>69723.6126015</v>
      </c>
      <c r="AW243" s="1434">
        <v>0.03</v>
      </c>
      <c r="AX243" s="3639">
        <f>IFERROR(AV243/$AW$14,0)</f>
        <v>2.65310550234</v>
      </c>
      <c r="AZ243" s="3641">
        <f>AZ44*BA243</f>
        <v>69723.6126015</v>
      </c>
      <c r="BA243" s="1434">
        <v>0.03</v>
      </c>
      <c r="BB243" s="3639">
        <f>IFERROR(AZ243/$BA$14,0)</f>
        <v>2.65310550234</v>
      </c>
      <c r="BC243" s="1426" t="n"/>
      <c r="BD243" s="3641" t="n">
        <f t="array" ref="BD243">IFERROR($H243/12,0)</f>
        <v>3713.875</v>
      </c>
      <c r="BE243" s="1434">
        <f>H243+L243+P243+T243+X243+AB243+AF243+AJ243+AN243+AR243+AV243+AZ243</f>
        <v>758710.825881</v>
      </c>
      <c r="BF243" s="3639">
        <f>IFERROR(BE243/BE14,0)</f>
        <v>2.47459499635</v>
      </c>
      <c r="BG243" s="1568" t="n"/>
    </row>
    <row r="244" s="1168" customFormat="1" ht="15" customHeight="1">
      <c r="A244" s="3445" t="n"/>
      <c r="B244" s="3538" t="n"/>
      <c r="C244" s="101" t="n"/>
      <c r="E244" s="3464" t="n"/>
      <c r="F244" s="1172" t="n"/>
      <c r="G244" s="1283" t="inlineStr">
        <is>
          <t xml:space="preserve">Mortgage-Interest</t>
        </is>
      </c>
      <c r="H244" s="3757">
        <f>SUM('JYI-Loan Amortization'!H18:H29)</f>
        <v>317736.927064134</v>
      </c>
      <c r="I244" s="1586">
        <f>IFERROR(H244/$H$44,0)</f>
        <v>0.213885043966298</v>
      </c>
      <c r="J244" s="3758">
        <f>IFERROR(H244/$I$14,0)</f>
        <v>15.8274932535061</v>
      </c>
      <c r="K244" s="1172" t="n"/>
      <c r="L244" s="3641">
        <f>SUM('JYI-Loan Amortization'!H30:H41)</f>
        <v>312290.8961173</v>
      </c>
      <c r="M244" s="1434">
        <f>IFERROR(L244/$L$44,0)</f>
        <v>0.174389852882431</v>
      </c>
      <c r="N244" s="3639">
        <f>IFERROR(L244/$M$14,0)</f>
        <v>13.1629460955659</v>
      </c>
      <c r="P244" s="3641">
        <f>SUM('JYI-Loan Amortization'!H42:H53)</f>
        <v>306480.134391894</v>
      </c>
      <c r="Q244" s="1434">
        <f>IFERROR(P244/$P$44,0)</f>
        <v>0.151476375646422</v>
      </c>
      <c r="R244" s="3639">
        <f>IFERROR(P244/$Q$14,0)</f>
        <v>11.6621055704678</v>
      </c>
      <c r="T244" s="3641">
        <f>SUM('JYI-Loan Amortization'!H54:H65)</f>
        <v>300280.215192191</v>
      </c>
      <c r="U244" s="1434">
        <f>IFERROR(T244/$T$44,0)</f>
        <v>0.145502053456639</v>
      </c>
      <c r="V244" s="3639">
        <f>IFERROR(T244/$U$14,0)</f>
        <v>11.4261877927013</v>
      </c>
      <c r="X244" s="3641">
        <f>SUM('JYI-Loan Amortization'!H66:H77)</f>
        <v>293665.075921419</v>
      </c>
      <c r="Y244" s="1434">
        <f>IFERROR(X244/$X$44,0)</f>
        <v>0.139506529049484</v>
      </c>
      <c r="Z244" s="3639">
        <f>IFERROR(X244/$Y$14,0)</f>
        <v>11.1744701644375</v>
      </c>
      <c r="AB244" s="3641">
        <f>SUM('JYI-Loan Amortization'!H78:H89)</f>
        <v>286606.908522428</v>
      </c>
      <c r="AC244" s="1434">
        <f>IFERROR(AB244/$AB$44,0)</f>
        <v>0.133483847216442</v>
      </c>
      <c r="AD244" s="3639">
        <f>IFERROR(AB244/$AC$14,0)</f>
        <v>10.9058945404272</v>
      </c>
      <c r="AF244" s="3641">
        <f>SUM('JYI-Loan Amortization'!H90:H101)</f>
        <v>279076.042580982</v>
      </c>
      <c r="AG244" s="1434">
        <f>IFERROR(AF244/$AF$44,0)</f>
        <v>0.127427876129114</v>
      </c>
      <c r="AH244" s="3639">
        <f>IFERROR(AF244/$AG$14,0)</f>
        <v>10.6193319094742</v>
      </c>
      <c r="AJ244" s="3641">
        <f>SUM('JYI-Loan Amortization'!H102:H113)</f>
        <v>271040.820600255</v>
      </c>
      <c r="AK244" s="1434">
        <f>IFERROR(AJ244/$AJ$44,0)</f>
        <v>0.121332297293963</v>
      </c>
      <c r="AL244" s="3639">
        <f>IFERROR(AJ244/$AK$14,0)</f>
        <v>10.3135776484115</v>
      </c>
      <c r="AN244" s="3641">
        <f>SUM('JYI-Loan Amortization'!H114:H125)</f>
        <v>262467.464922227</v>
      </c>
      <c r="AO244" s="1434">
        <f>IFERROR(AN244/$AN$44,0)</f>
        <v>0.115190595079018</v>
      </c>
      <c r="AP244" s="3639">
        <f>IFERROR(AN244/$AO$14,0)</f>
        <v>9.98734645822783</v>
      </c>
      <c r="AR244" s="3641">
        <f>SUM('JYI-Loan Amortization'!H126:H137)</f>
        <v>253319.935736566</v>
      </c>
      <c r="AS244" s="1434">
        <f>IFERROR(AR244/$AR$44,0)</f>
        <v>0.108996045794871</v>
      </c>
      <c r="AT244" s="3639">
        <f>IFERROR(AR244/$AS$14,0)</f>
        <v>9.63926696105653</v>
      </c>
      <c r="AV244" s="3641">
        <f>SUM('JYI-Loan Amortization'!H138:H149)</f>
        <v>243559.779580093</v>
      </c>
      <c r="AW244" s="1434">
        <f>IFERROR(AV244/$AV$44,0)</f>
        <v>0.104796540436942</v>
      </c>
      <c r="AX244" s="3639">
        <f>IFERROR(AV244/$AW$14,0)</f>
        <v>9.26787593531555</v>
      </c>
      <c r="AZ244" s="3641">
        <f>SUM('JYI-Loan Amortization'!H150:H161)</f>
        <v>233145.967689987</v>
      </c>
      <c r="BA244" s="1434">
        <f>IFERROR(AZ244/$AZ$44,0)</f>
        <v>0.100315786427698</v>
      </c>
      <c r="BB244" s="3639">
        <f>IFERROR(AZ244/$BA$14,0)</f>
        <v>8.87161216476357</v>
      </c>
      <c r="BC244" s="1426" t="n"/>
      <c r="BD244" s="3641">
        <f t="array" ref="BD244">IFERROR($H244/12,0)</f>
        <v>26478.0772553445</v>
      </c>
      <c r="BE244" s="1434">
        <f>H244+L244+P244+T244+X244+AB244+AF244+AJ244+AN244+AR244+AV244+AZ244</f>
        <v>3359670.16831948</v>
      </c>
      <c r="BF244" s="3639">
        <f>IFERROR(BE244/BE14,0)</f>
        <v>10.9578283376369</v>
      </c>
      <c r="BG244" s="1568" t="n"/>
    </row>
    <row r="245" s="1168" customFormat="1" ht="15" customHeight="1">
      <c r="A245" s="3445" t="n"/>
      <c r="B245" s="3538" t="n"/>
      <c r="C245" s="101" t="n"/>
      <c r="E245" s="3464" t="n"/>
      <c r="F245" s="1172" t="n"/>
      <c r="G245" s="1283" t="inlineStr">
        <is>
          <t xml:space="preserve">Property Taxes </t>
        </is>
      </c>
      <c r="H245" s="3641">
        <f>'Hotel Operating'!C53</f>
        <v>74898</v>
      </c>
      <c r="I245" s="1378">
        <f>IFERROR(H245/$H$44,0)</f>
        <v>0.0504176904177</v>
      </c>
      <c r="J245" s="3639">
        <f>IFERROR(H245/$I$14,0)</f>
        <v>3.73090909091</v>
      </c>
      <c r="K245" s="1172" t="n"/>
      <c r="L245" s="3641">
        <f>'Hotel Operating'!D53</f>
        <v>82387.8</v>
      </c>
      <c r="M245" s="1434">
        <f>IFERROR(L245/$L$44,0)</f>
        <v>0.0460070930659</v>
      </c>
      <c r="N245" s="3639">
        <f>IFERROR(L245/$M$14,0)</f>
        <v>3.47261538462</v>
      </c>
      <c r="P245" s="3641">
        <f>'Hotel Operating'!E53</f>
        <v>84859.434</v>
      </c>
      <c r="Q245" s="1434">
        <f>IFERROR(P245/$P$44,0)</f>
        <v>0.0419413790954</v>
      </c>
      <c r="R245" s="3639">
        <f>IFERROR(P245/$Q$14,0)</f>
        <v>3.22905</v>
      </c>
      <c r="T245" s="3641">
        <f>'Hotel Operating'!F53</f>
        <v>86556.62268</v>
      </c>
      <c r="U245" s="1434">
        <f>IFERROR(T245/$T$44,0)</f>
        <v>0.0419413790954</v>
      </c>
      <c r="V245" s="3639">
        <f>IFERROR(T245/$U$14,0)</f>
        <v>3.293631</v>
      </c>
      <c r="X245" s="3641">
        <f>'Hotel Operating'!G53</f>
        <v>88287.7551336</v>
      </c>
      <c r="Y245" s="1434">
        <f>IFERROR(X245/$X$44,0)</f>
        <v>0.0419413790954</v>
      </c>
      <c r="Z245" s="3639">
        <f>IFERROR(X245/$Y$14,0)</f>
        <v>3.35950362</v>
      </c>
      <c r="AB245" s="3641">
        <f>'Hotel Operating'!H53</f>
        <v>90053.5102363</v>
      </c>
      <c r="AC245" s="1434">
        <f>IFERROR(AB245/$AB$44,0)</f>
        <v>0.0419413790954</v>
      </c>
      <c r="AD245" s="3639">
        <f>IFERROR(AB245/$AC$14,0)</f>
        <v>3.4266936924</v>
      </c>
      <c r="AF245" s="3641">
        <f>'Hotel Operating'!I53</f>
        <v>91854.580441</v>
      </c>
      <c r="AG245" s="1434">
        <f>IFERROR(AF245/$AF$44,0)</f>
        <v>0.0419413790954</v>
      </c>
      <c r="AH245" s="3639">
        <f>IFERROR(AF245/$AG$14,0)</f>
        <v>3.49522756625</v>
      </c>
      <c r="AJ245" s="3641">
        <f>'Hotel Operating'!J53</f>
        <v>93691.6720498</v>
      </c>
      <c r="AK245" s="1434">
        <f>IFERROR(AJ245/$AJ$44,0)</f>
        <v>0.0419413790954</v>
      </c>
      <c r="AL245" s="3639">
        <f>IFERROR(AJ245/$AK$14,0)</f>
        <v>3.56513211757</v>
      </c>
      <c r="AN245" s="3641">
        <f>'Hotel Operating'!K53</f>
        <v>95565.5054908</v>
      </c>
      <c r="AO245" s="1434">
        <f>IFERROR(AN245/$AN$44,0)</f>
        <v>0.0419413790954</v>
      </c>
      <c r="AP245" s="3639">
        <f>IFERROR(AN245/$AO$14,0)</f>
        <v>3.63643475992</v>
      </c>
      <c r="AR245" s="3641">
        <f>'Hotel Operating'!L53</f>
        <v>97476.8156006</v>
      </c>
      <c r="AS245" s="1434">
        <f>IFERROR(AR245/$AR$44,0)</f>
        <v>0.0419413790954</v>
      </c>
      <c r="AT245" s="3639">
        <f>IFERROR(AR245/$AS$14,0)</f>
        <v>3.70916345512</v>
      </c>
      <c r="AV245" s="3641">
        <f>'Hotel Operating'!M53</f>
        <v>0</v>
      </c>
      <c r="AW245" s="1434">
        <f>IFERROR(AV245/$AV$44,0)</f>
        <v>0</v>
      </c>
      <c r="AX245" s="3639">
        <f>IFERROR(AV245/$AW$14,0)</f>
        <v>0</v>
      </c>
      <c r="AZ245" s="3641">
        <f>'Hotel Operating'!N53</f>
        <v>0</v>
      </c>
      <c r="BA245" s="1434">
        <f>IFERROR(AZ245/$AZ$44,0)</f>
        <v>0</v>
      </c>
      <c r="BB245" s="3639">
        <f>IFERROR(AZ245/$BA$14,0)</f>
        <v>0</v>
      </c>
      <c r="BC245" s="1426" t="n"/>
      <c r="BD245" s="3641" t="n">
        <f t="array" ref="BD245">IFERROR($H245/12,0)</f>
        <v>7427.75</v>
      </c>
      <c r="BE245" s="1434">
        <f>H245+L245+P245+T245+X245+AB245+AF245+AJ245+AN245+AR245+AV245+AZ245</f>
        <v>885631.695632</v>
      </c>
      <c r="BF245" s="3639">
        <f>IFERROR(BE245/BE14,0)</f>
        <v>2.88855738954</v>
      </c>
      <c r="BG245" s="1568" t="n"/>
    </row>
    <row r="246" s="1168" customFormat="1" ht="15" customHeight="1">
      <c r="A246" s="3445" t="n"/>
      <c r="B246" s="3538" t="n"/>
      <c r="C246" s="101" t="n"/>
      <c r="E246" s="3464" t="n"/>
      <c r="F246" s="1172" t="n"/>
      <c r="G246" s="1283" t="inlineStr">
        <is>
          <t xml:space="preserve">TBA</t>
        </is>
      </c>
      <c r="H246" s="3641">
        <v>0</v>
      </c>
      <c r="I246" s="1378">
        <f>IFERROR(H246/$H$44,0)</f>
        <v>0</v>
      </c>
      <c r="J246" s="3639">
        <f>IFERROR(H246/$I$14,0)</f>
        <v>0</v>
      </c>
      <c r="K246" s="1172" t="n"/>
      <c r="L246" s="3641">
        <v>0</v>
      </c>
      <c r="M246" s="1378">
        <f>IFERROR(L246/$L$44,0)</f>
        <v>0</v>
      </c>
      <c r="N246" s="3639">
        <f>IFERROR(L246/$M$14,0)</f>
        <v>0</v>
      </c>
      <c r="P246" s="3641">
        <v>0</v>
      </c>
      <c r="Q246" s="1378">
        <f>IFERROR(P246/$P$44,0)</f>
        <v>0</v>
      </c>
      <c r="R246" s="3639">
        <f>IFERROR(P246/$Q$14,0)</f>
        <v>0</v>
      </c>
      <c r="T246" s="3641">
        <v>0</v>
      </c>
      <c r="U246" s="1378">
        <f>IFERROR(T246/$T$44,0)</f>
        <v>0</v>
      </c>
      <c r="V246" s="3639">
        <f>IFERROR(T246/$U$14,0)</f>
        <v>0</v>
      </c>
      <c r="X246" s="3641">
        <v>0</v>
      </c>
      <c r="Y246" s="1378">
        <f>IFERROR(X246/$X$44,0)</f>
        <v>0</v>
      </c>
      <c r="Z246" s="3639">
        <f>IFERROR(X246/$Y$14,0)</f>
        <v>0</v>
      </c>
      <c r="AB246" s="3641">
        <v>0</v>
      </c>
      <c r="AC246" s="1378">
        <f>IFERROR(AB246/$AB$44,0)</f>
        <v>0</v>
      </c>
      <c r="AD246" s="3639">
        <f>IFERROR(AB246/$AC$14,0)</f>
        <v>0</v>
      </c>
      <c r="AF246" s="3641">
        <v>0</v>
      </c>
      <c r="AG246" s="1378">
        <f>IFERROR(AF246/$AF$44,0)</f>
        <v>0</v>
      </c>
      <c r="AH246" s="3639">
        <f>IFERROR(AF246/$AG$14,0)</f>
        <v>0</v>
      </c>
      <c r="AJ246" s="3641">
        <v>0</v>
      </c>
      <c r="AK246" s="1378">
        <f>IFERROR(AJ246/$AJ$44,0)</f>
        <v>0</v>
      </c>
      <c r="AL246" s="3639">
        <f>IFERROR(AJ246/$AK$14,0)</f>
        <v>0</v>
      </c>
      <c r="AN246" s="3641">
        <v>0</v>
      </c>
      <c r="AO246" s="1378">
        <f>IFERROR(AN246/$AN$44,0)</f>
        <v>0</v>
      </c>
      <c r="AP246" s="3639">
        <f>IFERROR(AN246/$AO$14,0)</f>
        <v>0</v>
      </c>
      <c r="AR246" s="3641">
        <v>0</v>
      </c>
      <c r="AS246" s="1378">
        <f>IFERROR(AR246/$AR$44,0)</f>
        <v>0</v>
      </c>
      <c r="AT246" s="3639">
        <f>IFERROR(AR246/$AS$14,0)</f>
        <v>0</v>
      </c>
      <c r="AV246" s="3641">
        <v>0</v>
      </c>
      <c r="AW246" s="1378">
        <f>IFERROR(AV246/$AV$44,0)</f>
        <v>0</v>
      </c>
      <c r="AX246" s="3639">
        <f>IFERROR(AV246/$AW$14,0)</f>
        <v>0</v>
      </c>
      <c r="AZ246" s="3641">
        <v>0</v>
      </c>
      <c r="BA246" s="1378">
        <f>IFERROR(AZ246/$AZ$44,0)</f>
        <v>0</v>
      </c>
      <c r="BB246" s="3639">
        <f>IFERROR(AZ246/$BA$14,0)</f>
        <v>0</v>
      </c>
      <c r="BC246" s="1426" t="n"/>
      <c r="BD246" s="3641" t="n">
        <f t="array" ref="BD246">IFERROR($H246/12,0)</f>
        <v>0</v>
      </c>
      <c r="BE246" s="1378">
        <f>H246+L246+P246+T246+X246+AB246+AF246+AJ246+AN246+AR246+AV246+AZ246</f>
        <v>0</v>
      </c>
      <c r="BF246" s="3639">
        <f>IFERROR(BE246/BE14,0)</f>
        <v>0</v>
      </c>
      <c r="BG246" s="1568" t="n"/>
    </row>
    <row r="247" s="1168" customFormat="1" ht="15" customHeight="1">
      <c r="A247" s="3445" t="n"/>
      <c r="B247" s="3538" t="n"/>
      <c r="C247" s="101" t="n"/>
      <c r="D247" s="3457" t="n"/>
      <c r="E247" s="3464" t="n"/>
      <c r="F247" s="1172" t="n"/>
      <c r="G247" s="1283" t="inlineStr">
        <is>
          <t xml:space="preserve">TBA</t>
        </is>
      </c>
      <c r="H247" s="3641">
        <v>0</v>
      </c>
      <c r="I247" s="1378">
        <f>IFERROR(H247/$H$44,0)</f>
        <v>0</v>
      </c>
      <c r="J247" s="3639">
        <f>IFERROR(H247/$I$14,0)</f>
        <v>0</v>
      </c>
      <c r="K247" s="1172" t="n"/>
      <c r="L247" s="3641">
        <v>0</v>
      </c>
      <c r="M247" s="1378">
        <f>IFERROR(L247/$L$44,0)</f>
        <v>0</v>
      </c>
      <c r="N247" s="3639">
        <f>IFERROR(L247/$M$14,0)</f>
        <v>0</v>
      </c>
      <c r="P247" s="3641">
        <v>0</v>
      </c>
      <c r="Q247" s="1378">
        <f>IFERROR(P247/$P$44,0)</f>
        <v>0</v>
      </c>
      <c r="R247" s="3639">
        <f>IFERROR(P247/$Q$14,0)</f>
        <v>0</v>
      </c>
      <c r="T247" s="3641">
        <v>0</v>
      </c>
      <c r="U247" s="1378">
        <f>IFERROR(T247/$T$44,0)</f>
        <v>0</v>
      </c>
      <c r="V247" s="3639">
        <f>IFERROR(T247/$U$14,0)</f>
        <v>0</v>
      </c>
      <c r="X247" s="3641">
        <v>0</v>
      </c>
      <c r="Y247" s="1378">
        <f>IFERROR(X247/$X$44,0)</f>
        <v>0</v>
      </c>
      <c r="Z247" s="3639">
        <f>IFERROR(X247/$Y$14,0)</f>
        <v>0</v>
      </c>
      <c r="AB247" s="3641">
        <v>0</v>
      </c>
      <c r="AC247" s="1378">
        <f>IFERROR(AB247/$AB$44,0)</f>
        <v>0</v>
      </c>
      <c r="AD247" s="3639">
        <f>IFERROR(AB247/$AC$14,0)</f>
        <v>0</v>
      </c>
      <c r="AF247" s="3641">
        <v>0</v>
      </c>
      <c r="AG247" s="1378">
        <f>IFERROR(AF247/$AF$44,0)</f>
        <v>0</v>
      </c>
      <c r="AH247" s="3639">
        <f>IFERROR(AF247/$AG$14,0)</f>
        <v>0</v>
      </c>
      <c r="AJ247" s="3641">
        <v>0</v>
      </c>
      <c r="AK247" s="1378">
        <f>IFERROR(AJ247/$AJ$44,0)</f>
        <v>0</v>
      </c>
      <c r="AL247" s="3639">
        <f>IFERROR(AJ247/$AK$14,0)</f>
        <v>0</v>
      </c>
      <c r="AN247" s="3641">
        <v>0</v>
      </c>
      <c r="AO247" s="1378">
        <f>IFERROR(AN247/$AN$44,0)</f>
        <v>0</v>
      </c>
      <c r="AP247" s="3639">
        <f>IFERROR(AN247/$AO$14,0)</f>
        <v>0</v>
      </c>
      <c r="AR247" s="3641">
        <v>0</v>
      </c>
      <c r="AS247" s="1378">
        <f>IFERROR(AR247/$AR$44,0)</f>
        <v>0</v>
      </c>
      <c r="AT247" s="3639">
        <f>IFERROR(AR247/$AS$14,0)</f>
        <v>0</v>
      </c>
      <c r="AV247" s="3641">
        <v>0</v>
      </c>
      <c r="AW247" s="1378">
        <f>IFERROR(AV247/$AV$44,0)</f>
        <v>0</v>
      </c>
      <c r="AX247" s="3639">
        <f>IFERROR(AV247/$AW$14,0)</f>
        <v>0</v>
      </c>
      <c r="AZ247" s="3641">
        <v>0</v>
      </c>
      <c r="BA247" s="1378">
        <f>IFERROR(AZ247/$AZ$44,0)</f>
        <v>0</v>
      </c>
      <c r="BB247" s="3639">
        <f>IFERROR(AZ247/$BA$14,0)</f>
        <v>0</v>
      </c>
      <c r="BC247" s="1426" t="n"/>
      <c r="BD247" s="3641" t="n">
        <f t="array" ref="BD247">IFERROR($H247/12,0)</f>
        <v>0</v>
      </c>
      <c r="BE247" s="1378">
        <f>H247+L247+P247+T247+X247+AB247+AF247+AJ247+AN247+AR247+AV247+AZ247</f>
        <v>0</v>
      </c>
      <c r="BF247" s="3639">
        <f>IFERROR(BE247/BE14,0)</f>
        <v>0</v>
      </c>
      <c r="BG247" s="1568" t="n"/>
    </row>
    <row r="248" s="1168" customFormat="1" ht="15" customHeight="1">
      <c r="A248" s="3445" t="n"/>
      <c r="B248" s="3538" t="n"/>
      <c r="C248" s="101" t="n"/>
      <c r="D248" s="3457" t="n"/>
      <c r="E248" s="3464" t="n"/>
      <c r="F248" s="1172" t="n"/>
      <c r="G248" s="1283" t="inlineStr">
        <is>
          <t xml:space="preserve">TBA</t>
        </is>
      </c>
      <c r="H248" s="3641">
        <v>0</v>
      </c>
      <c r="I248" s="1378">
        <f>IFERROR(H248/$H$44,0)</f>
        <v>0</v>
      </c>
      <c r="J248" s="3639">
        <f>IFERROR(H248/$I$14,0)</f>
        <v>0</v>
      </c>
      <c r="K248" s="1172" t="n"/>
      <c r="L248" s="3641">
        <v>0</v>
      </c>
      <c r="M248" s="1378">
        <f>IFERROR(L248/$L$44,0)</f>
        <v>0</v>
      </c>
      <c r="N248" s="3639">
        <f>IFERROR(L248/$M$14,0)</f>
        <v>0</v>
      </c>
      <c r="P248" s="3641">
        <v>0</v>
      </c>
      <c r="Q248" s="1378">
        <f>IFERROR(P248/$P$44,0)</f>
        <v>0</v>
      </c>
      <c r="R248" s="3639">
        <f>IFERROR(P248/$Q$14,0)</f>
        <v>0</v>
      </c>
      <c r="T248" s="3641">
        <v>0</v>
      </c>
      <c r="U248" s="1378">
        <f>IFERROR(T248/$T$44,0)</f>
        <v>0</v>
      </c>
      <c r="V248" s="3639">
        <f>IFERROR(T248/$U$14,0)</f>
        <v>0</v>
      </c>
      <c r="X248" s="3641">
        <v>0</v>
      </c>
      <c r="Y248" s="1378">
        <f>IFERROR(X248/$X$44,0)</f>
        <v>0</v>
      </c>
      <c r="Z248" s="3639">
        <f>IFERROR(X248/$Y$14,0)</f>
        <v>0</v>
      </c>
      <c r="AB248" s="3641">
        <v>0</v>
      </c>
      <c r="AC248" s="1378">
        <f>IFERROR(AB248/$AB$44,0)</f>
        <v>0</v>
      </c>
      <c r="AD248" s="3639">
        <f>IFERROR(AB248/$AC$14,0)</f>
        <v>0</v>
      </c>
      <c r="AF248" s="3641">
        <v>0</v>
      </c>
      <c r="AG248" s="1378">
        <f>IFERROR(AF248/$AF$44,0)</f>
        <v>0</v>
      </c>
      <c r="AH248" s="3639">
        <f>IFERROR(AF248/$AG$14,0)</f>
        <v>0</v>
      </c>
      <c r="AJ248" s="3641">
        <v>0</v>
      </c>
      <c r="AK248" s="1378">
        <f>IFERROR(AJ248/$AJ$44,0)</f>
        <v>0</v>
      </c>
      <c r="AL248" s="3639">
        <f>IFERROR(AJ248/$AK$14,0)</f>
        <v>0</v>
      </c>
      <c r="AN248" s="3641">
        <v>0</v>
      </c>
      <c r="AO248" s="1378">
        <f>IFERROR(AN248/$AN$44,0)</f>
        <v>0</v>
      </c>
      <c r="AP248" s="3639">
        <f>IFERROR(AN248/$AO$14,0)</f>
        <v>0</v>
      </c>
      <c r="AR248" s="3641">
        <v>0</v>
      </c>
      <c r="AS248" s="1378">
        <f>IFERROR(AR248/$AR$44,0)</f>
        <v>0</v>
      </c>
      <c r="AT248" s="3639">
        <f>IFERROR(AR248/$AS$14,0)</f>
        <v>0</v>
      </c>
      <c r="AV248" s="3641">
        <v>0</v>
      </c>
      <c r="AW248" s="1378">
        <f>IFERROR(AV248/$AV$44,0)</f>
        <v>0</v>
      </c>
      <c r="AX248" s="3639">
        <f>IFERROR(AV248/$AW$14,0)</f>
        <v>0</v>
      </c>
      <c r="AZ248" s="3641">
        <v>0</v>
      </c>
      <c r="BA248" s="1378">
        <f>IFERROR(AZ248/$AZ$44,0)</f>
        <v>0</v>
      </c>
      <c r="BB248" s="3639">
        <f>IFERROR(AZ248/$BA$14,0)</f>
        <v>0</v>
      </c>
      <c r="BD248" s="3641" t="n">
        <f t="array" ref="BD248">IFERROR($H248/12,0)</f>
        <v>0</v>
      </c>
      <c r="BE248" s="1378">
        <f>H248+L248+P248+T248+X248+AB248+AF248+AJ248+AN248+AR248+AV248+AZ248</f>
        <v>0</v>
      </c>
      <c r="BF248" s="3639">
        <f>IFERROR(BE248/BE14,0)</f>
        <v>0</v>
      </c>
      <c r="BG248" s="1568" t="n"/>
    </row>
    <row r="249" s="1168" customFormat="1" ht="15.75" customHeight="1">
      <c r="A249" s="3445" t="n"/>
      <c r="B249" s="3538" t="n"/>
      <c r="C249" s="101" t="n"/>
      <c r="D249" s="3457" t="n"/>
      <c r="E249" s="3464" t="n"/>
      <c r="F249" s="1172" t="n"/>
      <c r="G249" s="1283" t="inlineStr">
        <is>
          <t xml:space="preserve">TBA</t>
        </is>
      </c>
      <c r="H249" s="3742">
        <v>0</v>
      </c>
      <c r="I249" s="1559">
        <f>IFERROR(H249/$H$44,0)</f>
        <v>0</v>
      </c>
      <c r="J249" s="3759">
        <f>IFERROR(H249/$I$14,0)</f>
        <v>0</v>
      </c>
      <c r="K249" s="1172" t="n"/>
      <c r="L249" s="3742">
        <v>0</v>
      </c>
      <c r="M249" s="1559">
        <f>IFERROR(L249/$L$44,0)</f>
        <v>0</v>
      </c>
      <c r="N249" s="3759">
        <f>IFERROR(L249/$M$14,0)</f>
        <v>0</v>
      </c>
      <c r="P249" s="3742">
        <v>0</v>
      </c>
      <c r="Q249" s="1559">
        <f>IFERROR(P249/$P$44,0)</f>
        <v>0</v>
      </c>
      <c r="R249" s="3759">
        <f>IFERROR(P249/$Q$14,0)</f>
        <v>0</v>
      </c>
      <c r="T249" s="3742">
        <v>0</v>
      </c>
      <c r="U249" s="1559">
        <f>IFERROR(T249/$T$44,0)</f>
        <v>0</v>
      </c>
      <c r="V249" s="3759">
        <f>IFERROR(T249/$U$14,0)</f>
        <v>0</v>
      </c>
      <c r="X249" s="3742">
        <v>0</v>
      </c>
      <c r="Y249" s="1559">
        <f>IFERROR(X249/$X$44,0)</f>
        <v>0</v>
      </c>
      <c r="Z249" s="3759">
        <f>IFERROR(X249/$Y$14,0)</f>
        <v>0</v>
      </c>
      <c r="AB249" s="3742">
        <v>0</v>
      </c>
      <c r="AC249" s="1559">
        <f>IFERROR(AB249/$AB$44,0)</f>
        <v>0</v>
      </c>
      <c r="AD249" s="3759">
        <f>IFERROR(AB249/$AC$14,0)</f>
        <v>0</v>
      </c>
      <c r="AF249" s="3742">
        <v>0</v>
      </c>
      <c r="AG249" s="1559">
        <f>IFERROR(AF249/$AF$44,0)</f>
        <v>0</v>
      </c>
      <c r="AH249" s="3759">
        <f>IFERROR(AF249/$AG$14,0)</f>
        <v>0</v>
      </c>
      <c r="AJ249" s="3742">
        <v>0</v>
      </c>
      <c r="AK249" s="1559">
        <f>IFERROR(AJ249/$AJ$44,0)</f>
        <v>0</v>
      </c>
      <c r="AL249" s="3759">
        <f>IFERROR(AJ249/$AK$14,0)</f>
        <v>0</v>
      </c>
      <c r="AN249" s="3742">
        <v>0</v>
      </c>
      <c r="AO249" s="1559">
        <f>IFERROR(AN249/$AN$44,0)</f>
        <v>0</v>
      </c>
      <c r="AP249" s="3759">
        <f>IFERROR(AN249/$AO$14,0)</f>
        <v>0</v>
      </c>
      <c r="AR249" s="3742">
        <v>0</v>
      </c>
      <c r="AS249" s="1559">
        <f>IFERROR(AR249/$AR$44,0)</f>
        <v>0</v>
      </c>
      <c r="AT249" s="3759">
        <f>IFERROR(AR249/$AS$14,0)</f>
        <v>0</v>
      </c>
      <c r="AV249" s="3742">
        <v>0</v>
      </c>
      <c r="AW249" s="1559">
        <f>IFERROR(AV249/$AV$44,0)</f>
        <v>0</v>
      </c>
      <c r="AX249" s="3759">
        <f>IFERROR(AV249/$AW$14,0)</f>
        <v>0</v>
      </c>
      <c r="AZ249" s="3742">
        <v>0</v>
      </c>
      <c r="BA249" s="1559">
        <f>IFERROR(AZ249/$AZ$44,0)</f>
        <v>0</v>
      </c>
      <c r="BB249" s="3759">
        <f>IFERROR(AZ249/$BA$14,0)</f>
        <v>0</v>
      </c>
      <c r="BD249" s="3742" t="n">
        <f t="array" ref="BD249">IFERROR($H249/12,0)</f>
        <v>0</v>
      </c>
      <c r="BE249" s="1559">
        <f>H249+L249+P249+T249+X249+AB249+AF249+AJ249+AN249+AR249+AV249+AZ249</f>
        <v>0</v>
      </c>
      <c r="BF249" s="3759">
        <f>IFERROR(BE249/BE14,0)</f>
        <v>0</v>
      </c>
      <c r="BG249" s="1568" t="n"/>
    </row>
    <row r="250" s="1168" customFormat="1" ht="13.5" customHeight="1">
      <c r="A250" s="3445" t="n"/>
      <c r="B250" s="3538" t="n"/>
      <c r="C250" s="101" t="n"/>
      <c r="D250" s="3457" t="n"/>
      <c r="E250" s="3464" t="n"/>
      <c r="F250" s="1172" t="n"/>
      <c r="G250" s="1415" t="inlineStr">
        <is>
          <t xml:space="preserve">Total Other Income (Expense)</t>
        </is>
      </c>
      <c r="H250" s="3601">
        <f>SUM(H240:H249)</f>
        <v>437201.427064134</v>
      </c>
      <c r="I250" s="1316">
        <f>SUM(I240:I249)</f>
        <v>0.294302734383988</v>
      </c>
      <c r="J250" s="3602">
        <f>SUM(J240:J249)</f>
        <v>21.7784023444151</v>
      </c>
      <c r="K250" s="1172" t="n"/>
      <c r="L250" s="3601">
        <f>SUM(L240:L249)</f>
        <v>448401.5861173</v>
      </c>
      <c r="M250" s="1316">
        <f>SUM(M240:M249)</f>
        <v>0.250396945948347</v>
      </c>
      <c r="N250" s="3602">
        <f>SUM(N240:N249)</f>
        <v>18.8999614801812</v>
      </c>
      <c r="P250" s="3601">
        <f>SUM(P240:P249)</f>
        <v>452038.169031894</v>
      </c>
      <c r="Q250" s="1316">
        <f>SUM(Q240:Q249)</f>
        <v>0.223417754741781</v>
      </c>
      <c r="R250" s="3602">
        <f>SUM(R240:R249)</f>
        <v>17.2008435704678</v>
      </c>
      <c r="T250" s="3601">
        <f>SUM(T240:T249)</f>
        <v>448749.410524991</v>
      </c>
      <c r="U250" s="1316">
        <f>SUM(U240:U249)</f>
        <v>0.217443432551997</v>
      </c>
      <c r="V250" s="3602">
        <f>SUM(V240:V249)</f>
        <v>17.0757005527013</v>
      </c>
      <c r="X250" s="3601">
        <f>SUM(X240:X249)</f>
        <v>445103.655160919</v>
      </c>
      <c r="Y250" s="1316">
        <f>SUM(Y240:Y249)</f>
        <v>0.2114479081447</v>
      </c>
      <c r="Z250" s="3602">
        <f>SUM(Z240:Z249)</f>
        <v>16.9369731796392</v>
      </c>
      <c r="AB250" s="3601">
        <f>SUM(AB240:AB249)</f>
        <v>441074.259346728</v>
      </c>
      <c r="AC250" s="1316">
        <f>SUM(AC240:AC249)</f>
        <v>0.205425226311796</v>
      </c>
      <c r="AD250" s="3602">
        <f>SUM(AD240:AD249)</f>
        <v>16.7836476159333</v>
      </c>
      <c r="AF250" s="3601">
        <f>SUM(AF240:AF249)</f>
        <v>436632.740421682</v>
      </c>
      <c r="AG250" s="1316">
        <f>SUM(AG240:AG249)</f>
        <v>0.199369255224494</v>
      </c>
      <c r="AH250" s="3602">
        <f>SUM(AH240:AH249)</f>
        <v>16.6146400464871</v>
      </c>
      <c r="AJ250" s="3601">
        <f>SUM(AJ240:AJ249)</f>
        <v>431748.652397755</v>
      </c>
      <c r="AK250" s="1316">
        <f>SUM(AK240:AK249)</f>
        <v>0.193273676389331</v>
      </c>
      <c r="AL250" s="3602">
        <f>SUM(AL240:AL249)</f>
        <v>16.4287919481642</v>
      </c>
      <c r="AN250" s="3601">
        <f>SUM(AN240:AN249)</f>
        <v>426389.453355727</v>
      </c>
      <c r="AO250" s="1316">
        <f>SUM(AO240:AO249)</f>
        <v>0.187131974174464</v>
      </c>
      <c r="AP250" s="3602">
        <f>SUM(AP240:AP249)</f>
        <v>16.2248650439774</v>
      </c>
      <c r="AR250" s="3601">
        <f>SUM(AR240:AR249)</f>
        <v>420520.363938666</v>
      </c>
      <c r="AS250" s="1316">
        <f>SUM(AS240:AS249)</f>
        <v>0.180937424890238</v>
      </c>
      <c r="AT250" s="3602">
        <f>SUM(AT240:AT249)</f>
        <v>16.0015359185185</v>
      </c>
      <c r="AV250" s="3601">
        <f>SUM(AV240:AV249)</f>
        <v>313283.392181593</v>
      </c>
      <c r="AW250" s="1316">
        <f>SUM(AW240:AW249)</f>
        <v>0.134796540436942</v>
      </c>
      <c r="AX250" s="3602">
        <f>SUM(AX240:AX249)</f>
        <v>11.9209814376557</v>
      </c>
      <c r="AZ250" s="3601">
        <f>SUM(AZ240:AZ249)</f>
        <v>302869.580291487</v>
      </c>
      <c r="BA250" s="1316">
        <f>SUM(BA240:BA249)</f>
        <v>0.130315786427698</v>
      </c>
      <c r="BB250" s="3602">
        <f>SUM(BB240:BB249)</f>
        <v>11.5247176671038</v>
      </c>
      <c r="BD250" s="3601">
        <f t="array" ref="BD250">IFERROR($H250/12,0)</f>
        <v>36433.4522553445</v>
      </c>
      <c r="BE250" s="1316">
        <f>H250+L250+P250+T250+X250+AB250+AF250+AJ250+AN250+AR250+AV250+AZ250</f>
        <v>5004012.68983288</v>
      </c>
      <c r="BF250" s="3602">
        <f>IFERROR(BE250/BE14,0)</f>
        <v>16.3209807235254</v>
      </c>
      <c r="BG250" s="1568" t="n"/>
    </row>
    <row r="251" s="1168" customFormat="1" ht="13.5" customHeight="1">
      <c r="A251" s="3445" t="n"/>
      <c r="B251" s="3538" t="n"/>
      <c r="C251" s="101" t="n"/>
      <c r="D251" s="3457" t="n"/>
      <c r="E251" s="3464" t="n"/>
      <c r="F251" s="1172" t="n"/>
      <c r="H251" s="1589" t="n"/>
      <c r="I251" s="901" t="n"/>
      <c r="K251" s="1172" t="n"/>
      <c r="M251" s="1509" t="n"/>
      <c r="N251" s="901" t="n"/>
      <c r="Q251" s="901" t="n"/>
      <c r="U251" s="1509" t="n"/>
      <c r="Y251" s="1509" t="n"/>
      <c r="AC251" s="1509" t="n"/>
      <c r="AG251" s="1509" t="n"/>
      <c r="AK251" s="1509" t="n"/>
      <c r="AO251" s="1509" t="n"/>
      <c r="AW251" s="1509" t="n"/>
      <c r="BA251" s="1509" t="n"/>
      <c r="BE251" s="1509" t="n"/>
      <c r="BG251" s="1572" t="n"/>
    </row>
    <row r="252" s="1168" customFormat="1" ht="13.5" customHeight="1">
      <c r="A252" s="3445" t="n"/>
      <c r="B252" s="3538" t="n"/>
      <c r="C252" s="101" t="n"/>
      <c r="D252" s="3457" t="n"/>
      <c r="E252" s="3464" t="n"/>
      <c r="F252" s="1172" t="n"/>
      <c r="G252" s="1478" t="inlineStr">
        <is>
          <t xml:space="preserve">Net Income (Loss)</t>
        </is>
      </c>
      <c r="H252" s="3753">
        <f>H238-H250</f>
        <v>3369.83793586603</v>
      </c>
      <c r="I252" s="1579">
        <f>I238-I250</f>
        <v>0.00226841098304738</v>
      </c>
      <c r="J252" s="3556">
        <f>IFERROR(H252/$I$14,0)</f>
        <v>0.167862412745506</v>
      </c>
      <c r="K252" s="1172" t="n"/>
      <c r="L252" s="3753">
        <f>L238-L250</f>
        <v>95036.7965597</v>
      </c>
      <c r="M252" s="1579">
        <f>M238-M250</f>
        <v>0.0530705607384674</v>
      </c>
      <c r="N252" s="3556">
        <f>IFERROR(L252/$M$14,0)</f>
        <v>4.00576592453952</v>
      </c>
      <c r="P252" s="3753">
        <f>P238-P250</f>
        <v>175780.116326106</v>
      </c>
      <c r="Q252" s="1579">
        <f>Q238-Q250</f>
        <v>0.0868785018794657</v>
      </c>
      <c r="R252" s="3556">
        <f>IFERROR(P252/$Q$14,0)</f>
        <v>6.68874110829931</v>
      </c>
      <c r="T252" s="3753">
        <f>T238-T250</f>
        <v>205579.924567009</v>
      </c>
      <c r="U252" s="1581">
        <f>U238-U250</f>
        <v>0.0996146254751271</v>
      </c>
      <c r="V252" s="3556">
        <f>IFERROR(T252/$U$14,0)</f>
        <v>7.82267597286944</v>
      </c>
      <c r="X252" s="3753">
        <f>X238-X250</f>
        <v>236406.497499081</v>
      </c>
      <c r="Y252" s="1581">
        <f>Y238-Y250</f>
        <v>0.112305659116467</v>
      </c>
      <c r="Z252" s="3556">
        <f>IFERROR(X252/$Y$14,0)</f>
        <v>8.99568103116747</v>
      </c>
      <c r="AB252" s="3753">
        <f>AB238-AB250</f>
        <v>268301.269542272</v>
      </c>
      <c r="AC252" s="1581">
        <f>AC238-AC250</f>
        <v>0.124958207937809</v>
      </c>
      <c r="AD252" s="3556">
        <f>IFERROR(AB252/$AC$14,0)</f>
        <v>10.2093329353985</v>
      </c>
      <c r="AF252" s="3753">
        <f>AF238-AF250</f>
        <v>301307.823952318</v>
      </c>
      <c r="AG252" s="1581">
        <f>AG238-AG250</f>
        <v>0.137579047317139</v>
      </c>
      <c r="AH252" s="3556">
        <f>IFERROR(AF252/$AG$14,0)</f>
        <v>11.4652901047305</v>
      </c>
      <c r="AJ252" s="3753">
        <f>AJ238-AJ250</f>
        <v>335472.023420245</v>
      </c>
      <c r="AK252" s="1581">
        <f>AK238-AK250</f>
        <v>0.15017513299026</v>
      </c>
      <c r="AL252" s="3556">
        <f>IFERROR(AJ252/$AK$14,0)</f>
        <v>12.7652976948343</v>
      </c>
      <c r="AN252" s="3753">
        <f>AN238-AN250</f>
        <v>370842.149136273</v>
      </c>
      <c r="AO252" s="1581">
        <f>AO238-AO250</f>
        <v>0.162753611583999</v>
      </c>
      <c r="AP252" s="3556">
        <f>IFERROR(AN252/$AO$14,0)</f>
        <v>14.1111928895081</v>
      </c>
      <c r="AR252" s="3753">
        <f>AR238-AR250</f>
        <v>407469.048892334</v>
      </c>
      <c r="AS252" s="1581">
        <f>AS238-AS250</f>
        <v>0.175321831595786</v>
      </c>
      <c r="AT252" s="3556">
        <f>IFERROR(AR252/$AS$14,0)</f>
        <v>15.504910536238</v>
      </c>
      <c r="AV252" s="3753">
        <f>AV238-AV250</f>
        <v>499744.710577407</v>
      </c>
      <c r="AW252" s="1581">
        <f>AW238-AW250</f>
        <v>0.215025308614024</v>
      </c>
      <c r="AX252" s="3556">
        <f>IFERROR(AV252/$AW$14,0)</f>
        <v>19.0161609808755</v>
      </c>
      <c r="AZ252" s="3753">
        <f>AZ238-AZ250</f>
        <v>495047.599294513</v>
      </c>
      <c r="BA252" s="1581">
        <f>BA238-BA250</f>
        <v>0.21300428111374</v>
      </c>
      <c r="BB252" s="3556">
        <f>IFERROR(AZ252/$BA$14,0)</f>
        <v>18.8374276748293</v>
      </c>
      <c r="BC252" s="1426" t="n"/>
      <c r="BD252" s="3753">
        <f t="array" ref="BD252">IFERROR($H252/12,0)</f>
        <v>280.819827988836</v>
      </c>
      <c r="BE252" s="1581">
        <f>H252+L252+P252+T252+X252+AB252+AF252+AJ252+AN252+AR252+AV252+AZ252</f>
        <v>3394357.79770312</v>
      </c>
      <c r="BF252" s="3556">
        <f>IFERROR(BE252/BE14,0)</f>
        <v>11.0709647674596</v>
      </c>
      <c r="BG252" s="1568" t="n"/>
    </row>
    <row r="253" s="1168" customFormat="1" ht="12.75" customHeight="1">
      <c r="A253" s="3445" t="n"/>
      <c r="B253" s="3538" t="n"/>
      <c r="C253" s="101" t="n"/>
      <c r="D253" s="3457" t="n"/>
      <c r="E253" s="3464" t="n"/>
      <c r="F253" s="1172" t="n"/>
      <c r="G253" s="1590" t="n"/>
      <c r="H253" s="3760" t="n"/>
      <c r="I253" s="881" t="n"/>
      <c r="J253" s="3761" t="n"/>
      <c r="K253" s="1172" t="n"/>
      <c r="L253" s="3762" t="n"/>
      <c r="M253" s="881" t="n"/>
      <c r="N253" s="3763" t="n"/>
      <c r="P253" s="3760" t="n"/>
      <c r="Q253" s="881" t="n"/>
      <c r="R253" s="3763" t="n"/>
      <c r="T253" s="3760" t="n"/>
      <c r="U253" s="1595" t="n"/>
      <c r="V253" s="3763" t="n"/>
      <c r="X253" s="3760" t="n"/>
      <c r="Y253" s="1595" t="n"/>
      <c r="Z253" s="3763" t="n"/>
      <c r="AB253" s="3760" t="n"/>
      <c r="AC253" s="1595" t="n"/>
      <c r="AD253" s="3763" t="n"/>
      <c r="AF253" s="3760" t="n"/>
      <c r="AG253" s="1595" t="n"/>
      <c r="AH253" s="3763" t="n"/>
      <c r="AJ253" s="3760" t="n"/>
      <c r="AK253" s="1595" t="n"/>
      <c r="AL253" s="3763" t="n"/>
      <c r="AN253" s="3760" t="n"/>
      <c r="AO253" s="1595" t="n"/>
      <c r="AP253" s="3763" t="n"/>
      <c r="AR253" s="3760" t="n"/>
      <c r="AS253" s="1595" t="n"/>
      <c r="AT253" s="3763" t="n"/>
      <c r="AV253" s="3760" t="n"/>
      <c r="AW253" s="1595" t="n"/>
      <c r="AX253" s="3763" t="n"/>
      <c r="AZ253" s="3760" t="n"/>
      <c r="BA253" s="1595" t="n"/>
      <c r="BB253" s="3763" t="n"/>
      <c r="BD253" s="3760" t="n"/>
      <c r="BE253" s="1595" t="n"/>
      <c r="BF253" s="3763" t="n"/>
    </row>
    <row r="254" s="1168" customFormat="1" ht="13.5" customHeight="1">
      <c r="A254" s="3445" t="n"/>
      <c r="B254" s="3538" t="n"/>
      <c r="C254" s="101" t="n"/>
      <c r="D254" s="3457" t="n"/>
      <c r="E254" s="3464" t="n"/>
      <c r="F254" s="1172" t="n"/>
      <c r="G254" s="1596" t="inlineStr">
        <is>
          <t>Principal</t>
        </is>
      </c>
      <c r="K254" s="1172" t="n"/>
      <c r="BB254" s="3764" t="n"/>
      <c r="BC254" s="832" t="n"/>
      <c r="BG254" s="1572" t="n"/>
    </row>
    <row r="255" s="1168" customFormat="1" ht="15" customHeight="1">
      <c r="A255" s="3445" t="n"/>
      <c r="B255" s="3538" t="n"/>
      <c r="C255" s="101" t="n"/>
      <c r="D255" s="3457" t="n"/>
      <c r="E255" s="3464" t="n"/>
      <c r="F255" s="1172" t="n"/>
      <c r="G255" s="1539" t="inlineStr">
        <is>
          <t xml:space="preserve">Depreciation</t>
        </is>
      </c>
      <c r="H255" s="3755">
        <v>0</v>
      </c>
      <c r="I255" s="1598">
        <f>IFERROR(H255/$H$44,0)</f>
        <v>0</v>
      </c>
      <c r="J255" s="3756">
        <f>IFERROR(H255/$I$14,0)</f>
        <v>0</v>
      </c>
      <c r="K255" s="1172" t="n"/>
      <c r="L255" s="3755">
        <v>0</v>
      </c>
      <c r="M255" s="1598">
        <f>IFERROR(L255/$L$44,0)</f>
        <v>0</v>
      </c>
      <c r="N255" s="3756">
        <f>IFERROR(L255/$M$14,0)</f>
        <v>0</v>
      </c>
      <c r="P255" s="3755">
        <v>0</v>
      </c>
      <c r="Q255" s="1598">
        <f>IFERROR(P255/$P$44,0)</f>
        <v>0</v>
      </c>
      <c r="R255" s="3756">
        <f>IFERROR(P255/$Q$14,0)</f>
        <v>0</v>
      </c>
      <c r="T255" s="3755">
        <v>0</v>
      </c>
      <c r="U255" s="1598">
        <f>IFERROR(T255/$T$44,0)</f>
        <v>0</v>
      </c>
      <c r="V255" s="3756">
        <f>IFERROR(T255/$U$14,0)</f>
        <v>0</v>
      </c>
      <c r="X255" s="3755">
        <v>0</v>
      </c>
      <c r="Y255" s="1598">
        <f>IFERROR(X255/$X$44,0)</f>
        <v>0</v>
      </c>
      <c r="Z255" s="3756">
        <f>IFERROR(X255/$Y$14,0)</f>
        <v>0</v>
      </c>
      <c r="AB255" s="3755">
        <v>0</v>
      </c>
      <c r="AC255" s="1598">
        <f>IFERROR(AB255/$AB$44,0)</f>
        <v>0</v>
      </c>
      <c r="AD255" s="3756">
        <f>IFERROR(AB255/$AC$14,0)</f>
        <v>0</v>
      </c>
      <c r="AF255" s="3755">
        <v>0</v>
      </c>
      <c r="AG255" s="1598">
        <f>IFERROR(AF255/$AF$44,0)</f>
        <v>0</v>
      </c>
      <c r="AH255" s="3756">
        <f>IFERROR(AF255/$AG$14,0)</f>
        <v>0</v>
      </c>
      <c r="AJ255" s="3755">
        <v>0</v>
      </c>
      <c r="AK255" s="1598">
        <f>IFERROR(AJ255/$AJ$44,0)</f>
        <v>0</v>
      </c>
      <c r="AL255" s="3756">
        <f>IFERROR(AJ255/$AK$14,0)</f>
        <v>0</v>
      </c>
      <c r="AN255" s="3755">
        <v>0</v>
      </c>
      <c r="AO255" s="1598">
        <f>IFERROR(AN255/$AN$44,0)</f>
        <v>0</v>
      </c>
      <c r="AP255" s="3756">
        <f>IFERROR(AN255/$AO$14,0)</f>
        <v>0</v>
      </c>
      <c r="AR255" s="3755">
        <v>0</v>
      </c>
      <c r="AS255" s="1598">
        <f>IFERROR(AR255/$AR$44,0)</f>
        <v>0</v>
      </c>
      <c r="AT255" s="3756">
        <f>IFERROR(AR255/$AS$14,0)</f>
        <v>0</v>
      </c>
      <c r="AV255" s="3755">
        <v>0</v>
      </c>
      <c r="AW255" s="1598">
        <f>IFERROR(AV255/$AV$44,0)</f>
        <v>0</v>
      </c>
      <c r="AX255" s="3756">
        <f>IFERROR(AV255/$AW$14,0)</f>
        <v>0</v>
      </c>
      <c r="AZ255" s="3755">
        <v>0</v>
      </c>
      <c r="BA255" s="1598">
        <f>IFERROR(AZ255/$AZ$44,0)</f>
        <v>0</v>
      </c>
      <c r="BB255" s="3756">
        <f>IFERROR(AZ255/$BA$14,0)</f>
        <v>0</v>
      </c>
      <c r="BC255" s="1426" t="n"/>
      <c r="BD255" s="3755" t="n">
        <f t="array" ref="BD255">IFERROR($H255/12,0)</f>
        <v>0</v>
      </c>
      <c r="BE255" s="1598">
        <f>H255+L255+P255+T255+X255+AB255+AF255+AJ255+AN255+AR255+AV255+AZ255</f>
        <v>0</v>
      </c>
      <c r="BF255" s="3756">
        <f>IFERROR(BE255/BE14,0)</f>
        <v>0</v>
      </c>
      <c r="BG255" s="1568" t="n"/>
    </row>
    <row r="256" s="1168" customFormat="1" ht="15" customHeight="1">
      <c r="A256" s="3765" t="n"/>
      <c r="B256" s="3766" t="n"/>
      <c r="C256" s="1601" t="n"/>
      <c r="D256" s="3767" t="n"/>
      <c r="E256" s="3768" t="n"/>
      <c r="F256" s="1604" t="n"/>
      <c r="G256" s="1605" t="inlineStr">
        <is>
          <t>Mortgage - Principal</t>
        </is>
      </c>
      <c r="H256" s="3641">
        <f>SUM('JYI-Loan Amortization'!G18:G29)</f>
        <v>81318.207336226</v>
      </c>
      <c r="I256" s="1378">
        <f>IFERROR(H256/$H$44,0)</f>
        <v>0.0547394617052445</v>
      </c>
      <c r="J256" s="3639">
        <f>IFERROR(H256/$I$14,0)</f>
        <v>4.05072016618809</v>
      </c>
      <c r="K256" s="1604" t="n"/>
      <c r="L256" s="3641">
        <f>SUM('JYI-Loan Amortization'!G30:G41)</f>
        <v>86764.2382830599</v>
      </c>
      <c r="M256" s="1378">
        <f>IFERROR(L256/$L$44,0)</f>
        <v>0.0484509889265413</v>
      </c>
      <c r="N256" s="3639">
        <f>IFERROR(L256/$M$14,0)</f>
        <v>3.65708064417534</v>
      </c>
      <c r="O256" s="1604" t="n"/>
      <c r="P256" s="3641">
        <f>SUM('JYI-Loan Amortization'!G42:G53)</f>
        <v>92575.0000084664</v>
      </c>
      <c r="Q256" s="1378">
        <f>IFERROR(P256/$P$44,0)</f>
        <v>0.0457547615755709</v>
      </c>
      <c r="R256" s="3639">
        <f>IFERROR(P256/$Q$14,0)</f>
        <v>3.52264079179857</v>
      </c>
      <c r="S256" s="1604" t="n"/>
      <c r="T256" s="3641">
        <f>SUM('JYI-Loan Amortization'!G54:G65)</f>
        <v>98774.9192081689</v>
      </c>
      <c r="U256" s="1378">
        <f>IFERROR(T256/$T$44,0)</f>
        <v>0.0478618065649232</v>
      </c>
      <c r="V256" s="3639">
        <f>IFERROR(T256/$U$14,0)</f>
        <v>3.75855856956503</v>
      </c>
      <c r="W256" s="1604" t="n"/>
      <c r="X256" s="3641">
        <f>SUM('JYI-Loan Amortization'!G66:G77)</f>
        <v>105390.058478942</v>
      </c>
      <c r="Y256" s="1378">
        <f>IFERROR(X256/$X$44,0)</f>
        <v>0.0500658827359285</v>
      </c>
      <c r="Z256" s="3639">
        <f>IFERROR(X256/$Y$14,0)</f>
        <v>4.01027619782882</v>
      </c>
      <c r="AA256" s="1604" t="n"/>
      <c r="AB256" s="3641">
        <f>SUM('JYI-Loan Amortization'!G78:G89)</f>
        <v>112448.225877933</v>
      </c>
      <c r="AC256" s="1378">
        <f>IFERROR(AB256/$AB$44,0)</f>
        <v>0.0523714584558778</v>
      </c>
      <c r="AD256" s="3639">
        <f>IFERROR(AB256/$AC$14,0)</f>
        <v>4.27885182183914</v>
      </c>
      <c r="AE256" s="1604" t="n"/>
      <c r="AF256" s="3641">
        <f>SUM('JYI-Loan Amortization'!G90:G101)</f>
        <v>119979.091819378</v>
      </c>
      <c r="AG256" s="1378">
        <f>IFERROR(AF256/$AF$44,0)</f>
        <v>0.0547832078635227</v>
      </c>
      <c r="AH256" s="3639">
        <f>IFERROR(AF256/$AG$14,0)</f>
        <v>4.56541445279216</v>
      </c>
      <c r="AI256" s="1604" t="n"/>
      <c r="AJ256" s="3641">
        <f>SUM('JYI-Loan Amortization'!G102:G113)</f>
        <v>128014.313800105</v>
      </c>
      <c r="AK256" s="1378">
        <f>IFERROR(AJ256/$AJ$44,0)</f>
        <v>0.0573060203458607</v>
      </c>
      <c r="AL256" s="3639">
        <f>IFERROR(AJ256/$AK$14,0)</f>
        <v>4.87116871385483</v>
      </c>
      <c r="AM256" s="1604" t="n"/>
      <c r="AN256" s="3641">
        <f>SUM('JYI-Loan Amortization'!G114:G125)</f>
        <v>136587.669478133</v>
      </c>
      <c r="AO256" s="1378">
        <f>IFERROR(AN256/$AN$44,0)</f>
        <v>0.0599450104503596</v>
      </c>
      <c r="AP256" s="3639">
        <f>IFERROR(AN256/$AO$14,0)</f>
        <v>5.19739990403854</v>
      </c>
      <c r="AQ256" s="1604" t="n"/>
      <c r="AR256" s="3641">
        <f>SUM('JYI-Loan Amortization'!G126:G137)</f>
        <v>145735.198663795</v>
      </c>
      <c r="AS256" s="1378">
        <f>IFERROR(AR256/$AR$44,0)</f>
        <v>0.0627055282534196</v>
      </c>
      <c r="AT256" s="3639">
        <f>IFERROR(AR256/$AS$14,0)</f>
        <v>5.54547940120984</v>
      </c>
      <c r="AU256" s="1604" t="n"/>
      <c r="AV256" s="3641">
        <f>SUM('JYI-Loan Amortization'!G138:G149)</f>
        <v>155495.354820268</v>
      </c>
      <c r="AW256" s="1378">
        <f>IFERROR(AV256/$AV$44,0)</f>
        <v>0.0669050336113489</v>
      </c>
      <c r="AX256" s="3639">
        <f>IFERROR(AV256/$AW$14,0)</f>
        <v>5.91687042695083</v>
      </c>
      <c r="AY256" s="1604" t="n"/>
      <c r="AZ256" s="3641">
        <f>SUM('JYI-Loan Amortization'!G150:G161)</f>
        <v>165909.166710374</v>
      </c>
      <c r="BA256" s="1378">
        <f>IFERROR(AZ256/$AZ$44,0)</f>
        <v>0.0713857876205934</v>
      </c>
      <c r="BB256" s="3639">
        <f>IFERROR(AZ256/$BA$14,0)</f>
        <v>6.3131341975028</v>
      </c>
      <c r="BC256" s="1606" t="n"/>
      <c r="BD256" s="3641">
        <f t="array" ref="BD256">IFERROR($H256/12,0)</f>
        <v>6776.51727801883</v>
      </c>
      <c r="BE256" s="1378">
        <f>H256+L256+P256+T256+X256+AB256+AF256+AJ256+AN256+AR256+AV256+AZ256</f>
        <v>1428991.44448485</v>
      </c>
      <c r="BF256" s="3639">
        <f>IFERROR(BE256/BE14,0)</f>
        <v>4.66076792069422</v>
      </c>
      <c r="BG256" s="1607" t="n"/>
    </row>
    <row r="257" s="1168" customFormat="1" ht="15" customHeight="1">
      <c r="A257" s="3445" t="n"/>
      <c r="B257" s="3538" t="n"/>
      <c r="C257" s="101" t="n"/>
      <c r="D257" s="3457" t="n"/>
      <c r="E257" s="3464" t="n"/>
      <c r="F257" s="1172" t="n"/>
      <c r="G257" s="1439" t="inlineStr">
        <is>
          <t>Additional Loans for Principal / Lease</t>
        </is>
      </c>
      <c r="H257" s="3641">
        <v>0</v>
      </c>
      <c r="I257" s="1378">
        <f>IFERROR(H257/$H$44,0)</f>
        <v>0</v>
      </c>
      <c r="J257" s="3639">
        <f>IFERROR(H257/$I$14,0)</f>
        <v>0</v>
      </c>
      <c r="K257" s="1172" t="n"/>
      <c r="L257" s="3641">
        <v>0</v>
      </c>
      <c r="M257" s="1378">
        <f>IFERROR(L257/$L$44,0)</f>
        <v>0</v>
      </c>
      <c r="N257" s="3639">
        <f>IFERROR(L257/$M$14,0)</f>
        <v>0</v>
      </c>
      <c r="P257" s="3641">
        <v>0</v>
      </c>
      <c r="Q257" s="1378">
        <f>IFERROR(P257/$P$44,0)</f>
        <v>0</v>
      </c>
      <c r="R257" s="3639">
        <f>IFERROR(P257/$Q$14,0)</f>
        <v>0</v>
      </c>
      <c r="T257" s="3641">
        <v>0</v>
      </c>
      <c r="U257" s="1378">
        <f>IFERROR(T257/$T$44,0)</f>
        <v>0</v>
      </c>
      <c r="V257" s="3639">
        <f>IFERROR(T257/$U$14,0)</f>
        <v>0</v>
      </c>
      <c r="X257" s="3641">
        <v>0</v>
      </c>
      <c r="Y257" s="1378">
        <f>IFERROR(X257/$X$44,0)</f>
        <v>0</v>
      </c>
      <c r="Z257" s="3639">
        <f>IFERROR(X257/$Y$14,0)</f>
        <v>0</v>
      </c>
      <c r="AB257" s="3641">
        <v>0</v>
      </c>
      <c r="AC257" s="1378">
        <f>IFERROR(AB257/$AB$44,0)</f>
        <v>0</v>
      </c>
      <c r="AD257" s="3639">
        <f>IFERROR(AB257/$AC$14,0)</f>
        <v>0</v>
      </c>
      <c r="AF257" s="3641">
        <v>0</v>
      </c>
      <c r="AG257" s="1378">
        <f>IFERROR(AF257/$AF$44,0)</f>
        <v>0</v>
      </c>
      <c r="AH257" s="3639">
        <f>IFERROR(AF257/$AG$14,0)</f>
        <v>0</v>
      </c>
      <c r="AJ257" s="3641">
        <v>0</v>
      </c>
      <c r="AK257" s="1378">
        <f>IFERROR(AJ257/$AJ$44,0)</f>
        <v>0</v>
      </c>
      <c r="AL257" s="3639">
        <f>IFERROR(AJ257/$AK$14,0)</f>
        <v>0</v>
      </c>
      <c r="AN257" s="3641">
        <v>0</v>
      </c>
      <c r="AO257" s="1378">
        <f>IFERROR(AN257/$AN$44,0)</f>
        <v>0</v>
      </c>
      <c r="AP257" s="3639">
        <f>IFERROR(AN257/$AO$14,0)</f>
        <v>0</v>
      </c>
      <c r="AR257" s="3641">
        <v>0</v>
      </c>
      <c r="AS257" s="1378">
        <f>IFERROR(AR257/$AR$44,0)</f>
        <v>0</v>
      </c>
      <c r="AT257" s="3639">
        <f>IFERROR(AR257/$AS$14,0)</f>
        <v>0</v>
      </c>
      <c r="AV257" s="3641">
        <v>0</v>
      </c>
      <c r="AW257" s="1378">
        <f>IFERROR(AV257/$AV$44,0)</f>
        <v>0</v>
      </c>
      <c r="AX257" s="3639">
        <f>IFERROR(AV257/$AW$14,0)</f>
        <v>0</v>
      </c>
      <c r="AZ257" s="3641">
        <v>0</v>
      </c>
      <c r="BA257" s="1378">
        <f>IFERROR(AZ257/$AZ$44,0)</f>
        <v>0</v>
      </c>
      <c r="BB257" s="3639">
        <f>IFERROR(AZ257/$BA$14,0)</f>
        <v>0</v>
      </c>
      <c r="BC257" s="1426" t="n"/>
      <c r="BD257" s="3641" t="n">
        <f t="array" ref="BD257">IFERROR($H257/12,0)</f>
        <v>0</v>
      </c>
      <c r="BE257" s="1378">
        <f>H257+L257+P257+T257+X257+AB257+AF257+AJ257+AN257+AR257+AV257+AZ257</f>
        <v>0</v>
      </c>
      <c r="BF257" s="3639">
        <f>IFERROR(BE257/BE14,0)</f>
        <v>0</v>
      </c>
      <c r="BG257" s="1568" t="n"/>
    </row>
    <row r="258" s="1168" customFormat="1" ht="15" customHeight="1">
      <c r="A258" s="3765" t="n"/>
      <c r="B258" s="3766" t="n"/>
      <c r="C258" s="1601" t="n"/>
      <c r="D258" s="3767" t="n"/>
      <c r="E258" s="3768" t="n"/>
      <c r="F258" s="1604" t="n"/>
      <c r="G258" s="1605" t="inlineStr">
        <is>
          <t xml:space="preserve">0-4% % Cash Reserves for FF&amp;E</t>
        </is>
      </c>
      <c r="H258" s="3769">
        <f>$H$44*I258</f>
        <v>59422</v>
      </c>
      <c r="I258" s="1609">
        <v>0.04</v>
      </c>
      <c r="J258" s="3770">
        <f>IFERROR(H258/$I$14,0)</f>
        <v>2.96</v>
      </c>
      <c r="K258" s="1604" t="n"/>
      <c r="L258" s="3769">
        <f>$L$44*M258</f>
        <v>71630.52</v>
      </c>
      <c r="M258" s="1609">
        <v>0.04</v>
      </c>
      <c r="N258" s="3770">
        <f>IFERROR(L258/$M$14,0)</f>
        <v>3.0192</v>
      </c>
      <c r="O258" s="1604" t="n"/>
      <c r="P258" s="3769">
        <f>$P$44*Q258</f>
        <v>80931.46752</v>
      </c>
      <c r="Q258" s="1609">
        <v>0.04</v>
      </c>
      <c r="R258" s="3770">
        <f>IFERROR(P258/$Q$14,0)</f>
        <v>3.079584</v>
      </c>
      <c r="S258" s="1604" t="n"/>
      <c r="T258" s="3769">
        <f>$T$44*U258</f>
        <v>82550.0968704</v>
      </c>
      <c r="U258" s="1609">
        <v>0.04</v>
      </c>
      <c r="V258" s="3770">
        <f>IFERROR(T258/$U$14,0)</f>
        <v>3.14117568</v>
      </c>
      <c r="W258" s="1604" t="n"/>
      <c r="X258" s="3769">
        <f>$X$44*Y258</f>
        <v>84201.0988078</v>
      </c>
      <c r="Y258" s="1609">
        <v>0.04</v>
      </c>
      <c r="Z258" s="3770">
        <f>IFERROR(X258/$Y$14,0)</f>
        <v>3.2039991936</v>
      </c>
      <c r="AA258" s="1604" t="n"/>
      <c r="AB258" s="3769">
        <f>$AB$44*AC258</f>
        <v>85885.120784</v>
      </c>
      <c r="AC258" s="1609">
        <v>0.04</v>
      </c>
      <c r="AD258" s="3770">
        <f>IFERROR(AB258/$AC$14,0)</f>
        <v>3.26807917747</v>
      </c>
      <c r="AE258" s="1604" t="n"/>
      <c r="AF258" s="3769">
        <f>$AF$44*AG258</f>
        <v>87602.8231996</v>
      </c>
      <c r="AG258" s="1609">
        <v>0.04</v>
      </c>
      <c r="AH258" s="3770">
        <f>IFERROR(AF258/$AG$14,0)</f>
        <v>3.33344076102</v>
      </c>
      <c r="AI258" s="1604" t="n"/>
      <c r="AJ258" s="3769">
        <f>$AJ$44*AK258</f>
        <v>89354.8796636</v>
      </c>
      <c r="AK258" s="1609">
        <v>0.04</v>
      </c>
      <c r="AL258" s="3770">
        <f>IFERROR(AJ258/$AK$14,0)</f>
        <v>3.40010957624</v>
      </c>
      <c r="AM258" s="1604" t="n"/>
      <c r="AN258" s="3769">
        <f>$AN$44*AO258</f>
        <v>91141.9772569</v>
      </c>
      <c r="AO258" s="1609">
        <v>0.04</v>
      </c>
      <c r="AP258" s="3770">
        <f>IFERROR(AN258/$AO$14,0)</f>
        <v>3.46811176777</v>
      </c>
      <c r="AQ258" s="1604" t="n"/>
      <c r="AR258" s="3769">
        <f>$AR$44*AS258</f>
        <v>92964.816802</v>
      </c>
      <c r="AS258" s="1609">
        <v>0.04</v>
      </c>
      <c r="AT258" s="3770">
        <f>IFERROR(AR258/$AS$14,0)</f>
        <v>3.53747400312</v>
      </c>
      <c r="AU258" s="1604" t="n"/>
      <c r="AV258" s="3769">
        <f>$AV$44*AW258</f>
        <v>92964.816802</v>
      </c>
      <c r="AW258" s="1609">
        <v>0.04</v>
      </c>
      <c r="AX258" s="3770">
        <f>IFERROR(AV258/$AW$14,0)</f>
        <v>3.53747400312</v>
      </c>
      <c r="AY258" s="1604" t="n"/>
      <c r="AZ258" s="3769">
        <f>$AZ$44*BA258</f>
        <v>92964.816802</v>
      </c>
      <c r="BA258" s="1609">
        <v>0.04</v>
      </c>
      <c r="BB258" s="3770">
        <f>IFERROR(AZ258/$BA$14,0)</f>
        <v>3.53747400312</v>
      </c>
      <c r="BC258" s="1606" t="n"/>
      <c r="BD258" s="3769" t="n">
        <f t="array" ref="BD258">IFERROR($H258/12,0)</f>
        <v>4951.833333333333</v>
      </c>
      <c r="BE258" s="1609">
        <f>H258+L258+P258+T258+X258+AB258+AF258+AJ258+AN258+AR258+AV258+AZ258</f>
        <v>1011614.43451</v>
      </c>
      <c r="BF258" s="3770">
        <f>IFERROR(BE258/BE14,0)</f>
        <v>3.29945999514</v>
      </c>
      <c r="BG258" s="1607" t="n"/>
    </row>
    <row r="259" s="1168" customFormat="1" ht="12.75" customHeight="1">
      <c r="A259" s="3445" t="n"/>
      <c r="B259" s="3538" t="n"/>
      <c r="C259" s="101" t="n"/>
      <c r="D259" s="3457" t="n"/>
      <c r="E259" s="3464" t="n"/>
      <c r="F259" s="1172" t="n"/>
      <c r="G259" s="1376" t="inlineStr">
        <is>
          <t xml:space="preserve">TBA</t>
        </is>
      </c>
      <c r="H259" s="3581">
        <v>0</v>
      </c>
      <c r="I259" s="1171">
        <f>IFERROR(H259/$H$44,0)</f>
        <v>0</v>
      </c>
      <c r="J259" s="3662">
        <f>IFERROR(H259/$I$14,0)</f>
        <v>0</v>
      </c>
      <c r="K259" s="1172" t="n"/>
      <c r="L259" s="3581">
        <v>0</v>
      </c>
      <c r="M259" s="1171">
        <f>IFERROR(L259/$L$44,0)</f>
        <v>0</v>
      </c>
      <c r="N259" s="3662">
        <f>IFERROR(L259/$M$14,0)</f>
        <v>0</v>
      </c>
      <c r="P259" s="3581">
        <v>0</v>
      </c>
      <c r="Q259" s="1171">
        <f>IFERROR(P259/$P$44,0)</f>
        <v>0</v>
      </c>
      <c r="R259" s="3662">
        <f>IFERROR(P259/$Q$14,0)</f>
        <v>0</v>
      </c>
      <c r="T259" s="3581">
        <v>0</v>
      </c>
      <c r="U259" s="1171">
        <f>IFERROR(T259/$T$44,0)</f>
        <v>0</v>
      </c>
      <c r="V259" s="3662">
        <f>IFERROR(T259/$U$14,0)</f>
        <v>0</v>
      </c>
      <c r="X259" s="3581">
        <v>0</v>
      </c>
      <c r="Y259" s="1171">
        <f>IFERROR(X259/$X$44,0)</f>
        <v>0</v>
      </c>
      <c r="Z259" s="3662">
        <f>IFERROR(X259/$Y$14,0)</f>
        <v>0</v>
      </c>
      <c r="AB259" s="3581">
        <v>0</v>
      </c>
      <c r="AC259" s="1171">
        <f>IFERROR(AB259/$AB$44,0)</f>
        <v>0</v>
      </c>
      <c r="AD259" s="3662">
        <f>IFERROR(AB259/$AC$14,0)</f>
        <v>0</v>
      </c>
      <c r="AF259" s="3581">
        <v>0</v>
      </c>
      <c r="AG259" s="1171">
        <f>IFERROR(AF259/$AF$44,0)</f>
        <v>0</v>
      </c>
      <c r="AH259" s="3662">
        <f>IFERROR(AF259/$AG$14,0)</f>
        <v>0</v>
      </c>
      <c r="AJ259" s="3581">
        <v>0</v>
      </c>
      <c r="AK259" s="1171">
        <f>IFERROR(AJ259/$AJ$44,0)</f>
        <v>0</v>
      </c>
      <c r="AL259" s="3662">
        <f>IFERROR(AJ259/$AK$14,0)</f>
        <v>0</v>
      </c>
      <c r="AN259" s="3581">
        <v>0</v>
      </c>
      <c r="AO259" s="1171">
        <f>IFERROR(AN259/$AN$44,0)</f>
        <v>0</v>
      </c>
      <c r="AP259" s="3662">
        <f>IFERROR(AN259/$AO$14,0)</f>
        <v>0</v>
      </c>
      <c r="AR259" s="3581">
        <v>0</v>
      </c>
      <c r="AS259" s="1171">
        <f>IFERROR(AR259/$AR$44,0)</f>
        <v>0</v>
      </c>
      <c r="AT259" s="3662">
        <f>IFERROR(AR259/$AS$14,0)</f>
        <v>0</v>
      </c>
      <c r="AV259" s="3581">
        <v>0</v>
      </c>
      <c r="AW259" s="1171">
        <f>IFERROR(AV259/$AV$44,0)</f>
        <v>0</v>
      </c>
      <c r="AX259" s="3662">
        <f>IFERROR(AV259/$AW$14,0)</f>
        <v>0</v>
      </c>
      <c r="AZ259" s="3581">
        <v>0</v>
      </c>
      <c r="BA259" s="1171">
        <f>IFERROR(AZ259/$AZ$44,0)</f>
        <v>0</v>
      </c>
      <c r="BB259" s="3662">
        <f>IFERROR(AZ259/$BA$14,0)</f>
        <v>0</v>
      </c>
      <c r="BC259" s="1426" t="n"/>
      <c r="BD259" s="3581" t="n">
        <f t="array" ref="BD259">IFERROR($H259/12,0)</f>
        <v>0</v>
      </c>
      <c r="BE259" s="1171">
        <f>H259+L259+P259+T259+X259+AB259+AF259+AJ259+AN259+AR259+AV259+AZ259</f>
        <v>0</v>
      </c>
      <c r="BF259" s="3662">
        <f>IFERROR(BE259/BE14,0)</f>
        <v>0</v>
      </c>
      <c r="BG259" s="1568" t="n"/>
    </row>
    <row r="260" s="1168" customFormat="1" ht="12.75" customHeight="1">
      <c r="A260" s="3445" t="n"/>
      <c r="B260" s="3538" t="n"/>
      <c r="C260" s="101" t="n"/>
      <c r="D260" s="3457" t="n"/>
      <c r="E260" s="3464" t="n"/>
      <c r="F260" s="1172" t="n"/>
      <c r="G260" s="1283" t="inlineStr">
        <is>
          <t xml:space="preserve">TBA</t>
        </is>
      </c>
      <c r="H260" s="3771">
        <v>0</v>
      </c>
      <c r="I260" s="1429">
        <f>IFERROR(H260/$H$44,0)</f>
        <v>0</v>
      </c>
      <c r="J260" s="3667">
        <f>IFERROR(H260/$I$14,0)</f>
        <v>0</v>
      </c>
      <c r="K260" s="1172" t="n"/>
      <c r="L260" s="3771">
        <v>0</v>
      </c>
      <c r="M260" s="1429">
        <f>IFERROR(L260/$L$44,0)</f>
        <v>0</v>
      </c>
      <c r="N260" s="3667">
        <f>IFERROR(L260/$M$14,0)</f>
        <v>0</v>
      </c>
      <c r="P260" s="3771">
        <v>0</v>
      </c>
      <c r="Q260" s="1429">
        <f>IFERROR(P260/$P$44,0)</f>
        <v>0</v>
      </c>
      <c r="R260" s="3667">
        <f>IFERROR(P260/$Q$14,0)</f>
        <v>0</v>
      </c>
      <c r="T260" s="3771">
        <v>0</v>
      </c>
      <c r="U260" s="1429">
        <f>IFERROR(T260/$T$44,0)</f>
        <v>0</v>
      </c>
      <c r="V260" s="3667">
        <f>IFERROR(T260/$U$14,0)</f>
        <v>0</v>
      </c>
      <c r="X260" s="3771">
        <v>0</v>
      </c>
      <c r="Y260" s="1429">
        <f>IFERROR(X260/$X$44,0)</f>
        <v>0</v>
      </c>
      <c r="Z260" s="3667">
        <f>IFERROR(X260/$Y$14,0)</f>
        <v>0</v>
      </c>
      <c r="AB260" s="3771">
        <v>0</v>
      </c>
      <c r="AC260" s="1429">
        <f>IFERROR(AB260/$AB$44,0)</f>
        <v>0</v>
      </c>
      <c r="AD260" s="3667">
        <f>IFERROR(AB260/$AC$14,0)</f>
        <v>0</v>
      </c>
      <c r="AF260" s="3771">
        <v>0</v>
      </c>
      <c r="AG260" s="1429">
        <f>IFERROR(AF260/$AF$44,0)</f>
        <v>0</v>
      </c>
      <c r="AH260" s="3667">
        <f>IFERROR(AF260/$AG$14,0)</f>
        <v>0</v>
      </c>
      <c r="AJ260" s="3771">
        <v>0</v>
      </c>
      <c r="AK260" s="1429">
        <f>IFERROR(AJ260/$AJ$44,0)</f>
        <v>0</v>
      </c>
      <c r="AL260" s="3667">
        <f>IFERROR(AJ260/$AK$14,0)</f>
        <v>0</v>
      </c>
      <c r="AN260" s="3771">
        <v>0</v>
      </c>
      <c r="AO260" s="1429">
        <f>IFERROR(AN260/$AN$44,0)</f>
        <v>0</v>
      </c>
      <c r="AP260" s="3667">
        <f>IFERROR(AN260/$AO$14,0)</f>
        <v>0</v>
      </c>
      <c r="AR260" s="3771">
        <v>0</v>
      </c>
      <c r="AS260" s="1429">
        <f>IFERROR(AR260/$AR$44,0)</f>
        <v>0</v>
      </c>
      <c r="AT260" s="3667">
        <f>IFERROR(AR260/$AS$14,0)</f>
        <v>0</v>
      </c>
      <c r="AV260" s="3771">
        <v>0</v>
      </c>
      <c r="AW260" s="1429">
        <f>IFERROR(AV260/$AV$44,0)</f>
        <v>0</v>
      </c>
      <c r="AX260" s="3667">
        <f>IFERROR(AV260/$AW$14,0)</f>
        <v>0</v>
      </c>
      <c r="AZ260" s="3771">
        <v>0</v>
      </c>
      <c r="BA260" s="1429">
        <f>IFERROR(AZ260/$AZ$44,0)</f>
        <v>0</v>
      </c>
      <c r="BB260" s="3667">
        <f>IFERROR(AZ260/$BA$14,0)</f>
        <v>0</v>
      </c>
      <c r="BC260" s="1426" t="n"/>
      <c r="BD260" s="3771" t="n">
        <f t="array" ref="BD260">IFERROR($H260/12,0)</f>
        <v>0</v>
      </c>
      <c r="BE260" s="1429">
        <f>H260+L260+P260+T260+X260+AB260+AF260+AJ260+AN260+AR260+AV260+AZ260</f>
        <v>0</v>
      </c>
      <c r="BF260" s="3667">
        <f>IFERROR(BE260/BE14,0)</f>
        <v>0</v>
      </c>
      <c r="BG260" s="1568" t="n"/>
    </row>
    <row r="261" s="1168" customFormat="1" ht="15" customHeight="1">
      <c r="A261" s="3445" t="n"/>
      <c r="B261" s="3538" t="n"/>
      <c r="C261" s="101" t="n"/>
      <c r="D261" s="3457" t="n"/>
      <c r="E261" s="3464" t="n"/>
      <c r="F261" s="1172" t="n"/>
      <c r="G261" s="1283" t="inlineStr">
        <is>
          <t xml:space="preserve">TBA</t>
        </is>
      </c>
      <c r="H261" s="3641">
        <v>0</v>
      </c>
      <c r="I261" s="1378">
        <f>IFERROR(H261/$H$44,0)</f>
        <v>0</v>
      </c>
      <c r="J261" s="3639">
        <f>IFERROR(H261/$I$14,0)</f>
        <v>0</v>
      </c>
      <c r="K261" s="1172" t="n"/>
      <c r="L261" s="3641">
        <v>0</v>
      </c>
      <c r="M261" s="1378">
        <f>IFERROR(L261/$L$44,0)</f>
        <v>0</v>
      </c>
      <c r="N261" s="3639">
        <f>IFERROR(L261/$M$14,0)</f>
        <v>0</v>
      </c>
      <c r="P261" s="3641">
        <v>0</v>
      </c>
      <c r="Q261" s="1378">
        <f>IFERROR(P261/$P$44,0)</f>
        <v>0</v>
      </c>
      <c r="R261" s="3639">
        <f>IFERROR(P261/$Q$14,0)</f>
        <v>0</v>
      </c>
      <c r="T261" s="3641">
        <v>0</v>
      </c>
      <c r="U261" s="1378">
        <f>IFERROR(T261/$T$44,0)</f>
        <v>0</v>
      </c>
      <c r="V261" s="3639">
        <f>IFERROR(T261/$U$14,0)</f>
        <v>0</v>
      </c>
      <c r="X261" s="3641">
        <v>0</v>
      </c>
      <c r="Y261" s="1378">
        <f>IFERROR(X261/$X$44,0)</f>
        <v>0</v>
      </c>
      <c r="Z261" s="3639">
        <f>IFERROR(X261/$Y$14,0)</f>
        <v>0</v>
      </c>
      <c r="AB261" s="3641">
        <v>0</v>
      </c>
      <c r="AC261" s="1378">
        <f>IFERROR(AB261/$AB$44,0)</f>
        <v>0</v>
      </c>
      <c r="AD261" s="3639">
        <f>IFERROR(AB261/$AC$14,0)</f>
        <v>0</v>
      </c>
      <c r="AF261" s="3641">
        <v>0</v>
      </c>
      <c r="AG261" s="1378">
        <f>IFERROR(AF261/$AF$44,0)</f>
        <v>0</v>
      </c>
      <c r="AH261" s="3639">
        <f>IFERROR(AF261/$AG$14,0)</f>
        <v>0</v>
      </c>
      <c r="AJ261" s="3641">
        <v>0</v>
      </c>
      <c r="AK261" s="1378">
        <f>IFERROR(AJ261/$AJ$44,0)</f>
        <v>0</v>
      </c>
      <c r="AL261" s="3639">
        <f>IFERROR(AJ261/$AK$14,0)</f>
        <v>0</v>
      </c>
      <c r="AN261" s="3641">
        <v>0</v>
      </c>
      <c r="AO261" s="1378">
        <f>IFERROR(AN261/$AN$44,0)</f>
        <v>0</v>
      </c>
      <c r="AP261" s="3639">
        <f>IFERROR(AN261/$AO$14,0)</f>
        <v>0</v>
      </c>
      <c r="AR261" s="3641">
        <v>0</v>
      </c>
      <c r="AS261" s="1378">
        <f>IFERROR(AR261/$AR$44,0)</f>
        <v>0</v>
      </c>
      <c r="AT261" s="3639">
        <f>IFERROR(AR261/$AS$14,0)</f>
        <v>0</v>
      </c>
      <c r="AV261" s="3641">
        <v>0</v>
      </c>
      <c r="AW261" s="1378">
        <f>IFERROR(AV261/$AV$44,0)</f>
        <v>0</v>
      </c>
      <c r="AX261" s="3639">
        <f>IFERROR(AV261/$AW$14,0)</f>
        <v>0</v>
      </c>
      <c r="AZ261" s="3641">
        <v>0</v>
      </c>
      <c r="BA261" s="1378">
        <f>IFERROR(AZ261/$AZ$44,0)</f>
        <v>0</v>
      </c>
      <c r="BB261" s="3639">
        <f>IFERROR(AZ261/$BA$14,0)</f>
        <v>0</v>
      </c>
      <c r="BC261" s="1426" t="n"/>
      <c r="BD261" s="3641" t="n">
        <f t="array" ref="BD261">IFERROR($H261/12,0)</f>
        <v>0</v>
      </c>
      <c r="BE261" s="1378">
        <f>H261+L261+P261+T261+X261+AB261+AF261+AJ261+AN261+AR261+AV261+AZ261</f>
        <v>0</v>
      </c>
      <c r="BF261" s="3639">
        <f>IFERROR(BE261/BE14,0)</f>
        <v>0</v>
      </c>
      <c r="BG261" s="1568" t="n"/>
    </row>
    <row r="262" s="1168" customFormat="1" ht="15.75" customHeight="1">
      <c r="A262" s="3445" t="n"/>
      <c r="B262" s="3538" t="n"/>
      <c r="C262" s="101" t="n"/>
      <c r="D262" s="3457" t="n"/>
      <c r="E262" s="3464" t="n"/>
      <c r="F262" s="1172" t="n"/>
      <c r="G262" s="1415" t="inlineStr">
        <is>
          <t xml:space="preserve">TBA</t>
        </is>
      </c>
      <c r="H262" s="3742">
        <v>0</v>
      </c>
      <c r="I262" s="1559">
        <f>IFERROR(H262/$H$44,0)</f>
        <v>0</v>
      </c>
      <c r="J262" s="3759">
        <f>IFERROR(H262/$I$14,0)</f>
        <v>0</v>
      </c>
      <c r="K262" s="1172" t="n"/>
      <c r="L262" s="3742">
        <v>0</v>
      </c>
      <c r="M262" s="1559">
        <f>IFERROR(L262/$L$44,0)</f>
        <v>0</v>
      </c>
      <c r="N262" s="3759">
        <f>IFERROR(L262/$M$14,0)</f>
        <v>0</v>
      </c>
      <c r="P262" s="3742">
        <v>0</v>
      </c>
      <c r="Q262" s="1559">
        <f>IFERROR(P262/$P$44,0)</f>
        <v>0</v>
      </c>
      <c r="R262" s="3759">
        <f>IFERROR(P262/$Q$14,0)</f>
        <v>0</v>
      </c>
      <c r="T262" s="3742">
        <v>0</v>
      </c>
      <c r="U262" s="1559">
        <f>IFERROR(T262/$T$44,0)</f>
        <v>0</v>
      </c>
      <c r="V262" s="3759">
        <f>IFERROR(T262/$U$14,0)</f>
        <v>0</v>
      </c>
      <c r="X262" s="3742">
        <v>0</v>
      </c>
      <c r="Y262" s="1559">
        <f>IFERROR(X262/$X$44,0)</f>
        <v>0</v>
      </c>
      <c r="Z262" s="3759">
        <f>IFERROR(X262/$Y$14,0)</f>
        <v>0</v>
      </c>
      <c r="AB262" s="3742">
        <v>0</v>
      </c>
      <c r="AC262" s="1559">
        <f>IFERROR(AB262/$AB$44,0)</f>
        <v>0</v>
      </c>
      <c r="AD262" s="3759">
        <f>IFERROR(AB262/$AC$14,0)</f>
        <v>0</v>
      </c>
      <c r="AF262" s="3742">
        <v>0</v>
      </c>
      <c r="AG262" s="1559">
        <f>IFERROR(AF262/$AF$44,0)</f>
        <v>0</v>
      </c>
      <c r="AH262" s="3759">
        <f>IFERROR(AF262/$AG$14,0)</f>
        <v>0</v>
      </c>
      <c r="AJ262" s="3742">
        <v>0</v>
      </c>
      <c r="AK262" s="1559">
        <f>IFERROR(AJ262/$AJ$44,0)</f>
        <v>0</v>
      </c>
      <c r="AL262" s="3759">
        <f>IFERROR(AJ262/$AK$14,0)</f>
        <v>0</v>
      </c>
      <c r="AN262" s="3742">
        <v>0</v>
      </c>
      <c r="AO262" s="1559">
        <f>IFERROR(AN262/$AN$44,0)</f>
        <v>0</v>
      </c>
      <c r="AP262" s="3759">
        <f>IFERROR(AN262/$AO$14,0)</f>
        <v>0</v>
      </c>
      <c r="AR262" s="3742">
        <v>0</v>
      </c>
      <c r="AS262" s="1559">
        <f>IFERROR(AR262/$AR$44,0)</f>
        <v>0</v>
      </c>
      <c r="AT262" s="3759">
        <f>IFERROR(AR262/$AS$14,0)</f>
        <v>0</v>
      </c>
      <c r="AV262" s="3742">
        <v>0</v>
      </c>
      <c r="AW262" s="1559">
        <f>IFERROR(AV262/$AV$44,0)</f>
        <v>0</v>
      </c>
      <c r="AX262" s="3759">
        <f>IFERROR(AV262/$AW$14,0)</f>
        <v>0</v>
      </c>
      <c r="AZ262" s="3742">
        <v>0</v>
      </c>
      <c r="BA262" s="1559">
        <f>IFERROR(AZ262/$AZ$44,0)</f>
        <v>0</v>
      </c>
      <c r="BB262" s="3759">
        <f>IFERROR(AZ262/$BA$14,0)</f>
        <v>0</v>
      </c>
      <c r="BC262" s="1426" t="n"/>
      <c r="BD262" s="3742" t="n">
        <f t="array" ref="BD262">IFERROR($H262/12,0)</f>
        <v>0</v>
      </c>
      <c r="BE262" s="1559">
        <f>H262+L262+P262+T262+X262+AB262+AF262+AJ262+AN262+AR262+AV262+AZ262</f>
        <v>0</v>
      </c>
      <c r="BF262" s="3759">
        <f>IFERROR(BE262/BE14,0)</f>
        <v>0</v>
      </c>
      <c r="BG262" s="1568" t="n"/>
    </row>
    <row r="263" s="1168" customFormat="1" ht="13.5" customHeight="1">
      <c r="A263" s="3445" t="n"/>
      <c r="B263" s="3538" t="n"/>
      <c r="C263" s="101" t="n"/>
      <c r="D263" s="3457" t="n"/>
      <c r="E263" s="3464" t="n"/>
      <c r="F263" s="1172" t="n"/>
      <c r="G263" s="1612" t="inlineStr">
        <is>
          <t xml:space="preserve">Total</t>
        </is>
      </c>
      <c r="H263" s="3601">
        <f>H258+H257+H256-H255</f>
        <v>140740.207336226</v>
      </c>
      <c r="I263" s="1316">
        <f>I258+I257+I256-I255</f>
        <v>0.0947394617052445</v>
      </c>
      <c r="J263" s="3602">
        <f>SUM(J255:J262)</f>
        <v>7.0107201661881</v>
      </c>
      <c r="K263" s="1172" t="n"/>
      <c r="L263" s="3601">
        <f>L258+L257+L256-L255</f>
        <v>158394.75828306</v>
      </c>
      <c r="M263" s="1316">
        <f>M258+M257+M256-M255</f>
        <v>0.0884509889265413</v>
      </c>
      <c r="N263" s="3602">
        <f>SUM(N255:N262)</f>
        <v>6.67628064417534</v>
      </c>
      <c r="P263" s="3601">
        <f>P258+P257+P256-P255</f>
        <v>173506.467528466</v>
      </c>
      <c r="Q263" s="1316">
        <f>Q258+Q257+Q256-Q255</f>
        <v>0.0857547615755709</v>
      </c>
      <c r="R263" s="3602">
        <f>SUM(R255:R262)</f>
        <v>6.60222479179857</v>
      </c>
      <c r="T263" s="3601">
        <f>T258+T257+T256-T255</f>
        <v>181325.016078569</v>
      </c>
      <c r="U263" s="1316">
        <f>U258+U257+U256-U255</f>
        <v>0.0878618065649232</v>
      </c>
      <c r="V263" s="3602">
        <f>SUM(V255:V262)</f>
        <v>6.89973424956503</v>
      </c>
      <c r="X263" s="3601">
        <f>X258+X257+X256-X255</f>
        <v>189591.157286742</v>
      </c>
      <c r="Y263" s="1316">
        <f>Y258+Y257+Y256-Y255</f>
        <v>0.0900658827358338</v>
      </c>
      <c r="Z263" s="3602">
        <f>SUM(Z255:Z262)</f>
        <v>7.21427539142854</v>
      </c>
      <c r="AB263" s="3601">
        <f>AB258+AB257+AB256-AB255</f>
        <v>198333.346661933</v>
      </c>
      <c r="AC263" s="1316">
        <f>AC258+AC257+AC256-AC255</f>
        <v>0.092371458455878</v>
      </c>
      <c r="AD263" s="3602">
        <f>SUM(AD255:AD262)</f>
        <v>7.54693099931252</v>
      </c>
      <c r="AF263" s="3601">
        <f>AF258+AF257+AF256-AF255</f>
        <v>207581.915018978</v>
      </c>
      <c r="AG263" s="1316">
        <f>AG258+AG257+AG256-AG255</f>
        <v>0.0947832078635227</v>
      </c>
      <c r="AH263" s="3602">
        <f>SUM(AH255:AH262)</f>
        <v>7.89885521381195</v>
      </c>
      <c r="AJ263" s="3601">
        <f>AJ258+AJ257+AJ256-AJ255</f>
        <v>217369.193463705</v>
      </c>
      <c r="AK263" s="1316">
        <f>AK258+AK257+AK256-AK255</f>
        <v>0.0973060203458607</v>
      </c>
      <c r="AL263" s="3602">
        <f>SUM(AL255:AL262)</f>
        <v>8.27127829009532</v>
      </c>
      <c r="AN263" s="3601">
        <f>AN258+AN257+AN256-AN255</f>
        <v>227729.646735033</v>
      </c>
      <c r="AO263" s="1316">
        <f>AO258+AO257+AO256-AO255</f>
        <v>0.0999450104504036</v>
      </c>
      <c r="AP263" s="3602">
        <f>SUM(AP255:AP262)</f>
        <v>8.66551167180491</v>
      </c>
      <c r="AR263" s="3601">
        <f>AR258+AR257+AR256-AR255</f>
        <v>238700.015465795</v>
      </c>
      <c r="AS263" s="1316">
        <f>AS258+AS257+AS256-AS255</f>
        <v>0.10270552825342</v>
      </c>
      <c r="AT263" s="3602">
        <f>SUM(AT255:AT262)</f>
        <v>9.0829534043301</v>
      </c>
      <c r="AV263" s="3601">
        <f>AV258+AV257+AV256-AV255</f>
        <v>248460.171622268</v>
      </c>
      <c r="AW263" s="1316">
        <f>AW258+AW257+AW256-AW255</f>
        <v>0.106905033611349</v>
      </c>
      <c r="AX263" s="3602">
        <f>SUM(AX255:AX262)</f>
        <v>9.45434443007108</v>
      </c>
      <c r="AZ263" s="3601">
        <f>AZ258+AZ257+AZ256-AZ255</f>
        <v>258873.983512374</v>
      </c>
      <c r="BA263" s="1316">
        <f>BA258+BA257+BA256-BA255</f>
        <v>0.111385787620594</v>
      </c>
      <c r="BB263" s="3602">
        <f>SUM(BB255:BB262)</f>
        <v>9.85060820062306</v>
      </c>
      <c r="BC263" s="1426" t="n"/>
      <c r="BD263" s="3601">
        <f t="array" ref="BD263">IFERROR($H263/12,0)</f>
        <v>11728.3506113522</v>
      </c>
      <c r="BE263" s="1316">
        <f>H263+L263+P263+T263+X263+AB263+AF263+AJ263+AN263+AR263+AV263+AZ263</f>
        <v>2440605.87899315</v>
      </c>
      <c r="BF263" s="3602">
        <f>IFERROR(BE263/BE14,0)</f>
        <v>7.96022791582893</v>
      </c>
      <c r="BG263" s="1568" t="n"/>
    </row>
    <row r="264" s="1168" customFormat="1" ht="13.5" customHeight="1">
      <c r="A264" s="3445" t="n"/>
      <c r="B264" s="3538" t="n"/>
      <c r="C264" s="101" t="n"/>
      <c r="D264" s="3457" t="n"/>
      <c r="E264" s="3464" t="n"/>
      <c r="F264" s="1172" t="n"/>
      <c r="G264" s="1589" t="n"/>
      <c r="H264" s="3715" t="n"/>
      <c r="I264" s="901" t="n"/>
      <c r="J264" s="3542" t="n"/>
      <c r="K264" s="1172" t="n"/>
      <c r="L264" s="3737" t="n"/>
      <c r="M264" s="1509" t="n"/>
      <c r="N264" s="901" t="n"/>
      <c r="P264" s="3715" t="n"/>
      <c r="Q264" s="901" t="n"/>
      <c r="R264" s="3455" t="n"/>
      <c r="T264" s="3715" t="n"/>
      <c r="U264" s="1509" t="n"/>
      <c r="V264" s="3455" t="n"/>
      <c r="X264" s="3715" t="n"/>
      <c r="Y264" s="1509" t="n"/>
      <c r="Z264" s="3455" t="n"/>
      <c r="AB264" s="3715" t="n"/>
      <c r="AC264" s="1509" t="n"/>
      <c r="AD264" s="3455" t="n"/>
      <c r="AF264" s="3715" t="n"/>
      <c r="AG264" s="1509" t="n"/>
      <c r="AH264" s="3455" t="n"/>
      <c r="AJ264" s="3715" t="n"/>
      <c r="AK264" s="1509" t="n"/>
      <c r="AL264" s="3455" t="n"/>
      <c r="AN264" s="3715" t="n"/>
      <c r="AO264" s="1509" t="n"/>
      <c r="AP264" s="3455" t="n"/>
      <c r="AR264" s="3715" t="n"/>
      <c r="AS264" s="1509" t="n"/>
      <c r="AT264" s="3455" t="n"/>
      <c r="AV264" s="3715" t="n"/>
      <c r="AW264" s="1509" t="n"/>
      <c r="AX264" s="3455" t="n"/>
      <c r="AZ264" s="3715" t="n"/>
      <c r="BA264" s="1509" t="n"/>
      <c r="BB264" s="3739" t="n"/>
      <c r="BC264" s="832" t="n"/>
      <c r="BD264" s="3772" t="n"/>
      <c r="BE264" s="1509" t="n"/>
      <c r="BF264" s="3739" t="n"/>
      <c r="BG264" s="1572" t="n"/>
    </row>
    <row r="265" s="1168" customFormat="1" ht="13.5" customHeight="1">
      <c r="A265" s="3445" t="n"/>
      <c r="B265" s="3538" t="n"/>
      <c r="C265" s="101" t="n"/>
      <c r="D265" s="3457" t="n"/>
      <c r="E265" s="3464" t="n"/>
      <c r="F265" s="1172" t="n"/>
      <c r="G265" s="1614" t="inlineStr">
        <is>
          <t xml:space="preserve">Cash Flow</t>
        </is>
      </c>
      <c r="H265" s="3773">
        <f>H252+H255-H256-H258-H257</f>
        <v>-137370.36940036</v>
      </c>
      <c r="I265" s="1616">
        <f>IFERROR(H265/$H$44,0)</f>
        <v>-0.0924710507221971</v>
      </c>
      <c r="J265" s="3774">
        <f>IFERROR(H265/$I$14,0)</f>
        <v>-6.84285775344259</v>
      </c>
      <c r="K265" s="1172" t="n"/>
      <c r="L265" s="3753">
        <f>L252+L255-L256-L258-L257</f>
        <v>-63357.9617233599</v>
      </c>
      <c r="M265" s="1579">
        <f>IFERROR(L265/$L$44,0)</f>
        <v>-0.035380428188074</v>
      </c>
      <c r="N265" s="3556">
        <f>IFERROR(L265/$M$14,0)</f>
        <v>-2.67051471963582</v>
      </c>
      <c r="P265" s="3753">
        <f>P252+P255-P256-P258-P257</f>
        <v>2273.6487976396</v>
      </c>
      <c r="Q265" s="1579">
        <f>IFERROR(P265/$P$44,0)</f>
        <v>0.00112374030389489</v>
      </c>
      <c r="R265" s="3556">
        <f>IFERROR(P265/$Q$14,0)</f>
        <v>0.0865163165007459</v>
      </c>
      <c r="T265" s="3753">
        <f>T252+T255-T256-T258-T257</f>
        <v>24254.9084884401</v>
      </c>
      <c r="U265" s="1579">
        <f>IFERROR(T265/$T$44,0)</f>
        <v>0.0117528189102039</v>
      </c>
      <c r="V265" s="3556">
        <f>IFERROR(T265/$U$14,0)</f>
        <v>0.922941723304418</v>
      </c>
      <c r="X265" s="3753">
        <f>X252+X255-X256-X258-X257</f>
        <v>46815.340212339</v>
      </c>
      <c r="Y265" s="1579">
        <f>IFERROR(X265/$X$44,0)</f>
        <v>0.0222397763806337</v>
      </c>
      <c r="Z265" s="3556">
        <f>IFERROR(X265/$Y$14,0)</f>
        <v>1.78140563973893</v>
      </c>
      <c r="AB265" s="3753">
        <f>AB252+AB255-AB256-AB258-AB257</f>
        <v>69967.922880339</v>
      </c>
      <c r="AC265" s="1579">
        <f>IFERROR(AB265/$AB$44,0)</f>
        <v>0.0325867494819306</v>
      </c>
      <c r="AD265" s="3556">
        <f>IFERROR(AB265/$AC$14,0)</f>
        <v>2.66240193608596</v>
      </c>
      <c r="AF265" s="3753">
        <f>AF252+AF255-AF256-AF258-AF257</f>
        <v>93725.90893334</v>
      </c>
      <c r="AG265" s="1579">
        <f>IFERROR(AF265/$AF$44,0)</f>
        <v>0.0427958394536161</v>
      </c>
      <c r="AH265" s="3556">
        <f>IFERROR(AF265/$AG$14,0)</f>
        <v>3.56643489091857</v>
      </c>
      <c r="AJ265" s="3753">
        <f>AJ252+AJ255-AJ256-AJ258-AJ257</f>
        <v>118102.82995654</v>
      </c>
      <c r="AK265" s="1579">
        <f>IFERROR(AJ265/$AJ$44,0)</f>
        <v>0.0528691126443991</v>
      </c>
      <c r="AL265" s="3556">
        <f>IFERROR(AJ265/$AK$14,0)</f>
        <v>4.49401940473896</v>
      </c>
      <c r="AN265" s="3753">
        <f>AN252+AN255-AN256-AN258-AN257</f>
        <v>143112.50240124</v>
      </c>
      <c r="AO265" s="1579">
        <f>IFERROR(AN265/$AN$44,0)</f>
        <v>0.0628086011335957</v>
      </c>
      <c r="AP265" s="3556">
        <f>IFERROR(AN265/$AO$14,0)</f>
        <v>5.4456812177032</v>
      </c>
      <c r="AR265" s="3753">
        <f>AR252+AR255-AR256-AR258-AR257</f>
        <v>168769.033426539</v>
      </c>
      <c r="AS265" s="1579">
        <f>IFERROR(AR265/$AR$44,0)</f>
        <v>0.0726163033423665</v>
      </c>
      <c r="AT265" s="3556">
        <f>IFERROR(AR265/$AS$14,0)</f>
        <v>6.42195713190788</v>
      </c>
      <c r="AV265" s="3753">
        <f>AV252+AV255-AV256-AV258-AV257</f>
        <v>251284.538955139</v>
      </c>
      <c r="AW265" s="1579">
        <f>IFERROR(AV265/$AV$44,0)</f>
        <v>0.108120275002675</v>
      </c>
      <c r="AX265" s="3556">
        <f>IFERROR(AV265/$AW$14,0)</f>
        <v>9.56181655080438</v>
      </c>
      <c r="AZ265" s="3753">
        <f>AZ252+AZ255-AZ256-AZ258-AZ257</f>
        <v>236173.615782139</v>
      </c>
      <c r="BA265" s="1579">
        <f>IFERROR(AZ265/$AZ$44,0)</f>
        <v>0.101618493493146</v>
      </c>
      <c r="BB265" s="3556">
        <f>IFERROR(AZ265/$BA$14,0)</f>
        <v>8.9868194742062</v>
      </c>
      <c r="BC265" s="1426" t="n"/>
      <c r="BD265" s="3753">
        <f t="array" ref="BD265">IFERROR($H265/12,0)</f>
        <v>-11447.5307833633</v>
      </c>
      <c r="BE265" s="1579">
        <f>H265+L265+P265+T265+X265+AB265+AF265+AJ265+AN265+AR265+AV265+AZ265</f>
        <v>953751.918709975</v>
      </c>
      <c r="BF265" s="3556">
        <f>IFERROR(BE265/BE14,0)</f>
        <v>3.11073685163071</v>
      </c>
      <c r="BG265" s="1568" t="n"/>
    </row>
    <row r="266" s="1168" customFormat="1" ht="13.5" customHeight="1">
      <c r="C266" s="643" t="n"/>
      <c r="E266" s="955" t="n"/>
      <c r="F266" s="1172" t="n"/>
      <c r="G266" s="1618" t="inlineStr">
        <is>
          <t xml:space="preserve">Cash + Reserves</t>
        </is>
      </c>
      <c r="H266" s="3775">
        <f>H265+H258</f>
        <v>-77948.36940036</v>
      </c>
      <c r="I266" s="1620">
        <f>IFERROR(H266/$H$44,0)</f>
        <v>-0.0524710507221972</v>
      </c>
      <c r="J266" s="3776">
        <f>IFERROR(H266/$I$14,0)</f>
        <v>-3.88285775344259</v>
      </c>
      <c r="K266" s="1172" t="n"/>
      <c r="L266" s="1622">
        <f>L265+L258</f>
        <v>8272.55827664011</v>
      </c>
      <c r="M266" s="1623">
        <f>IFERROR(L266/$L$44,0)</f>
        <v>0.00461957181192604</v>
      </c>
      <c r="N266" s="1624">
        <f>IFERROR(L266/$M$14,0)</f>
        <v>0.348685280364177</v>
      </c>
      <c r="P266" s="828">
        <f>P265+P258</f>
        <v>83205.1163176396</v>
      </c>
      <c r="Q266" s="1624">
        <f>IFERROR(P266/$P$44,0)</f>
        <v>0.0411237403038949</v>
      </c>
      <c r="R266" s="3456">
        <f>IFERROR(P266/$Q$14,0)</f>
        <v>3.16610031650075</v>
      </c>
      <c r="T266" s="828">
        <f>T265+T258</f>
        <v>106805.00535884</v>
      </c>
      <c r="U266" s="1623">
        <f>IFERROR(T266/$T$44,0)</f>
        <v>0.0517528189102039</v>
      </c>
      <c r="V266" s="3456">
        <f>IFERROR(T266/$U$14,0)</f>
        <v>4.06411740330442</v>
      </c>
      <c r="X266" s="828">
        <f>X265+X258</f>
        <v>131016.439020139</v>
      </c>
      <c r="Y266" s="1623">
        <f>IFERROR(X266/$X$44,0)</f>
        <v>0.0622397763805387</v>
      </c>
      <c r="Z266" s="3456">
        <f>IFERROR(X266/$Y$14,0)</f>
        <v>4.98540483333862</v>
      </c>
      <c r="AB266" s="828">
        <f>AB265+AB258</f>
        <v>155853.043664339</v>
      </c>
      <c r="AC266" s="1623">
        <f>IFERROR(AB266/$AB$44,0)</f>
        <v>0.0725867494819306</v>
      </c>
      <c r="AD266" s="3456">
        <f>IFERROR(AB266/$AC$14,0)</f>
        <v>5.93048111355932</v>
      </c>
      <c r="AF266" s="828">
        <f>AF265+AF258</f>
        <v>181328.73213294</v>
      </c>
      <c r="AG266" s="1623">
        <f>IFERROR(AF266/$AF$44,0)</f>
        <v>0.0827958394536161</v>
      </c>
      <c r="AH266" s="3456">
        <f>IFERROR(AF266/$AG$14,0)</f>
        <v>6.89987565193836</v>
      </c>
      <c r="AJ266" s="828">
        <f>AJ265+AJ258</f>
        <v>207457.70962014</v>
      </c>
      <c r="AK266" s="1623">
        <f>IFERROR(AJ266/$AJ$44,0)</f>
        <v>0.0928691126443991</v>
      </c>
      <c r="AL266" s="3456">
        <f>IFERROR(AJ266/$AK$14,0)</f>
        <v>7.89412898097945</v>
      </c>
      <c r="AN266" s="828">
        <f>AN265+AN258</f>
        <v>234254.47965814</v>
      </c>
      <c r="AO266" s="1623">
        <f>IFERROR(AN266/$AN$44,0)</f>
        <v>0.10280860113364</v>
      </c>
      <c r="AP266" s="3456">
        <f>IFERROR(AN266/$AO$14,0)</f>
        <v>8.91379298546956</v>
      </c>
      <c r="AR266" s="828">
        <f>AR265+AR258</f>
        <v>261733.850228539</v>
      </c>
      <c r="AS266" s="1595">
        <f>IFERROR(AR266/$AR$44,0)</f>
        <v>0.112616303342366</v>
      </c>
      <c r="AT266" s="3456">
        <f>IFERROR(AR266/$AS$14,0)</f>
        <v>9.95943113502812</v>
      </c>
      <c r="AV266" s="828">
        <f>AV265+AV258</f>
        <v>344249.355757139</v>
      </c>
      <c r="AW266" s="1623">
        <f>IFERROR(AV266/$AV$44,0)</f>
        <v>0.148120275002675</v>
      </c>
      <c r="AX266" s="3456">
        <f>IFERROR(AV266/$AW$14,0)</f>
        <v>13.0992905539246</v>
      </c>
      <c r="AZ266" s="828">
        <f>AZ265+AZ258</f>
        <v>329138.432584139</v>
      </c>
      <c r="BA266" s="1623">
        <f>IFERROR(AZ266/$AZ$44,0)</f>
        <v>0.141618493493146</v>
      </c>
      <c r="BB266" s="3456">
        <f>IFERROR(AZ266/$BA$14,0)</f>
        <v>12.5242934773264</v>
      </c>
      <c r="BD266" s="828">
        <f t="array" ref="BD266">IFERROR($H266/12,0)</f>
        <v>-6495.69745003</v>
      </c>
      <c r="BE266" s="1623">
        <f>H266+L266+P266+T266+X266+AB266+AF266+AJ266+AN266+AR266+AV266+AZ266</f>
        <v>1965366.35321827</v>
      </c>
      <c r="BF266" s="3456">
        <f>IFERROR(BE266/BE14,0)</f>
        <v>6.41019684676541</v>
      </c>
    </row>
    <row r="267" s="1168" customFormat="1" ht="13.5" customHeight="1">
      <c r="A267" s="3445" t="n"/>
      <c r="B267" s="3538" t="n"/>
      <c r="C267" s="101" t="n"/>
      <c r="D267" s="3457" t="n"/>
      <c r="E267" s="3464" t="n"/>
      <c r="F267" s="1172" t="n"/>
      <c r="G267" s="1625" t="inlineStr">
        <is>
          <t>Cash Flow + Principal</t>
        </is>
      </c>
      <c r="H267" s="3777">
        <f>H265+H256</f>
        <v>-56052.162064134</v>
      </c>
      <c r="I267" s="1627">
        <f>IFERROR(H267/$H$44,0)</f>
        <v>-0.0377315890169527</v>
      </c>
      <c r="J267" s="3778">
        <f>IFERROR(H267/$I$14,0)</f>
        <v>-2.7921375872545</v>
      </c>
      <c r="K267" s="1172" t="n"/>
      <c r="L267" s="3779">
        <f>L265+L256</f>
        <v>23406.2765597</v>
      </c>
      <c r="M267" s="1630">
        <f>IFERROR(L267/$L$44,0)</f>
        <v>0.0130705607384673</v>
      </c>
      <c r="N267" s="1631">
        <f>IFERROR(L267/$M$14,0)</f>
        <v>0.986565924539515</v>
      </c>
      <c r="P267" s="3780">
        <f>P265+P256</f>
        <v>94848.648806106</v>
      </c>
      <c r="Q267" s="1631">
        <f>IFERROR(P267/$P$44,0)</f>
        <v>0.0468785018794657</v>
      </c>
      <c r="R267" s="3458">
        <f>IFERROR(P267/$Q$14,0)</f>
        <v>3.60915710829932</v>
      </c>
      <c r="T267" s="3780">
        <f>T265+T256</f>
        <v>123029.827696609</v>
      </c>
      <c r="U267" s="1630">
        <f>IFERROR(T267/$T$44,0)</f>
        <v>0.0596146254751271</v>
      </c>
      <c r="V267" s="3458">
        <f>IFERROR(T267/$U$14,0)</f>
        <v>4.68150029286944</v>
      </c>
      <c r="X267" s="3780">
        <f>X265+X256</f>
        <v>152205.398691281</v>
      </c>
      <c r="Y267" s="1630">
        <f>IFERROR(X267/$X$44,0)</f>
        <v>0.0723056591165624</v>
      </c>
      <c r="Z267" s="3458">
        <f>IFERROR(X267/$Y$14,0)</f>
        <v>5.79168183756777</v>
      </c>
      <c r="AB267" s="3780">
        <f>AB265+AB256</f>
        <v>182416.148758272</v>
      </c>
      <c r="AC267" s="1630">
        <f>IFERROR(AB267/$AB$44,0)</f>
        <v>0.0849582079378086</v>
      </c>
      <c r="AD267" s="3458">
        <f>IFERROR(AB267/$AC$14,0)</f>
        <v>6.94125375792511</v>
      </c>
      <c r="AF267" s="3780">
        <f>AF265+AF256</f>
        <v>213705.000752718</v>
      </c>
      <c r="AG267" s="1630">
        <f>IFERROR(AF267/$AF$44,0)</f>
        <v>0.0975790473171389</v>
      </c>
      <c r="AH267" s="3458">
        <f>IFERROR(AF267/$AG$14,0)</f>
        <v>8.13184934371073</v>
      </c>
      <c r="AJ267" s="3780">
        <f>AJ265+AJ256</f>
        <v>246117.143756645</v>
      </c>
      <c r="AK267" s="1630">
        <f>IFERROR(AJ267/$AJ$44,0)</f>
        <v>0.11017513299026</v>
      </c>
      <c r="AL267" s="3458">
        <f>IFERROR(AJ267/$AK$14,0)</f>
        <v>9.3651881185938</v>
      </c>
      <c r="AN267" s="3780">
        <f>AN265+AN256</f>
        <v>279700.171879373</v>
      </c>
      <c r="AO267" s="1630">
        <f>IFERROR(AN267/$AN$44,0)</f>
        <v>0.122753611583955</v>
      </c>
      <c r="AP267" s="3458">
        <f>IFERROR(AN267/$AO$14,0)</f>
        <v>10.6430811217417</v>
      </c>
      <c r="AR267" s="3780">
        <f>AR265+AR256</f>
        <v>314504.232090334</v>
      </c>
      <c r="AS267" s="1630">
        <f>IFERROR(AR267/$AR$44,0)</f>
        <v>0.135321831595786</v>
      </c>
      <c r="AT267" s="3458">
        <f>IFERROR(AR267/$AS$14,0)</f>
        <v>11.9674365331177</v>
      </c>
      <c r="AV267" s="3780">
        <f>AV265+AV256</f>
        <v>406779.893775407</v>
      </c>
      <c r="AW267" s="1630">
        <f>IFERROR(AV267/$AV$44,0)</f>
        <v>0.175025308614024</v>
      </c>
      <c r="AX267" s="3458">
        <f>IFERROR(AV267/$AW$14,0)</f>
        <v>15.4786869777552</v>
      </c>
      <c r="AZ267" s="3780">
        <f>AZ265+AZ256</f>
        <v>402082.782492513</v>
      </c>
      <c r="BA267" s="1630">
        <f>IFERROR(AZ267/$AZ$44,0)</f>
        <v>0.17300428111374</v>
      </c>
      <c r="BB267" s="3458">
        <f>IFERROR(AZ267/$BA$14,0)</f>
        <v>15.299953671709</v>
      </c>
      <c r="BD267" s="3780">
        <f t="array" ref="BD267">IFERROR($H267/12,0)</f>
        <v>-4671.0135053445</v>
      </c>
      <c r="BE267" s="1630">
        <f>H267+L267+P267+T267+X267+AB267+AF267+AJ267+AN267+AR267+AV267+AZ267</f>
        <v>2382743.36319482</v>
      </c>
      <c r="BF267" s="3781">
        <f>IFERROR(BE267/BE14,0)</f>
        <v>7.77150477232493</v>
      </c>
      <c r="BG267" s="1572" t="n"/>
    </row>
    <row r="268" s="1168" customFormat="1" ht="13.5" customHeight="1">
      <c r="A268" s="3445" t="n"/>
      <c r="B268" s="3538" t="n"/>
      <c r="C268" s="101" t="n"/>
      <c r="D268" s="3457" t="n"/>
      <c r="E268" s="3464" t="n"/>
      <c r="F268" s="1634" t="n"/>
      <c r="G268" s="1618" t="inlineStr">
        <is>
          <t>Cash Flow + Cash Reserves + Principal</t>
        </is>
      </c>
      <c r="H268" s="3782">
        <f>H265+H256+H258</f>
        <v>3369.83793586599</v>
      </c>
      <c r="I268" s="1636">
        <f>IFERROR(H268/$H$44,0)</f>
        <v>0.00226841098304735</v>
      </c>
      <c r="J268" s="3783">
        <f>IFERROR(H268/$I$14,0)</f>
        <v>0.167862412745504</v>
      </c>
      <c r="K268" s="1634" t="n"/>
      <c r="L268" s="3784">
        <f>L265+L256+L258</f>
        <v>95036.7965597</v>
      </c>
      <c r="M268" s="1639">
        <f>IFERROR(L268/$L$44,0)</f>
        <v>0.0530705607384673</v>
      </c>
      <c r="N268" s="3785">
        <f>IFERROR(L268/$M$14,0)</f>
        <v>4.00576592453952</v>
      </c>
      <c r="P268" s="3784">
        <f>P265+P256+P258</f>
        <v>175780.116326106</v>
      </c>
      <c r="Q268" s="1639">
        <f>IFERROR(P268/$P$44,0)</f>
        <v>0.0868785018794657</v>
      </c>
      <c r="R268" s="3785">
        <f>IFERROR(P268/$Q$14,0)</f>
        <v>6.68874110829932</v>
      </c>
      <c r="T268" s="3784">
        <f>T265+T256+T258</f>
        <v>205579.924567009</v>
      </c>
      <c r="U268" s="1639">
        <f>IFERROR(T268/$T$44,0)</f>
        <v>0.0996146254751271</v>
      </c>
      <c r="V268" s="3785">
        <f>IFERROR(T268/$U$14,0)</f>
        <v>7.82267597286944</v>
      </c>
      <c r="X268" s="3784">
        <f>X265+X256+X258</f>
        <v>236406.497499081</v>
      </c>
      <c r="Y268" s="1639">
        <f>IFERROR(X268/$X$44,0)</f>
        <v>0.112305659116467</v>
      </c>
      <c r="Z268" s="3785">
        <f>IFERROR(X268/$Y$14,0)</f>
        <v>8.99568103116746</v>
      </c>
      <c r="AB268" s="3784">
        <f>AB265+AB256+AB258</f>
        <v>268301.269542272</v>
      </c>
      <c r="AC268" s="1639">
        <f>IFERROR(AB268/$AB$44,0)</f>
        <v>0.124958207937809</v>
      </c>
      <c r="AD268" s="3785">
        <f>IFERROR(AB268/$AC$14,0)</f>
        <v>10.2093329353985</v>
      </c>
      <c r="AF268" s="3784">
        <f>AF265+AF256+AF258</f>
        <v>301307.823952318</v>
      </c>
      <c r="AG268" s="1639">
        <f>IFERROR(AF268/$AF$44,0)</f>
        <v>0.137579047317139</v>
      </c>
      <c r="AH268" s="3785">
        <f>IFERROR(AF268/$AG$14,0)</f>
        <v>11.4652901047305</v>
      </c>
      <c r="AJ268" s="3784">
        <f>AJ265+AJ256+AJ258</f>
        <v>335472.023420245</v>
      </c>
      <c r="AK268" s="1639">
        <f>IFERROR(AJ268/$AJ$44,0)</f>
        <v>0.15017513299026</v>
      </c>
      <c r="AL268" s="3785">
        <f>IFERROR(AJ268/$AK$14,0)</f>
        <v>12.7652976948343</v>
      </c>
      <c r="AN268" s="3784">
        <f>AN265+AN256+AN258</f>
        <v>370842.149136273</v>
      </c>
      <c r="AO268" s="1639">
        <f>IFERROR(AN268/$AN$44,0)</f>
        <v>0.162753611583999</v>
      </c>
      <c r="AP268" s="3785">
        <f>IFERROR(AN268/$AO$14,0)</f>
        <v>14.1111928895081</v>
      </c>
      <c r="AR268" s="3784">
        <f>AR265+AR256+AR258</f>
        <v>407469.048892334</v>
      </c>
      <c r="AS268" s="1639">
        <f>IFERROR(AR268/$AR$44,0)</f>
        <v>0.175321831595786</v>
      </c>
      <c r="AT268" s="3785">
        <f>IFERROR(AR268/$AS$14,0)</f>
        <v>15.504910536238</v>
      </c>
      <c r="AV268" s="3784">
        <f>AV265+AV256+AV258</f>
        <v>499744.710577407</v>
      </c>
      <c r="AW268" s="1639">
        <f>IFERROR(AV268/$AV$44,0)</f>
        <v>0.215025308614024</v>
      </c>
      <c r="AX268" s="3785">
        <f>IFERROR(AV268/$AW$14,0)</f>
        <v>19.0161609808755</v>
      </c>
      <c r="AZ268" s="3784">
        <f>AZ265+AZ256+AZ258</f>
        <v>495047.599294513</v>
      </c>
      <c r="BA268" s="1639">
        <f>IFERROR(AZ268/$AZ$44,0)</f>
        <v>0.21300428111374</v>
      </c>
      <c r="BB268" s="3785">
        <f>IFERROR(AZ268/$BA$14,0)</f>
        <v>18.8374276748293</v>
      </c>
      <c r="BD268" s="3784">
        <f t="array" ref="BD268">IFERROR($H268/12,0)</f>
        <v>280.819827988832</v>
      </c>
      <c r="BE268" s="1639">
        <f>H268+L268+P268+T268+X268+AB268+AF268+AJ268+AN268+AR268+AV268+AZ268</f>
        <v>3394357.79770312</v>
      </c>
      <c r="BF268" s="3785">
        <f>IFERROR(BE268/BE14,0)</f>
        <v>11.0709647674596</v>
      </c>
    </row>
    <row r="269" s="1168" customFormat="1" ht="12.75" customHeight="1">
      <c r="F269" s="828" t="n"/>
      <c r="K269" s="828" t="n"/>
      <c r="BC269" s="832" t="n"/>
    </row>
    <row r="270" s="1168" customFormat="1" ht="12.75" customHeight="1">
      <c r="A270" s="871" t="n"/>
      <c r="B270" s="1641" t="n"/>
      <c r="C270" s="1642" t="inlineStr">
        <is>
          <t xml:space="preserve">Mezzanine Financing/ 2nd Note</t>
        </is>
      </c>
      <c r="F270" s="1644" t="n"/>
      <c r="G270" s="1181" t="inlineStr">
        <is>
          <t xml:space="preserve">This get paid to the land owner 1st</t>
        </is>
      </c>
      <c r="K270" s="871" t="n"/>
      <c r="O270" s="643" t="n"/>
      <c r="S270" s="643" t="n"/>
      <c r="W270" s="643" t="n"/>
      <c r="AA270" s="643" t="n"/>
      <c r="AE270" s="643" t="n"/>
      <c r="AI270" s="643" t="n"/>
      <c r="AM270" s="643" t="n"/>
      <c r="AQ270" s="643" t="n"/>
      <c r="AU270" s="643" t="n"/>
      <c r="AY270" s="643" t="n"/>
      <c r="BC270" s="100" t="n"/>
      <c r="BG270" s="643" t="n"/>
    </row>
    <row r="271" s="1168" customFormat="1" ht="13.5" customHeight="1">
      <c r="A271" s="1645" t="n">
        <v>0.1</v>
      </c>
      <c r="B271" s="1646" t="n"/>
      <c r="C271" s="100" t="n"/>
      <c r="E271" s="1251" t="n"/>
      <c r="G271" s="1647" t="inlineStr">
        <is>
          <t xml:space="preserve">1st Paymant Land Owner on what he has placed in</t>
        </is>
      </c>
      <c r="H271" s="3786">
        <v>0</v>
      </c>
      <c r="I271" s="881">
        <f>IFERROR(H271/$H$44,0)</f>
        <v>0</v>
      </c>
      <c r="J271" s="3761">
        <f>IFERROR(H271/$I$14,0)</f>
        <v>0</v>
      </c>
      <c r="K271" s="1169" t="n"/>
      <c r="L271" s="1648">
        <v>0</v>
      </c>
      <c r="M271" s="1417">
        <f>IFERROR(L271/$L$44,0)</f>
        <v>0</v>
      </c>
      <c r="N271" s="101">
        <f>IFERROR(L271/$M$14,0)</f>
        <v>0</v>
      </c>
      <c r="P271" s="643">
        <v>0</v>
      </c>
      <c r="Q271" s="101">
        <f>IFERROR(P271/$P$44,0)</f>
        <v>0</v>
      </c>
      <c r="R271" s="3457">
        <f>IFERROR(P271/$Q$14,0)</f>
        <v>0</v>
      </c>
      <c r="T271" s="643">
        <v>0</v>
      </c>
      <c r="U271" s="1417">
        <f>IFERROR(T271/$T$44,0)</f>
        <v>0</v>
      </c>
      <c r="V271" s="3457">
        <f>IFERROR(T271/$U$14,0)</f>
        <v>0</v>
      </c>
      <c r="X271" s="643">
        <v>0</v>
      </c>
      <c r="Y271" s="1417">
        <f>IFERROR(X271/$X$44,0)</f>
        <v>0</v>
      </c>
      <c r="Z271" s="3457">
        <f>IFERROR(X271/$Y$14,0)</f>
        <v>0</v>
      </c>
      <c r="AB271" s="643">
        <v>0</v>
      </c>
      <c r="AC271" s="1417">
        <f>IFERROR(AB271/$AB$44,0)</f>
        <v>0</v>
      </c>
      <c r="AD271" s="3457">
        <f>IFERROR(AB271/$AC$14,0)</f>
        <v>0</v>
      </c>
      <c r="AF271" s="643">
        <v>0</v>
      </c>
      <c r="AG271" s="1417">
        <f>IFERROR(AF271/$AF$44,0)</f>
        <v>0</v>
      </c>
      <c r="AH271" s="3457">
        <f>IFERROR(AF271/$AG$14,0)</f>
        <v>0</v>
      </c>
      <c r="AJ271" s="643">
        <v>0</v>
      </c>
      <c r="AK271" s="1417">
        <f>IFERROR(AJ271/$AJ$44,0)</f>
        <v>0</v>
      </c>
      <c r="AL271" s="3457">
        <f>IFERROR(AJ271/$AK$14,0)</f>
        <v>0</v>
      </c>
      <c r="AN271" s="643">
        <v>0</v>
      </c>
      <c r="AO271" s="1417">
        <f>IFERROR(AN271/$AN$44,0)</f>
        <v>0</v>
      </c>
      <c r="AP271" s="3457">
        <f>IFERROR(AN271/$AO$14,0)</f>
        <v>0</v>
      </c>
      <c r="AR271" s="643">
        <v>0</v>
      </c>
      <c r="AS271" s="1177">
        <f>IFERROR(AR271/$AR$44,0)</f>
        <v>0</v>
      </c>
      <c r="AT271" s="3457">
        <f>IFERROR(AR271/$AS$14,0)</f>
        <v>0</v>
      </c>
      <c r="AV271" s="643">
        <v>0</v>
      </c>
      <c r="AW271" s="1417">
        <f>IFERROR(AV271/$AV$44,0)</f>
        <v>0</v>
      </c>
      <c r="AX271" s="3457">
        <f>IFERROR(AV271/$AW$14,0)</f>
        <v>0</v>
      </c>
      <c r="AZ271" s="643">
        <v>0</v>
      </c>
      <c r="BA271" s="1417">
        <f>IFERROR(AZ271/$AZ$44,0)</f>
        <v>0</v>
      </c>
      <c r="BB271" s="643">
        <f>IFERROR(AZ271/$BA$14,0)</f>
        <v>0</v>
      </c>
      <c r="BD271" s="3457" t="n">
        <f t="array" ref="BD271">IFERROR($H271/12,0)</f>
        <v>0</v>
      </c>
      <c r="BE271" s="643">
        <f>H271+L271+P271+T271+X271+AB271+AF271+AJ271+AN271+AR271+AV271+AZ271</f>
        <v>0</v>
      </c>
      <c r="BF271" s="3529">
        <f>IFERROR(BE271/BE14,0)</f>
        <v>0</v>
      </c>
      <c r="BG271" s="1177" t="n"/>
      <c r="BH271" s="643" t="n"/>
    </row>
    <row r="272" s="1168" customFormat="1" ht="12.75" customHeight="1">
      <c r="G272" s="1170" t="inlineStr">
        <is>
          <t>Cash Flow after Mezzanine / Land Owner Payment</t>
        </is>
      </c>
      <c r="H272" s="3593">
        <f>H265-H271</f>
        <v>-137370.36940036</v>
      </c>
      <c r="I272" s="973">
        <f>IFERROR(H272/$H$44,0)</f>
        <v>-0.0924710507221972</v>
      </c>
      <c r="J272" s="3746">
        <f>IFERROR(H272/$I$14,0)</f>
        <v>-6.84285775344259</v>
      </c>
      <c r="K272" s="1172" t="n"/>
      <c r="L272" s="1648">
        <f>L265-L271</f>
        <v>-63357.9617233599</v>
      </c>
      <c r="M272" s="1417">
        <f>IFERROR(L272/$L$44,0)</f>
        <v>-0.035380428188074</v>
      </c>
      <c r="N272" s="101">
        <f>IFERROR(L272/$M$14,0)</f>
        <v>-2.67051471963582</v>
      </c>
      <c r="P272" s="643">
        <f>P265-P271</f>
        <v>2273.6487976396</v>
      </c>
      <c r="Q272" s="101">
        <f>IFERROR(P272/$P$44,0)</f>
        <v>0.00112374030389489</v>
      </c>
      <c r="R272" s="3457">
        <f>IFERROR(P272/$Q$14,0)</f>
        <v>0.0865163165007458</v>
      </c>
      <c r="T272" s="643">
        <f>T265-T271</f>
        <v>24254.9084884401</v>
      </c>
      <c r="U272" s="1417">
        <f>IFERROR(T272/$T$44,0)</f>
        <v>0.0117528189102039</v>
      </c>
      <c r="V272" s="3457">
        <f>IFERROR(T272/$U$14,0)</f>
        <v>0.922941723304418</v>
      </c>
      <c r="X272" s="643">
        <f>X265-X271</f>
        <v>46815.340212339</v>
      </c>
      <c r="Y272" s="1417">
        <f>IFERROR(X272/$X$44,0)</f>
        <v>0.0222397763806337</v>
      </c>
      <c r="Z272" s="3457">
        <f>IFERROR(X272/$Y$14,0)</f>
        <v>1.78140563973893</v>
      </c>
      <c r="AB272" s="643">
        <f>AB265-AB271</f>
        <v>69967.922880339</v>
      </c>
      <c r="AC272" s="1417">
        <f>IFERROR(AB272/$AB$44,0)</f>
        <v>0.0325867494819306</v>
      </c>
      <c r="AD272" s="3457">
        <f>IFERROR(AB272/$AC$14,0)</f>
        <v>2.66240193608596</v>
      </c>
      <c r="AF272" s="643">
        <f>AF265-AF271</f>
        <v>93725.90893334</v>
      </c>
      <c r="AG272" s="1417">
        <f>IFERROR(AF272/$AF$44,0)</f>
        <v>0.0427958394536161</v>
      </c>
      <c r="AH272" s="3457">
        <f>IFERROR(AF272/$AG$14,0)</f>
        <v>3.56643489091857</v>
      </c>
      <c r="AJ272" s="643">
        <f>AJ265-AJ271</f>
        <v>118102.82995654</v>
      </c>
      <c r="AK272" s="1417">
        <f>IFERROR(AJ272/$AJ$44,0)</f>
        <v>0.0528691126443991</v>
      </c>
      <c r="AL272" s="3457">
        <f>IFERROR(AJ272/$AK$14,0)</f>
        <v>4.49401940473896</v>
      </c>
      <c r="AN272" s="643">
        <f>AN265-AN271</f>
        <v>143112.50240124</v>
      </c>
      <c r="AO272" s="1417">
        <f>IFERROR(AN272/$AN$44,0)</f>
        <v>0.0628086011335957</v>
      </c>
      <c r="AP272" s="3457">
        <f>IFERROR(AN272/$AO$14,0)</f>
        <v>5.4456812177032</v>
      </c>
      <c r="AR272" s="643">
        <f>AR265-AR271</f>
        <v>168769.033426539</v>
      </c>
      <c r="AS272" s="1177">
        <f>IFERROR(AR272/$AR$44,0)</f>
        <v>0.0726163033423665</v>
      </c>
      <c r="AT272" s="3457">
        <f>IFERROR(AR272/$AS$14,0)</f>
        <v>6.42195713190788</v>
      </c>
      <c r="AV272" s="643">
        <f>AV265-AV271</f>
        <v>251284.538955139</v>
      </c>
      <c r="AW272" s="1417">
        <f>IFERROR(AV272/$AV$44,0)</f>
        <v>0.108120275002675</v>
      </c>
      <c r="AX272" s="3457">
        <f>IFERROR(AV272/$AW$14,0)</f>
        <v>9.56181655080438</v>
      </c>
      <c r="AZ272" s="643">
        <f>AZ265-AZ271</f>
        <v>236173.615782139</v>
      </c>
      <c r="BA272" s="1417">
        <f>IFERROR(AZ272/$AZ$44,0)</f>
        <v>0.101618493493146</v>
      </c>
      <c r="BB272" s="3457">
        <f>IFERROR(AZ272/$BA$14,0)</f>
        <v>8.9868194742062</v>
      </c>
      <c r="BD272" s="643">
        <f t="array" ref="BD272">IFERROR($H272/12,0)</f>
        <v>-11447.5307833633</v>
      </c>
      <c r="BE272" s="1417">
        <f>H272+L272+P272+T272+X272+AB272+AF272+AJ272+AN272+AR272+AV272+AZ272</f>
        <v>953751.918709975</v>
      </c>
      <c r="BF272" s="3457">
        <f>IFERROR(BE272/BE14,0)</f>
        <v>3.11073685163071</v>
      </c>
    </row>
    <row r="273" s="1168" customFormat="1" ht="12.75" customHeight="1">
      <c r="G273" s="1596" t="inlineStr">
        <is>
          <t>Principal + Cash Flow</t>
        </is>
      </c>
      <c r="H273" s="3780">
        <f>SUM(H256+H272)</f>
        <v>-56052.162064134</v>
      </c>
      <c r="I273" s="1631">
        <f>IFERROR(H273/$H$44,0)</f>
        <v>-0.0377315890169527</v>
      </c>
      <c r="J273" s="3787">
        <f>IFERROR(H273/$I$14,0)</f>
        <v>-2.7921375872545</v>
      </c>
      <c r="K273" s="1172" t="n"/>
      <c r="L273" s="1648">
        <f>SUM(L256+L272)</f>
        <v>23406.2765597</v>
      </c>
      <c r="M273" s="1417">
        <f>IFERROR(L273/$L$44,0)</f>
        <v>0.0130705607384673</v>
      </c>
      <c r="N273" s="101">
        <f>IFERROR(L273/$M$14,0)</f>
        <v>0.986565924539515</v>
      </c>
      <c r="P273" s="643">
        <f>SUM(P256+P272)</f>
        <v>94848.648806106</v>
      </c>
      <c r="Q273" s="101">
        <f>IFERROR(P273/$P$44,0)</f>
        <v>0.0468785018794657</v>
      </c>
      <c r="R273" s="3457">
        <f>IFERROR(P273/$Q$14,0)</f>
        <v>3.60915710829932</v>
      </c>
      <c r="T273" s="643">
        <f>SUM(T256+T272)</f>
        <v>123029.827696609</v>
      </c>
      <c r="U273" s="1417">
        <f>IFERROR(T273/$T$44,0)</f>
        <v>0.0596146254751271</v>
      </c>
      <c r="V273" s="3457">
        <f>IFERROR(T273/$U$14,0)</f>
        <v>4.68150029286944</v>
      </c>
      <c r="X273" s="643">
        <f>SUM(X256+X272)</f>
        <v>152205.398691281</v>
      </c>
      <c r="Y273" s="1417">
        <f>IFERROR(X273/$X$44,0)</f>
        <v>0.0723056591165624</v>
      </c>
      <c r="Z273" s="3457">
        <f>IFERROR(X273/$Y$14,0)</f>
        <v>5.79168183756777</v>
      </c>
      <c r="AB273" s="643">
        <f>SUM(AB256+AB272)</f>
        <v>182416.148758272</v>
      </c>
      <c r="AC273" s="1417">
        <f>IFERROR(AB273/$AB$44,0)</f>
        <v>0.0849582079378086</v>
      </c>
      <c r="AD273" s="3457">
        <f>IFERROR(AB273/$AC$14,0)</f>
        <v>6.94125375792511</v>
      </c>
      <c r="AF273" s="643">
        <f>SUM(AF256+AF272)</f>
        <v>213705.000752718</v>
      </c>
      <c r="AG273" s="1417">
        <f>IFERROR(AF273/$AF$44,0)</f>
        <v>0.0975790473171389</v>
      </c>
      <c r="AH273" s="3457">
        <f>IFERROR(AF273/$AG$14,0)</f>
        <v>8.13184934371073</v>
      </c>
      <c r="AJ273" s="643">
        <f>SUM(AJ256+AJ272)</f>
        <v>246117.143756645</v>
      </c>
      <c r="AK273" s="1417">
        <f>IFERROR(AJ273/$AJ$44,0)</f>
        <v>0.11017513299026</v>
      </c>
      <c r="AL273" s="3457">
        <f>IFERROR(AJ273/$AK$14,0)</f>
        <v>9.3651881185938</v>
      </c>
      <c r="AN273" s="643">
        <f>SUM(AN256+AN272)</f>
        <v>279700.171879373</v>
      </c>
      <c r="AO273" s="1417">
        <f>IFERROR(AN273/$AN$44,0)</f>
        <v>0.122753611583955</v>
      </c>
      <c r="AP273" s="3457">
        <f>IFERROR(AN273/$AO$14,0)</f>
        <v>10.6430811217417</v>
      </c>
      <c r="AR273" s="643">
        <f>SUM(AR256+AR272)</f>
        <v>314504.232090334</v>
      </c>
      <c r="AS273" s="1177">
        <f>IFERROR(AR273/$AR$44,0)</f>
        <v>0.135321831595786</v>
      </c>
      <c r="AT273" s="3457">
        <f>IFERROR(AR273/$AS$14,0)</f>
        <v>11.9674365331177</v>
      </c>
      <c r="AV273" s="643">
        <f>SUM(AV256+AV272)</f>
        <v>406779.893775407</v>
      </c>
      <c r="AW273" s="1417">
        <f>IFERROR(AV273/$AV$44,0)</f>
        <v>0.175025308614024</v>
      </c>
      <c r="AX273" s="3457">
        <f>IFERROR(AV273/$AW$14,0)</f>
        <v>15.4786869777552</v>
      </c>
      <c r="AZ273" s="643">
        <f>SUM(AZ256+AZ272)</f>
        <v>402082.782492513</v>
      </c>
      <c r="BA273" s="1417">
        <f>IFERROR(AZ273/$AZ$44,0)</f>
        <v>0.17300428111374</v>
      </c>
      <c r="BB273" s="3457">
        <f>IFERROR(AZ273/$BA$14,0)</f>
        <v>15.299953671709</v>
      </c>
      <c r="BD273" s="643">
        <f t="array" ref="BD273">IFERROR($H273/12,0)</f>
        <v>-4671.0135053445</v>
      </c>
      <c r="BE273" s="1177">
        <f>H273+L273+P273+T273+X273+AB273+AF273+AJ273+AN273+AR273+AV273+AZ273</f>
        <v>2382743.36319482</v>
      </c>
      <c r="BF273" s="3457">
        <f>IFERROR(BE273/BE14,0)</f>
        <v>7.77150477232493</v>
      </c>
    </row>
    <row r="274" s="1168" customFormat="1" ht="13.5" customHeight="1">
      <c r="E274" s="64" t="inlineStr">
        <is>
          <t/>
        </is>
      </c>
      <c r="G274" s="1614" t="inlineStr">
        <is>
          <t>Principal + Cash Flow + Reserves</t>
        </is>
      </c>
      <c r="H274" s="3788">
        <f>SUM(H256+H272+H258)</f>
        <v>3369.83793586599</v>
      </c>
      <c r="I274" s="1651">
        <f>IFERROR(H274/$H$44,0)</f>
        <v>0.00226841098304735</v>
      </c>
      <c r="J274" s="3789">
        <f>IFERROR(H274/$I$14,0)</f>
        <v>0.167862412745504</v>
      </c>
      <c r="K274" s="1634" t="n"/>
      <c r="L274" s="1648">
        <f>SUM(L256+L272+L258)</f>
        <v>95036.7965597</v>
      </c>
      <c r="M274" s="1417">
        <f>IFERROR(L274/$L$44,0)</f>
        <v>0.0530705607384673</v>
      </c>
      <c r="N274" s="101">
        <f>IFERROR(L274/$M$14,0)</f>
        <v>4.00576592453952</v>
      </c>
      <c r="P274" s="643">
        <f>SUM(P256+P272+P258)</f>
        <v>175780.116326106</v>
      </c>
      <c r="Q274" s="101">
        <f>IFERROR(P274/$P$44,0)</f>
        <v>0.0868785018794657</v>
      </c>
      <c r="R274" s="3457">
        <f>IFERROR(P274/$Q$14,0)</f>
        <v>6.68874110829932</v>
      </c>
      <c r="T274" s="643">
        <f>SUM(T256+T272+T258)</f>
        <v>205579.924567009</v>
      </c>
      <c r="U274" s="1417">
        <f>IFERROR(T274/$T$44,0)</f>
        <v>0.0996146254751271</v>
      </c>
      <c r="V274" s="3457">
        <f>IFERROR(T274/$U$14,0)</f>
        <v>7.82267597286944</v>
      </c>
      <c r="X274" s="643">
        <f>SUM(X256+X272+X258)</f>
        <v>236406.497499081</v>
      </c>
      <c r="Y274" s="1417">
        <f>IFERROR(X274/$X$44,0)</f>
        <v>0.112305659116467</v>
      </c>
      <c r="Z274" s="3457">
        <f>IFERROR(X274/$Y$14,0)</f>
        <v>8.99568103116746</v>
      </c>
      <c r="AB274" s="643">
        <f>SUM(AB256+AB272+AB258)</f>
        <v>268301.269542272</v>
      </c>
      <c r="AC274" s="1417">
        <f>IFERROR(AB274/$AB$44,0)</f>
        <v>0.124958207937809</v>
      </c>
      <c r="AD274" s="3457">
        <f>IFERROR(AB274/$AC$14,0)</f>
        <v>10.2093329353985</v>
      </c>
      <c r="AF274" s="643">
        <f>SUM(AF256+AF272+AF258)</f>
        <v>301307.823952318</v>
      </c>
      <c r="AG274" s="1417">
        <f>IFERROR(AF274/$AF$44,0)</f>
        <v>0.137579047317139</v>
      </c>
      <c r="AH274" s="3457">
        <f>IFERROR(AF274/$AG$14,0)</f>
        <v>11.4652901047305</v>
      </c>
      <c r="AJ274" s="643">
        <f>SUM(AJ256+AJ272+AJ258)</f>
        <v>335472.023420245</v>
      </c>
      <c r="AK274" s="1417">
        <f>IFERROR(AJ274/$AJ$44,0)</f>
        <v>0.15017513299026</v>
      </c>
      <c r="AL274" s="3457">
        <f>IFERROR(AJ274/$AK$14,0)</f>
        <v>12.7652976948343</v>
      </c>
      <c r="AN274" s="643">
        <f>SUM(AN256+AN272+AN258)</f>
        <v>370842.149136273</v>
      </c>
      <c r="AO274" s="1417">
        <f>IFERROR(AN274/$AN$44,0)</f>
        <v>0.162753611583999</v>
      </c>
      <c r="AP274" s="3457">
        <f>IFERROR(AN274/$AO$14,0)</f>
        <v>14.1111928895081</v>
      </c>
      <c r="AR274" s="643">
        <f>SUM(AR256+AR272+AR258)</f>
        <v>407469.048892334</v>
      </c>
      <c r="AS274" s="1177">
        <f>IFERROR(AR274/$AR$44,0)</f>
        <v>0.175321831595786</v>
      </c>
      <c r="AT274" s="3457">
        <f>IFERROR(AR274/$AS$14,0)</f>
        <v>15.504910536238</v>
      </c>
      <c r="AV274" s="643">
        <f>SUM(AV256+AV272+AV258)</f>
        <v>499744.710577407</v>
      </c>
      <c r="AW274" s="1417">
        <f>IFERROR(AV274/$AV$44,0)</f>
        <v>0.215025308614024</v>
      </c>
      <c r="AX274" s="3457">
        <f>IFERROR(AV274/$AW$14,0)</f>
        <v>19.0161609808755</v>
      </c>
      <c r="AZ274" s="643">
        <f>SUM(AZ256+AZ272+AZ258)</f>
        <v>495047.599294513</v>
      </c>
      <c r="BA274" s="1417">
        <f>IFERROR(AZ274/$AZ$44,0)</f>
        <v>0.21300428111374</v>
      </c>
      <c r="BB274" s="3457">
        <f>IFERROR(AZ274/$BA$14,0)</f>
        <v>18.8374276748293</v>
      </c>
      <c r="BD274" s="643">
        <f t="array" ref="BD274">IFERROR($H274/12,0)</f>
        <v>280.819827988832</v>
      </c>
      <c r="BE274" s="1417">
        <f>H274+L274+P274+T274+X274+AB274+AF274+AJ274+AN274+AR274+AV274+AZ274</f>
        <v>3394357.79770312</v>
      </c>
      <c r="BF274" s="3457">
        <f>IFERROR(BE274/BE14,0)</f>
        <v>11.0709647674596</v>
      </c>
    </row>
    <row r="275" s="1168" customFormat="1" ht="12.75" customHeight="1">
      <c r="A275" s="643" t="n"/>
      <c r="B275" s="1116" t="n"/>
      <c r="C275" s="643" t="n"/>
      <c r="E275" s="101" t="n"/>
      <c r="F275" s="643" t="n"/>
      <c r="K275" s="828" t="n"/>
      <c r="O275" s="643" t="n"/>
      <c r="S275" s="643" t="n"/>
      <c r="W275" s="643" t="n"/>
      <c r="AA275" s="643" t="n"/>
      <c r="AE275" s="643" t="n"/>
      <c r="AI275" s="643" t="n"/>
      <c r="AM275" s="643" t="n"/>
      <c r="AQ275" s="643" t="n"/>
      <c r="AU275" s="643" t="n"/>
      <c r="AY275" s="643" t="n"/>
      <c r="BC275" s="643" t="n"/>
      <c r="BG275" s="643" t="n"/>
    </row>
    <row r="276" s="1168" customFormat="1" ht="12.75" customHeight="1">
      <c r="C276" s="643" t="n"/>
      <c r="E276" s="101" t="n"/>
      <c r="H276" s="3529" t="n">
        <v>3400997</v>
      </c>
      <c r="I276" s="101" t="n"/>
      <c r="J276" s="3690" t="n"/>
      <c r="L276" s="1417" t="n">
        <f t="array" ref="L276">IFERROR($H276/12,0)</f>
        <v>283416.4166666667</v>
      </c>
      <c r="M276" s="1417" t="n">
        <f t="array" ref="M276">IFERROR($H276/$H$44,0)</f>
        <v>2.2893857493857492</v>
      </c>
      <c r="N276" s="101" t="n">
        <f t="array" ref="N276">IFERROR(($H276/12)/1650,0)</f>
        <v>171.76752525252527</v>
      </c>
      <c r="P276" s="643" t="n">
        <f t="array" ref="P276">IFERROR($H276/12,0)</f>
        <v>283416.4166666667</v>
      </c>
      <c r="Q276" s="101" t="n">
        <f t="array" ref="Q276">IFERROR($H276/$H$44,0)</f>
        <v>2.2893857493857492</v>
      </c>
      <c r="R276" s="3457" t="n">
        <f t="array" ref="R276">IFERROR(($H276/12)/1650,0)</f>
        <v>171.76752525252527</v>
      </c>
      <c r="T276" s="643" t="n">
        <f t="array" ref="T276">IFERROR($H276/12,0)</f>
        <v>283416.4166666667</v>
      </c>
      <c r="U276" s="1417" t="n">
        <f t="array" ref="U276">IFERROR($H276/$H$44,0)</f>
        <v>2.2893857493857492</v>
      </c>
      <c r="V276" s="3457" t="n">
        <f t="array" ref="V276">IFERROR(($H276/12)/1650,0)</f>
        <v>171.76752525252527</v>
      </c>
      <c r="X276" s="643" t="n">
        <f t="array" ref="X276">IFERROR($H276/12,0)</f>
        <v>283416.4166666667</v>
      </c>
      <c r="Y276" s="1417" t="n">
        <f t="array" ref="Y276">IFERROR($H276/$H$44,0)</f>
        <v>2.2893857493857492</v>
      </c>
      <c r="Z276" s="3457" t="n">
        <f t="array" ref="Z276">IFERROR(($H276/12)/1650,0)</f>
        <v>171.76752525252527</v>
      </c>
      <c r="AB276" s="643" t="n">
        <f t="array" ref="AB276">IFERROR($H276/12,0)</f>
        <v>283416.4166666667</v>
      </c>
      <c r="AC276" s="1417" t="n">
        <f t="array" ref="AC276">IFERROR($H276/$H$44,0)</f>
        <v>2.2893857493857492</v>
      </c>
      <c r="AD276" s="3457" t="n">
        <f t="array" ref="AD276">IFERROR(($H276/12)/1650,0)</f>
        <v>171.76752525252527</v>
      </c>
      <c r="AF276" s="643" t="n">
        <f t="array" ref="AF276">IFERROR($H276/12,0)</f>
        <v>283416.4166666667</v>
      </c>
      <c r="AG276" s="1417" t="n">
        <f t="array" ref="AG276">IFERROR($H276/$H$44,0)</f>
        <v>2.2893857493857492</v>
      </c>
      <c r="AH276" s="3457" t="n">
        <f t="array" ref="AH276">IFERROR(($H276/12)/1650,0)</f>
        <v>171.76752525252527</v>
      </c>
      <c r="AJ276" s="643" t="n">
        <f t="array" ref="AJ276">IFERROR($H276/12,0)</f>
        <v>283416.4166666667</v>
      </c>
      <c r="AK276" s="1417" t="n">
        <f t="array" ref="AK276">IFERROR($H276/$H$44,0)</f>
        <v>2.2893857493857492</v>
      </c>
      <c r="AL276" s="3457" t="n">
        <f t="array" ref="AL276">IFERROR(($H276/12)/1650,0)</f>
        <v>171.76752525252527</v>
      </c>
      <c r="AN276" s="643" t="n">
        <f t="array" ref="AN276">IFERROR($H276/12,0)</f>
        <v>283416.4166666667</v>
      </c>
      <c r="AO276" s="1417" t="n">
        <f t="array" ref="AO276">IFERROR($H276/$H$44,0)</f>
        <v>2.2893857493857492</v>
      </c>
      <c r="AP276" s="3457" t="n">
        <f t="array" ref="AP276">IFERROR(($H276/12)/1650,0)</f>
        <v>171.76752525252527</v>
      </c>
      <c r="AR276" s="643" t="n">
        <f t="array" ref="AR276">IFERROR($H276/12,0)</f>
        <v>283416.4166666667</v>
      </c>
      <c r="AS276" s="1177" t="n">
        <f t="array" ref="AS276">IFERROR($H276/$H$44,0)</f>
        <v>2.2893857493857492</v>
      </c>
      <c r="AT276" s="3457" t="n">
        <f t="array" ref="AT276">IFERROR(($H276/12)/1650,0)</f>
        <v>171.76752525252527</v>
      </c>
      <c r="AV276" s="643" t="n">
        <f t="array" ref="AV276">IFERROR($H276/12,0)</f>
        <v>283416.4166666667</v>
      </c>
      <c r="AW276" s="1417" t="n">
        <f t="array" ref="AW276">IFERROR($H276/$H$44,0)</f>
        <v>2.2893857493857492</v>
      </c>
      <c r="AX276" s="3457" t="n">
        <f t="array" ref="AX276">IFERROR(($H276/12)/1650,0)</f>
        <v>171.76752525252527</v>
      </c>
      <c r="AZ276" s="643" t="n">
        <f t="array" ref="AZ276">IFERROR($H276/12,0)</f>
        <v>283416.4166666667</v>
      </c>
      <c r="BA276" s="1417" t="n">
        <f t="array" ref="BA276">IFERROR($H276/$H$44,0)</f>
        <v>2.2893857493857492</v>
      </c>
      <c r="BB276" s="3457" t="n">
        <f t="array" ref="BB276">IFERROR(($H276/12)/1650,0)</f>
        <v>171.76752525252527</v>
      </c>
      <c r="BD276" s="643" t="n">
        <f t="array" ref="BD276">IFERROR($H276/12,0)</f>
        <v>283416.4166666667</v>
      </c>
      <c r="BE276" s="1417" t="n">
        <f t="array" ref="BE276">IFERROR($H276/$H$44,0)</f>
        <v>2.2893857493857492</v>
      </c>
      <c r="BF276" s="3457" t="n">
        <f t="array" ref="BF276">IFERROR(($H276/12)/1650,0)</f>
        <v>171.76752525252527</v>
      </c>
    </row>
    <row r="277" s="1168" customFormat="1" ht="12.75" customHeight="1">
      <c r="A277" s="3445" t="n"/>
      <c r="B277" s="3538" t="n"/>
      <c r="C277" s="101" t="n"/>
      <c r="D277" s="101" t="n"/>
      <c r="E277" s="101" t="n"/>
      <c r="F277" s="643" t="n"/>
      <c r="G277" s="1653" t="n"/>
      <c r="K277" s="643" t="n"/>
      <c r="O277" s="643" t="n"/>
      <c r="S277" s="643" t="n"/>
      <c r="W277" s="643" t="n"/>
      <c r="AA277" s="643" t="n"/>
      <c r="AE277" s="643" t="n"/>
      <c r="AI277" s="643" t="n"/>
      <c r="AM277" s="643" t="n"/>
      <c r="AQ277" s="643" t="n"/>
      <c r="AU277" s="643" t="n"/>
      <c r="AY277" s="643" t="n"/>
      <c r="BC277" s="643" t="n"/>
      <c r="BG277" s="643" t="n"/>
    </row>
    <row r="278" s="1168" customFormat="1" ht="12.75" customHeight="1">
      <c r="F278" s="643" t="n"/>
      <c r="K278" s="643" t="n"/>
      <c r="O278" s="643" t="n"/>
      <c r="S278" s="643" t="n"/>
      <c r="W278" s="643" t="n"/>
      <c r="AA278" s="643" t="n"/>
      <c r="AE278" s="643" t="n"/>
      <c r="AI278" s="643" t="n"/>
      <c r="AM278" s="643" t="n"/>
      <c r="AQ278" s="643" t="n"/>
      <c r="AU278" s="643" t="n"/>
      <c r="AY278" s="643" t="n"/>
      <c r="BC278" s="643" t="n"/>
      <c r="BG278" s="643" t="n"/>
    </row>
    <row r="279" s="1168" customFormat="1" ht="13.5" customHeight="1">
      <c r="F279" s="643" t="n"/>
      <c r="G279" s="643" t="n"/>
      <c r="K279" s="643" t="n"/>
      <c r="O279" s="643" t="n"/>
      <c r="S279" s="643" t="n"/>
      <c r="W279" s="643" t="n"/>
      <c r="AA279" s="643" t="n"/>
      <c r="AE279" s="643" t="n"/>
      <c r="AI279" s="643" t="n"/>
      <c r="AM279" s="643" t="n"/>
      <c r="AQ279" s="643" t="n"/>
      <c r="AU279" s="643" t="n"/>
      <c r="AY279" s="643" t="n"/>
      <c r="BC279" s="643" t="n"/>
      <c r="BG279" s="643" t="n"/>
    </row>
    <row r="280" s="1168" customFormat="1" ht="13.5" customHeight="1">
      <c r="F280" s="643" t="n"/>
      <c r="K280" s="643" t="n"/>
      <c r="O280" s="643" t="n"/>
      <c r="S280" s="643" t="n"/>
      <c r="V280" s="3454" t="n"/>
      <c r="W280" s="928" t="n"/>
      <c r="AA280" s="643" t="n"/>
      <c r="AE280" s="643" t="n"/>
      <c r="AI280" s="643" t="n"/>
      <c r="AM280" s="643" t="n"/>
      <c r="AQ280" s="643" t="n"/>
      <c r="AU280" s="643" t="n"/>
      <c r="AY280" s="643" t="n"/>
      <c r="BC280" s="643" t="n"/>
      <c r="BG280" s="643" t="n"/>
    </row>
    <row r="281" s="1168" customFormat="1" ht="12.75" customHeight="1">
      <c r="F281" s="643" t="n"/>
      <c r="K281" s="643" t="n"/>
      <c r="O281" s="643" t="n"/>
      <c r="S281" s="643" t="n"/>
      <c r="W281" s="643" t="n"/>
      <c r="AA281" s="643" t="n"/>
      <c r="AE281" s="643" t="n"/>
      <c r="AI281" s="643" t="n"/>
      <c r="AM281" s="643" t="n"/>
      <c r="AQ281" s="643" t="n"/>
      <c r="AU281" s="643" t="n"/>
      <c r="AY281" s="643" t="n"/>
      <c r="BC281" s="643" t="n"/>
      <c r="BG281" s="643" t="n"/>
    </row>
    <row r="282" s="1168" customFormat="1" ht="12.75" customHeight="1">
      <c r="F282" s="643" t="n"/>
      <c r="K282" s="643" t="n"/>
      <c r="O282" s="643" t="n"/>
      <c r="S282" s="643" t="n"/>
      <c r="W282" s="643" t="n"/>
      <c r="AA282" s="643" t="n"/>
      <c r="AE282" s="643" t="n"/>
      <c r="AI282" s="643" t="n"/>
      <c r="AM282" s="643" t="n"/>
      <c r="AQ282" s="643" t="n"/>
      <c r="AU282" s="643" t="n"/>
      <c r="AY282" s="643" t="n"/>
      <c r="BC282" s="643" t="n"/>
      <c r="BG282" s="643" t="n"/>
    </row>
    <row r="283" s="1168" customFormat="1" ht="12.75" customHeight="1">
      <c r="F283" s="643" t="n"/>
      <c r="K283" s="643" t="n"/>
      <c r="O283" s="643" t="n"/>
      <c r="S283" s="643" t="n"/>
      <c r="W283" s="643" t="n"/>
      <c r="AA283" s="643" t="n"/>
      <c r="AE283" s="643" t="n"/>
      <c r="AI283" s="643" t="n"/>
      <c r="AM283" s="643" t="n"/>
      <c r="AQ283" s="643" t="n"/>
      <c r="AU283" s="643" t="n"/>
      <c r="AY283" s="643" t="n"/>
      <c r="BC283" s="643" t="n"/>
      <c r="BG283" s="643" t="n"/>
    </row>
    <row r="284" s="1168" customFormat="1" ht="12.75" customHeight="1">
      <c r="F284" s="643" t="n"/>
      <c r="K284" s="643" t="n"/>
      <c r="O284" s="643" t="n"/>
      <c r="S284" s="643" t="n"/>
      <c r="W284" s="643" t="n"/>
      <c r="AA284" s="643" t="n"/>
      <c r="AE284" s="643" t="n"/>
      <c r="AI284" s="643" t="n"/>
      <c r="AM284" s="643" t="n"/>
      <c r="AQ284" s="643" t="n"/>
      <c r="AU284" s="643" t="n"/>
      <c r="AY284" s="643" t="n"/>
      <c r="BC284" s="643" t="n"/>
      <c r="BG284" s="643" t="n"/>
    </row>
    <row r="285" s="1168" customFormat="1" ht="12.75" customHeight="1">
      <c r="F285" s="643" t="n"/>
      <c r="K285" s="643" t="n"/>
      <c r="O285" s="643" t="n"/>
      <c r="S285" s="643" t="n"/>
      <c r="W285" s="643" t="n"/>
      <c r="AA285" s="643" t="n"/>
      <c r="AE285" s="643" t="n"/>
      <c r="AI285" s="643" t="n"/>
      <c r="AM285" s="643" t="n"/>
      <c r="AQ285" s="643" t="n"/>
      <c r="AU285" s="643" t="n"/>
      <c r="AY285" s="643" t="n"/>
      <c r="BC285" s="643" t="n"/>
      <c r="BG285" s="643" t="n"/>
    </row>
    <row r="286" s="1168" customFormat="1" ht="12.75" customHeight="1">
      <c r="F286" s="643" t="n"/>
      <c r="K286" s="643" t="n"/>
      <c r="O286" s="643" t="n"/>
      <c r="S286" s="643" t="n"/>
      <c r="W286" s="643" t="n"/>
      <c r="AA286" s="643" t="n"/>
      <c r="AE286" s="643" t="n"/>
      <c r="AI286" s="643" t="n"/>
      <c r="AM286" s="643" t="n"/>
      <c r="AQ286" s="643" t="n"/>
      <c r="AU286" s="643" t="n"/>
      <c r="AY286" s="643" t="n"/>
      <c r="BC286" s="643" t="n"/>
      <c r="BG286" s="643" t="n"/>
    </row>
    <row r="287" s="1168" customFormat="1" ht="12.75" customHeight="1">
      <c r="F287" s="643" t="n"/>
      <c r="K287" s="643" t="n"/>
      <c r="O287" s="643" t="n"/>
      <c r="S287" s="643" t="n"/>
      <c r="W287" s="643" t="n"/>
      <c r="AA287" s="643" t="n"/>
      <c r="AE287" s="643" t="n"/>
      <c r="AI287" s="643" t="n"/>
      <c r="AM287" s="643" t="n"/>
      <c r="AQ287" s="643" t="n"/>
      <c r="AU287" s="643" t="n"/>
      <c r="AY287" s="643" t="n"/>
      <c r="BC287" s="643" t="n"/>
      <c r="BG287" s="643" t="n"/>
    </row>
    <row r="288" s="1168" customFormat="1" ht="12.75" customHeight="1">
      <c r="F288" s="643" t="n"/>
      <c r="K288" s="643" t="n"/>
      <c r="O288" s="643" t="n"/>
      <c r="S288" s="643" t="n"/>
      <c r="W288" s="643" t="n"/>
      <c r="AA288" s="643" t="n"/>
      <c r="AE288" s="643" t="n"/>
      <c r="AI288" s="643" t="n"/>
      <c r="AM288" s="643" t="n"/>
      <c r="AQ288" s="643" t="n"/>
      <c r="AU288" s="643" t="n"/>
      <c r="AY288" s="643" t="n"/>
      <c r="BC288" s="643" t="n"/>
      <c r="BG288" s="643" t="n"/>
    </row>
    <row r="289" s="1168" customFormat="1" ht="12.75" customHeight="1">
      <c r="F289" s="643" t="n"/>
      <c r="K289" s="643" t="n"/>
      <c r="O289" s="643" t="n"/>
      <c r="S289" s="643" t="n"/>
      <c r="W289" s="643" t="n"/>
      <c r="AA289" s="643" t="n"/>
      <c r="AE289" s="643" t="n"/>
      <c r="AI289" s="643" t="n"/>
      <c r="AM289" s="643" t="n"/>
      <c r="AQ289" s="643" t="n"/>
      <c r="AU289" s="643" t="n"/>
      <c r="AY289" s="643" t="n"/>
      <c r="BC289" s="643" t="n"/>
      <c r="BG289" s="643" t="n"/>
    </row>
    <row r="290" s="1168" customFormat="1" ht="12.75" customHeight="1">
      <c r="F290" s="643" t="n"/>
      <c r="K290" s="643" t="n"/>
      <c r="O290" s="643" t="n"/>
      <c r="S290" s="643" t="n"/>
      <c r="W290" s="643" t="n"/>
      <c r="AA290" s="643" t="n"/>
      <c r="AE290" s="643" t="n"/>
      <c r="AI290" s="643" t="n"/>
      <c r="AM290" s="643" t="n"/>
      <c r="AQ290" s="643" t="n"/>
      <c r="AU290" s="643" t="n"/>
      <c r="AY290" s="643" t="n"/>
      <c r="BC290" s="643" t="n"/>
      <c r="BG290" s="643" t="n"/>
    </row>
    <row r="291" s="1168" customFormat="1" ht="12.75" customHeight="1">
      <c r="F291" s="643" t="n"/>
      <c r="K291" s="643" t="n"/>
      <c r="O291" s="643" t="n"/>
      <c r="S291" s="643" t="n"/>
      <c r="W291" s="643" t="n"/>
      <c r="AA291" s="643" t="n"/>
      <c r="AE291" s="643" t="n"/>
      <c r="AI291" s="643" t="n"/>
      <c r="AM291" s="643" t="n"/>
      <c r="AQ291" s="643" t="n"/>
      <c r="AU291" s="643" t="n"/>
      <c r="AY291" s="643" t="n"/>
      <c r="BC291" s="643" t="n"/>
      <c r="BG291" s="643" t="n"/>
    </row>
    <row r="292" s="1168" customFormat="1" ht="12.75" customHeight="1">
      <c r="F292" s="643" t="n"/>
      <c r="K292" s="643" t="n"/>
      <c r="O292" s="643" t="n"/>
      <c r="S292" s="643" t="n"/>
      <c r="W292" s="643" t="n"/>
      <c r="AA292" s="643" t="n"/>
      <c r="AE292" s="643" t="n"/>
      <c r="AI292" s="643" t="n"/>
      <c r="AM292" s="643" t="n"/>
      <c r="AQ292" s="643" t="n"/>
      <c r="AU292" s="643" t="n"/>
      <c r="AY292" s="643" t="n"/>
      <c r="BC292" s="643" t="n"/>
      <c r="BG292" s="643" t="n"/>
    </row>
    <row r="293" s="1168" customFormat="1" ht="12.75" customHeight="1">
      <c r="F293" s="643" t="n"/>
      <c r="K293" s="643" t="n"/>
      <c r="O293" s="643" t="n"/>
      <c r="S293" s="643" t="n"/>
      <c r="W293" s="643" t="n"/>
      <c r="AA293" s="643" t="n"/>
      <c r="AE293" s="643" t="n"/>
      <c r="AI293" s="643" t="n"/>
      <c r="AM293" s="643" t="n"/>
      <c r="AQ293" s="643" t="n"/>
      <c r="AU293" s="643" t="n"/>
      <c r="AY293" s="643" t="n"/>
      <c r="BC293" s="643" t="n"/>
      <c r="BG293" s="643" t="n"/>
    </row>
    <row r="294" s="1168" customFormat="1" ht="12.75" customHeight="1">
      <c r="F294" s="643" t="n"/>
      <c r="K294" s="643" t="n"/>
      <c r="O294" s="643" t="n"/>
      <c r="S294" s="643" t="n"/>
      <c r="W294" s="643" t="n"/>
      <c r="AA294" s="643" t="n"/>
      <c r="AE294" s="643" t="n"/>
      <c r="AI294" s="643" t="n"/>
      <c r="AM294" s="643" t="n"/>
      <c r="AQ294" s="643" t="n"/>
      <c r="AU294" s="643" t="n"/>
      <c r="AY294" s="643" t="n"/>
      <c r="BC294" s="643" t="n"/>
      <c r="BG294" s="643" t="n"/>
    </row>
    <row r="295" s="1168" customFormat="1" ht="12.75" customHeight="1">
      <c r="F295" s="643" t="n"/>
      <c r="K295" s="643" t="n"/>
      <c r="O295" s="643" t="n"/>
      <c r="S295" s="643" t="n"/>
      <c r="W295" s="643" t="n"/>
      <c r="AA295" s="643" t="n"/>
      <c r="AE295" s="643" t="n"/>
      <c r="AI295" s="643" t="n"/>
      <c r="AM295" s="643" t="n"/>
      <c r="AQ295" s="643" t="n"/>
      <c r="AU295" s="643" t="n"/>
      <c r="AY295" s="643" t="n"/>
      <c r="BC295" s="643" t="n"/>
      <c r="BG295" s="643" t="n"/>
    </row>
    <row r="296" s="1168" customFormat="1" ht="12.75" customHeight="1">
      <c r="F296" s="643" t="n"/>
      <c r="K296" s="643" t="n"/>
      <c r="O296" s="643" t="n"/>
      <c r="S296" s="643" t="n"/>
      <c r="W296" s="643" t="n"/>
      <c r="AA296" s="643" t="n"/>
      <c r="AE296" s="643" t="n"/>
      <c r="AI296" s="643" t="n"/>
      <c r="AM296" s="643" t="n"/>
      <c r="AQ296" s="643" t="n"/>
      <c r="AU296" s="643" t="n"/>
      <c r="AY296" s="643" t="n"/>
      <c r="BC296" s="643" t="n"/>
      <c r="BG296" s="643" t="n"/>
    </row>
    <row r="297" s="1168" customFormat="1" ht="12.75" customHeight="1">
      <c r="F297" s="643" t="n"/>
      <c r="K297" s="643" t="n"/>
      <c r="O297" s="643" t="n"/>
      <c r="S297" s="643" t="n"/>
      <c r="W297" s="643" t="n"/>
      <c r="AA297" s="643" t="n"/>
      <c r="AE297" s="643" t="n"/>
      <c r="AI297" s="643" t="n"/>
      <c r="AM297" s="643" t="n"/>
      <c r="AQ297" s="643" t="n"/>
      <c r="AU297" s="643" t="n"/>
      <c r="AY297" s="643" t="n"/>
      <c r="BC297" s="643" t="n"/>
      <c r="BG297" s="643" t="n"/>
    </row>
    <row r="298" s="1168" customFormat="1" ht="12.75" customHeight="1">
      <c r="F298" s="643" t="n"/>
      <c r="K298" s="643" t="n"/>
      <c r="O298" s="643" t="n"/>
      <c r="S298" s="643" t="n"/>
      <c r="W298" s="643" t="n"/>
      <c r="AA298" s="643" t="n"/>
      <c r="AE298" s="643" t="n"/>
      <c r="AI298" s="643" t="n"/>
      <c r="AM298" s="643" t="n"/>
      <c r="AQ298" s="643" t="n"/>
      <c r="AU298" s="643" t="n"/>
      <c r="AY298" s="643" t="n"/>
      <c r="BC298" s="643" t="n"/>
      <c r="BG298" s="643" t="n"/>
    </row>
    <row r="299" s="1168" customFormat="1" ht="12.75" customHeight="1">
      <c r="F299" s="643" t="n"/>
      <c r="K299" s="643" t="n"/>
      <c r="O299" s="643" t="n"/>
      <c r="S299" s="643" t="n"/>
      <c r="W299" s="643" t="n"/>
      <c r="AA299" s="643" t="n"/>
      <c r="AE299" s="643" t="n"/>
      <c r="AI299" s="643" t="n"/>
      <c r="AM299" s="643" t="n"/>
      <c r="AQ299" s="643" t="n"/>
      <c r="AU299" s="643" t="n"/>
      <c r="AY299" s="643" t="n"/>
      <c r="BC299" s="643" t="n"/>
      <c r="BG299" s="643" t="n"/>
    </row>
    <row r="300" s="1168" customFormat="1" ht="12.75" customHeight="1">
      <c r="F300" s="643" t="n"/>
      <c r="K300" s="643" t="n"/>
      <c r="O300" s="643" t="n"/>
      <c r="S300" s="643" t="n"/>
      <c r="W300" s="643" t="n"/>
      <c r="AA300" s="643" t="n"/>
      <c r="AE300" s="643" t="n"/>
      <c r="AI300" s="643" t="n"/>
      <c r="AM300" s="643" t="n"/>
      <c r="AQ300" s="643" t="n"/>
      <c r="AU300" s="643" t="n"/>
      <c r="AY300" s="643" t="n"/>
      <c r="BC300" s="643" t="n"/>
      <c r="BG300" s="643" t="n"/>
    </row>
    <row r="301" s="1168" customFormat="1" ht="12.75" customHeight="1">
      <c r="F301" s="643" t="n"/>
      <c r="K301" s="643" t="n"/>
      <c r="O301" s="643" t="n"/>
      <c r="S301" s="643" t="n"/>
      <c r="W301" s="643" t="n"/>
      <c r="AA301" s="643" t="n"/>
      <c r="AE301" s="643" t="n"/>
      <c r="AI301" s="643" t="n"/>
      <c r="AM301" s="643" t="n"/>
      <c r="AQ301" s="643" t="n"/>
      <c r="AU301" s="643" t="n"/>
      <c r="AY301" s="643" t="n"/>
      <c r="BC301" s="643" t="n"/>
      <c r="BG301" s="643" t="n"/>
    </row>
    <row r="302" s="1168" customFormat="1" ht="12.75" customHeight="1">
      <c r="F302" s="643" t="n"/>
      <c r="K302" s="643" t="n"/>
      <c r="O302" s="643" t="n"/>
      <c r="S302" s="643" t="n"/>
      <c r="W302" s="643" t="n"/>
      <c r="AA302" s="643" t="n"/>
      <c r="AE302" s="643" t="n"/>
      <c r="AI302" s="643" t="n"/>
      <c r="AM302" s="643" t="n"/>
      <c r="AQ302" s="643" t="n"/>
      <c r="AU302" s="643" t="n"/>
      <c r="AY302" s="643" t="n"/>
      <c r="BC302" s="643" t="n"/>
      <c r="BG302" s="643" t="n"/>
    </row>
    <row r="303" s="1168" customFormat="1" ht="12.75" customHeight="1">
      <c r="F303" s="643" t="n"/>
      <c r="K303" s="643" t="n"/>
      <c r="O303" s="643" t="n"/>
      <c r="S303" s="643" t="n"/>
      <c r="W303" s="643" t="n"/>
      <c r="AA303" s="643" t="n"/>
      <c r="AE303" s="643" t="n"/>
      <c r="AI303" s="643" t="n"/>
      <c r="AM303" s="643" t="n"/>
      <c r="AQ303" s="643" t="n"/>
      <c r="AU303" s="643" t="n"/>
      <c r="AY303" s="643" t="n"/>
      <c r="BC303" s="643" t="n"/>
      <c r="BG303" s="643" t="n"/>
    </row>
    <row r="304" s="1168" customFormat="1" ht="12.75" customHeight="1">
      <c r="F304" s="643" t="n"/>
      <c r="K304" s="643" t="n"/>
      <c r="O304" s="643" t="n"/>
      <c r="S304" s="643" t="n"/>
      <c r="W304" s="643" t="n"/>
      <c r="AA304" s="643" t="n"/>
      <c r="AE304" s="643" t="n"/>
      <c r="AI304" s="643" t="n"/>
      <c r="AM304" s="643" t="n"/>
      <c r="AQ304" s="643" t="n"/>
      <c r="AU304" s="643" t="n"/>
      <c r="AY304" s="643" t="n"/>
      <c r="BC304" s="643" t="n"/>
      <c r="BG304" s="643" t="n"/>
    </row>
    <row r="305" s="1168" customFormat="1" ht="12.75" customHeight="1">
      <c r="F305" s="643" t="n"/>
      <c r="K305" s="643" t="n"/>
      <c r="O305" s="643" t="n"/>
      <c r="S305" s="643" t="n"/>
      <c r="W305" s="643" t="n"/>
      <c r="AA305" s="643" t="n"/>
      <c r="AE305" s="643" t="n"/>
      <c r="AI305" s="643" t="n"/>
      <c r="AM305" s="643" t="n"/>
      <c r="AQ305" s="643" t="n"/>
      <c r="AU305" s="643" t="n"/>
      <c r="AY305" s="643" t="n"/>
      <c r="BC305" s="643" t="n"/>
      <c r="BG305" s="643" t="n"/>
    </row>
    <row r="306" s="1168" customFormat="1" ht="12.75" customHeight="1">
      <c r="F306" s="643" t="n"/>
      <c r="K306" s="643" t="n"/>
      <c r="O306" s="643" t="n"/>
      <c r="S306" s="643" t="n"/>
      <c r="W306" s="643" t="n"/>
      <c r="AA306" s="643" t="n"/>
      <c r="AE306" s="643" t="n"/>
      <c r="AI306" s="643" t="n"/>
      <c r="AM306" s="643" t="n"/>
      <c r="AQ306" s="643" t="n"/>
      <c r="AU306" s="643" t="n"/>
      <c r="AY306" s="643" t="n"/>
      <c r="BC306" s="643" t="n"/>
      <c r="BG306" s="643" t="n"/>
    </row>
    <row r="307" s="1168" customFormat="1" ht="12.75" customHeight="1">
      <c r="F307" s="643" t="n"/>
      <c r="K307" s="643" t="n"/>
      <c r="O307" s="643" t="n"/>
      <c r="S307" s="643" t="n"/>
      <c r="W307" s="643" t="n"/>
      <c r="AA307" s="643" t="n"/>
      <c r="AE307" s="643" t="n"/>
      <c r="AI307" s="643" t="n"/>
      <c r="AM307" s="643" t="n"/>
      <c r="AQ307" s="643" t="n"/>
      <c r="AU307" s="643" t="n"/>
      <c r="AY307" s="643" t="n"/>
      <c r="BC307" s="643" t="n"/>
      <c r="BG307" s="643" t="n"/>
    </row>
    <row r="308" s="1168" customFormat="1" ht="12.75" customHeight="1">
      <c r="F308" s="643" t="n"/>
      <c r="K308" s="643" t="n"/>
      <c r="O308" s="643" t="n"/>
      <c r="S308" s="643" t="n"/>
      <c r="W308" s="643" t="n"/>
      <c r="AA308" s="643" t="n"/>
      <c r="AE308" s="643" t="n"/>
      <c r="AI308" s="643" t="n"/>
      <c r="AM308" s="643" t="n"/>
      <c r="AQ308" s="643" t="n"/>
      <c r="AU308" s="643" t="n"/>
      <c r="AY308" s="643" t="n"/>
      <c r="BC308" s="643" t="n"/>
      <c r="BG308" s="643" t="n"/>
    </row>
    <row r="309" s="1168" customFormat="1" ht="12.75" customHeight="1">
      <c r="F309" s="643" t="n"/>
      <c r="K309" s="643" t="n"/>
      <c r="O309" s="643" t="n"/>
      <c r="S309" s="643" t="n"/>
      <c r="W309" s="643" t="n"/>
      <c r="AA309" s="643" t="n"/>
      <c r="AE309" s="643" t="n"/>
      <c r="AI309" s="643" t="n"/>
      <c r="AM309" s="643" t="n"/>
      <c r="AQ309" s="643" t="n"/>
      <c r="AU309" s="643" t="n"/>
      <c r="AY309" s="643" t="n"/>
      <c r="BC309" s="643" t="n"/>
      <c r="BG309" s="643" t="n"/>
    </row>
    <row r="310" s="1168" customFormat="1" ht="12.75" customHeight="1">
      <c r="A310" s="101" t="n"/>
      <c r="B310" s="1185" t="n"/>
      <c r="F310" s="643" t="n"/>
      <c r="K310" s="643" t="n"/>
      <c r="O310" s="643" t="n"/>
      <c r="S310" s="643" t="n"/>
      <c r="W310" s="643" t="n"/>
      <c r="AA310" s="643" t="n"/>
      <c r="AE310" s="643" t="n"/>
      <c r="AI310" s="643" t="n"/>
      <c r="AM310" s="643" t="n"/>
      <c r="AQ310" s="643" t="n"/>
      <c r="AR310" s="1653" t="n"/>
      <c r="AU310" s="643" t="n"/>
      <c r="AY310" s="643" t="n"/>
      <c r="BC310" s="643" t="n"/>
      <c r="BG310" s="643" t="n"/>
    </row>
    <row r="311" s="1168" customFormat="1" ht="12.75" customHeight="1">
      <c r="F311" s="643" t="n"/>
      <c r="K311" s="643" t="n"/>
      <c r="O311" s="643" t="n"/>
      <c r="S311" s="643" t="n"/>
      <c r="W311" s="643" t="n"/>
      <c r="AA311" s="643" t="n"/>
      <c r="AE311" s="643" t="n"/>
      <c r="AI311" s="643" t="n"/>
      <c r="AM311" s="643" t="n"/>
      <c r="AQ311" s="643" t="n"/>
      <c r="AU311" s="643" t="n"/>
      <c r="AY311" s="643" t="n"/>
      <c r="BC311" s="643" t="n"/>
      <c r="BG311" s="643" t="n"/>
    </row>
    <row r="312" s="1168" customFormat="1" ht="12.75" customHeight="1">
      <c r="F312" s="643" t="n"/>
      <c r="K312" s="643" t="n"/>
      <c r="O312" s="643" t="n"/>
      <c r="S312" s="643" t="n"/>
      <c r="W312" s="643" t="n"/>
      <c r="AA312" s="643" t="n"/>
      <c r="AE312" s="643" t="n"/>
      <c r="AI312" s="643" t="n"/>
      <c r="AM312" s="643" t="n"/>
      <c r="AQ312" s="643" t="n"/>
      <c r="AU312" s="643" t="n"/>
      <c r="AY312" s="643" t="n"/>
      <c r="BC312" s="643" t="n"/>
      <c r="BG312" s="643" t="n"/>
    </row>
    <row r="313" s="1168" customFormat="1" ht="12.75" customHeight="1">
      <c r="F313" s="643" t="n"/>
      <c r="K313" s="643" t="n"/>
      <c r="O313" s="643" t="n"/>
      <c r="S313" s="643" t="n"/>
      <c r="W313" s="643" t="n"/>
      <c r="AA313" s="643" t="n"/>
      <c r="AE313" s="643" t="n"/>
      <c r="AI313" s="643" t="n"/>
      <c r="AM313" s="643" t="n"/>
      <c r="AQ313" s="643" t="n"/>
      <c r="AU313" s="643" t="n"/>
      <c r="AY313" s="643" t="n"/>
      <c r="BC313" s="643" t="n"/>
      <c r="BG313" s="643" t="n"/>
    </row>
    <row r="314" s="1168" customFormat="1" ht="12.75" customHeight="1">
      <c r="F314" s="643" t="n"/>
      <c r="K314" s="643" t="n"/>
      <c r="O314" s="643" t="n"/>
      <c r="S314" s="643" t="n"/>
      <c r="W314" s="643" t="n"/>
      <c r="AA314" s="643" t="n"/>
      <c r="AE314" s="643" t="n"/>
      <c r="AI314" s="643" t="n"/>
      <c r="AM314" s="643" t="n"/>
      <c r="AQ314" s="643" t="n"/>
      <c r="AU314" s="643" t="n"/>
      <c r="AY314" s="643" t="n"/>
      <c r="BC314" s="643" t="n"/>
      <c r="BG314" s="643" t="n"/>
    </row>
    <row r="315" s="1168" customFormat="1" ht="12.75" customHeight="1">
      <c r="F315" s="643" t="n"/>
      <c r="K315" s="643" t="n"/>
      <c r="O315" s="643" t="n"/>
      <c r="S315" s="643" t="n"/>
      <c r="W315" s="643" t="n"/>
      <c r="AA315" s="643" t="n"/>
      <c r="AE315" s="643" t="n"/>
      <c r="AI315" s="643" t="n"/>
      <c r="AM315" s="643" t="n"/>
      <c r="AQ315" s="643" t="n"/>
      <c r="AU315" s="643" t="n"/>
      <c r="AY315" s="643" t="n"/>
      <c r="BC315" s="643" t="n"/>
      <c r="BG315" s="643" t="n"/>
    </row>
    <row r="316" s="1168" customFormat="1" ht="12.75" customHeight="1">
      <c r="F316" s="643" t="n"/>
      <c r="K316" s="643" t="n"/>
      <c r="O316" s="643" t="n"/>
      <c r="S316" s="643" t="n"/>
      <c r="W316" s="643" t="n"/>
      <c r="AA316" s="643" t="n"/>
      <c r="AE316" s="643" t="n"/>
      <c r="AI316" s="643" t="n"/>
      <c r="AM316" s="643" t="n"/>
      <c r="AQ316" s="643" t="n"/>
      <c r="AU316" s="643" t="n"/>
      <c r="AY316" s="643" t="n"/>
      <c r="BC316" s="643" t="n"/>
      <c r="BG316" s="643" t="n"/>
    </row>
    <row r="317" s="1168" customFormat="1" ht="12.75" customHeight="1">
      <c r="F317" s="643" t="n"/>
      <c r="K317" s="643" t="n"/>
      <c r="O317" s="643" t="n"/>
      <c r="S317" s="643" t="n"/>
      <c r="W317" s="643" t="n"/>
      <c r="AA317" s="643" t="n"/>
      <c r="AE317" s="643" t="n"/>
      <c r="AI317" s="643" t="n"/>
      <c r="AM317" s="643" t="n"/>
      <c r="AQ317" s="643" t="n"/>
      <c r="AU317" s="643" t="n"/>
      <c r="AY317" s="643" t="n"/>
      <c r="BC317" s="643" t="n"/>
      <c r="BG317" s="643" t="n"/>
    </row>
    <row r="318" s="1168" customFormat="1" ht="12.75" customHeight="1">
      <c r="F318" s="643" t="n"/>
      <c r="K318" s="643" t="n"/>
      <c r="O318" s="643" t="n"/>
      <c r="S318" s="643" t="n"/>
      <c r="W318" s="643" t="n"/>
      <c r="AA318" s="643" t="n"/>
      <c r="AE318" s="643" t="n"/>
      <c r="AI318" s="643" t="n"/>
      <c r="AM318" s="643" t="n"/>
      <c r="AQ318" s="643" t="n"/>
      <c r="AU318" s="643" t="n"/>
      <c r="AY318" s="643" t="n"/>
      <c r="BC318" s="643" t="n"/>
      <c r="BG318" s="643" t="n"/>
    </row>
    <row r="319" s="1168" customFormat="1" ht="12.75" customHeight="1">
      <c r="A319" s="101" t="n"/>
      <c r="B319" s="1185" t="n"/>
      <c r="F319" s="643" t="n"/>
      <c r="K319" s="643" t="n"/>
      <c r="O319" s="643" t="n"/>
      <c r="S319" s="643" t="n"/>
      <c r="W319" s="643" t="n"/>
      <c r="AA319" s="643" t="n"/>
      <c r="AE319" s="643" t="n"/>
      <c r="AI319" s="643" t="n"/>
      <c r="AM319" s="643" t="n"/>
      <c r="AQ319" s="643" t="n"/>
      <c r="AR319" s="1653" t="n"/>
      <c r="AU319" s="643" t="n"/>
      <c r="AY319" s="643" t="n"/>
      <c r="BC319" s="643" t="n"/>
      <c r="BG319" s="643" t="n"/>
    </row>
    <row r="320" s="1168" customFormat="1" ht="12.75" customHeight="1">
      <c r="F320" s="643" t="n"/>
      <c r="K320" s="643" t="n"/>
      <c r="O320" s="643" t="n"/>
      <c r="S320" s="643" t="n"/>
      <c r="W320" s="643" t="n"/>
      <c r="AA320" s="643" t="n"/>
      <c r="AE320" s="643" t="n"/>
      <c r="AI320" s="643" t="n"/>
      <c r="AM320" s="643" t="n"/>
      <c r="AQ320" s="643" t="n"/>
      <c r="AU320" s="643" t="n"/>
      <c r="AY320" s="643" t="n"/>
      <c r="BC320" s="643" t="n"/>
      <c r="BG320" s="643" t="n"/>
    </row>
    <row r="321" s="1168" customFormat="1" ht="12.75" customHeight="1">
      <c r="F321" s="643" t="n"/>
      <c r="K321" s="643" t="n"/>
      <c r="O321" s="643" t="n"/>
      <c r="S321" s="643" t="n"/>
      <c r="W321" s="643" t="n"/>
      <c r="AA321" s="643" t="n"/>
      <c r="AE321" s="643" t="n"/>
      <c r="AI321" s="643" t="n"/>
      <c r="AM321" s="643" t="n"/>
      <c r="AQ321" s="643" t="n"/>
      <c r="AU321" s="643" t="n"/>
      <c r="AY321" s="643" t="n"/>
      <c r="BC321" s="643" t="n"/>
      <c r="BG321" s="643" t="n"/>
    </row>
    <row r="322" s="1168" customFormat="1" ht="12.75" customHeight="1">
      <c r="F322" s="643" t="n"/>
      <c r="K322" s="643" t="n"/>
      <c r="O322" s="643" t="n"/>
      <c r="S322" s="643" t="n"/>
      <c r="W322" s="643" t="n"/>
      <c r="AA322" s="643" t="n"/>
      <c r="AE322" s="643" t="n"/>
      <c r="AI322" s="643" t="n"/>
      <c r="AM322" s="643" t="n"/>
      <c r="AQ322" s="643" t="n"/>
      <c r="AU322" s="643" t="n"/>
      <c r="AY322" s="643" t="n"/>
      <c r="BC322" s="643" t="n"/>
      <c r="BG322" s="643" t="n"/>
    </row>
    <row r="323" s="1168" customFormat="1" ht="12.75" customHeight="1">
      <c r="F323" s="643" t="n"/>
      <c r="K323" s="643" t="n"/>
      <c r="O323" s="643" t="n"/>
      <c r="S323" s="643" t="n"/>
      <c r="W323" s="643" t="n"/>
      <c r="AA323" s="643" t="n"/>
      <c r="AE323" s="643" t="n"/>
      <c r="AI323" s="643" t="n"/>
      <c r="AM323" s="643" t="n"/>
      <c r="AQ323" s="643" t="n"/>
      <c r="AU323" s="643" t="n"/>
      <c r="AY323" s="643" t="n"/>
      <c r="BC323" s="643" t="n"/>
      <c r="BG323" s="643" t="n"/>
    </row>
    <row r="324" s="1168" customFormat="1" ht="12.75" customHeight="1">
      <c r="F324" s="643" t="n"/>
      <c r="K324" s="643" t="n"/>
      <c r="O324" s="643" t="n"/>
      <c r="S324" s="643" t="n"/>
      <c r="W324" s="643" t="n"/>
      <c r="AA324" s="643" t="n"/>
      <c r="AE324" s="643" t="n"/>
      <c r="AI324" s="643" t="n"/>
      <c r="AM324" s="643" t="n"/>
      <c r="AQ324" s="643" t="n"/>
      <c r="AU324" s="643" t="n"/>
      <c r="AY324" s="643" t="n"/>
      <c r="BC324" s="643" t="n"/>
      <c r="BG324" s="643" t="n"/>
    </row>
    <row r="325" s="1168" customFormat="1" ht="12.75" customHeight="1">
      <c r="F325" s="643" t="n"/>
      <c r="K325" s="643" t="n"/>
      <c r="O325" s="643" t="n"/>
      <c r="S325" s="643" t="n"/>
      <c r="W325" s="643" t="n"/>
      <c r="AA325" s="643" t="n"/>
      <c r="AE325" s="643" t="n"/>
      <c r="AI325" s="643" t="n"/>
      <c r="AM325" s="643" t="n"/>
      <c r="AQ325" s="643" t="n"/>
      <c r="AU325" s="643" t="n"/>
      <c r="AY325" s="643" t="n"/>
      <c r="BC325" s="643" t="n"/>
      <c r="BG325" s="643" t="n"/>
    </row>
    <row r="326" s="1168" customFormat="1" ht="12.75" customHeight="1">
      <c r="F326" s="643" t="n"/>
      <c r="K326" s="643" t="n"/>
      <c r="O326" s="643" t="n"/>
      <c r="S326" s="643" t="n"/>
      <c r="W326" s="643" t="n"/>
      <c r="AA326" s="643" t="n"/>
      <c r="AE326" s="643" t="n"/>
      <c r="AI326" s="643" t="n"/>
      <c r="AM326" s="643" t="n"/>
      <c r="AQ326" s="643" t="n"/>
      <c r="AU326" s="643" t="n"/>
      <c r="AY326" s="643" t="n"/>
      <c r="BC326" s="643" t="n"/>
      <c r="BG326" s="643" t="n"/>
    </row>
    <row r="327" s="1168" customFormat="1" ht="12.75" customHeight="1">
      <c r="F327" s="643" t="n"/>
      <c r="K327" s="643" t="n"/>
      <c r="O327" s="643" t="n"/>
      <c r="S327" s="643" t="n"/>
      <c r="W327" s="643" t="n"/>
      <c r="AA327" s="643" t="n"/>
      <c r="AE327" s="643" t="n"/>
      <c r="AI327" s="643" t="n"/>
      <c r="AM327" s="643" t="n"/>
      <c r="AQ327" s="643" t="n"/>
      <c r="AU327" s="643" t="n"/>
      <c r="AY327" s="643" t="n"/>
      <c r="BC327" s="643" t="n"/>
      <c r="BG327" s="643" t="n"/>
    </row>
    <row r="328" s="1168" customFormat="1" ht="12.75" customHeight="1">
      <c r="F328" s="643" t="n"/>
      <c r="K328" s="643" t="n"/>
      <c r="O328" s="643" t="n"/>
      <c r="S328" s="643" t="n"/>
      <c r="W328" s="643" t="n"/>
      <c r="AA328" s="643" t="n"/>
      <c r="AE328" s="643" t="n"/>
      <c r="AI328" s="643" t="n"/>
      <c r="AM328" s="643" t="n"/>
      <c r="AQ328" s="643" t="n"/>
      <c r="AU328" s="643" t="n"/>
      <c r="AY328" s="643" t="n"/>
      <c r="BC328" s="643" t="n"/>
      <c r="BG328" s="643" t="n"/>
    </row>
    <row r="329" s="1168" customFormat="1" ht="12.75" customHeight="1">
      <c r="F329" s="643" t="n"/>
      <c r="K329" s="643" t="n"/>
      <c r="O329" s="643" t="n"/>
      <c r="S329" s="643" t="n"/>
      <c r="W329" s="643" t="n"/>
      <c r="AA329" s="643" t="n"/>
      <c r="AE329" s="643" t="n"/>
      <c r="AI329" s="643" t="n"/>
      <c r="AM329" s="643" t="n"/>
      <c r="AQ329" s="643" t="n"/>
      <c r="AU329" s="643" t="n"/>
      <c r="AY329" s="643" t="n"/>
      <c r="BC329" s="643" t="n"/>
      <c r="BG329" s="643" t="n"/>
    </row>
    <row r="330" s="1168" customFormat="1" ht="12.75" customHeight="1">
      <c r="F330" s="643" t="n"/>
      <c r="K330" s="643" t="n"/>
      <c r="O330" s="643" t="n"/>
      <c r="S330" s="643" t="n"/>
      <c r="W330" s="643" t="n"/>
      <c r="AA330" s="643" t="n"/>
      <c r="AE330" s="643" t="n"/>
      <c r="AI330" s="643" t="n"/>
      <c r="AM330" s="643" t="n"/>
      <c r="AQ330" s="643" t="n"/>
      <c r="AU330" s="643" t="n"/>
      <c r="AY330" s="643" t="n"/>
      <c r="BC330" s="643" t="n"/>
      <c r="BG330" s="643" t="n"/>
    </row>
    <row r="331" s="1168" customFormat="1" ht="12.75" customHeight="1">
      <c r="F331" s="643" t="n"/>
      <c r="K331" s="643" t="n"/>
      <c r="O331" s="643" t="n"/>
      <c r="S331" s="643" t="n"/>
      <c r="W331" s="643" t="n"/>
      <c r="AA331" s="643" t="n"/>
      <c r="AE331" s="643" t="n"/>
      <c r="AI331" s="643" t="n"/>
      <c r="AM331" s="643" t="n"/>
      <c r="AQ331" s="643" t="n"/>
      <c r="AU331" s="643" t="n"/>
      <c r="AY331" s="643" t="n"/>
      <c r="BC331" s="643" t="n"/>
      <c r="BG331" s="643" t="n"/>
    </row>
    <row r="332" s="1168" customFormat="1" ht="12.75" customHeight="1">
      <c r="F332" s="643" t="n"/>
      <c r="K332" s="643" t="n"/>
      <c r="O332" s="643" t="n"/>
      <c r="S332" s="643" t="n"/>
      <c r="W332" s="643" t="n"/>
      <c r="AA332" s="643" t="n"/>
      <c r="AE332" s="643" t="n"/>
      <c r="AI332" s="643" t="n"/>
      <c r="AM332" s="643" t="n"/>
      <c r="AQ332" s="643" t="n"/>
      <c r="AU332" s="643" t="n"/>
      <c r="AY332" s="643" t="n"/>
      <c r="BC332" s="643" t="n"/>
      <c r="BG332" s="643" t="n"/>
    </row>
    <row r="333" s="1168" customFormat="1" ht="12.75" customHeight="1">
      <c r="F333" s="643" t="n"/>
      <c r="K333" s="643" t="n"/>
      <c r="O333" s="643" t="n"/>
      <c r="S333" s="643" t="n"/>
      <c r="W333" s="643" t="n"/>
      <c r="AA333" s="643" t="n"/>
      <c r="AE333" s="643" t="n"/>
      <c r="AI333" s="643" t="n"/>
      <c r="AM333" s="643" t="n"/>
      <c r="AQ333" s="643" t="n"/>
      <c r="AU333" s="643" t="n"/>
      <c r="AY333" s="643" t="n"/>
      <c r="BC333" s="643" t="n"/>
      <c r="BG333" s="643" t="n"/>
    </row>
    <row r="334" s="1168" customFormat="1" ht="12.75" customHeight="1">
      <c r="F334" s="643" t="n"/>
      <c r="K334" s="643" t="n"/>
      <c r="O334" s="643" t="n"/>
      <c r="S334" s="643" t="n"/>
      <c r="W334" s="643" t="n"/>
      <c r="AA334" s="643" t="n"/>
      <c r="AE334" s="643" t="n"/>
      <c r="AI334" s="643" t="n"/>
      <c r="AM334" s="643" t="n"/>
      <c r="AQ334" s="643" t="n"/>
      <c r="AU334" s="643" t="n"/>
      <c r="AY334" s="643" t="n"/>
      <c r="BC334" s="643" t="n"/>
      <c r="BG334" s="643" t="n"/>
    </row>
    <row r="335" s="1168" customFormat="1" ht="12.75" customHeight="1">
      <c r="F335" s="643" t="n"/>
      <c r="K335" s="643" t="n"/>
      <c r="O335" s="643" t="n"/>
      <c r="S335" s="643" t="n"/>
      <c r="W335" s="643" t="n"/>
      <c r="AA335" s="643" t="n"/>
      <c r="AE335" s="643" t="n"/>
      <c r="AI335" s="643" t="n"/>
      <c r="AM335" s="643" t="n"/>
      <c r="AQ335" s="643" t="n"/>
      <c r="AU335" s="643" t="n"/>
      <c r="AY335" s="643" t="n"/>
      <c r="BC335" s="643" t="n"/>
      <c r="BG335" s="643" t="n"/>
    </row>
    <row r="336" s="1168" customFormat="1" ht="12.75" customHeight="1">
      <c r="F336" s="643" t="n"/>
      <c r="K336" s="643" t="n"/>
      <c r="O336" s="643" t="n"/>
      <c r="S336" s="643" t="n"/>
      <c r="W336" s="643" t="n"/>
      <c r="AA336" s="643" t="n"/>
      <c r="AE336" s="643" t="n"/>
      <c r="AI336" s="643" t="n"/>
      <c r="AM336" s="643" t="n"/>
      <c r="AQ336" s="643" t="n"/>
      <c r="AU336" s="643" t="n"/>
      <c r="AY336" s="643" t="n"/>
      <c r="BC336" s="643" t="n"/>
      <c r="BG336" s="643" t="n"/>
    </row>
    <row r="337" s="1168" customFormat="1" ht="12.75" customHeight="1">
      <c r="F337" s="643" t="n"/>
      <c r="K337" s="643" t="n"/>
      <c r="O337" s="643" t="n"/>
      <c r="S337" s="643" t="n"/>
      <c r="W337" s="643" t="n"/>
      <c r="AA337" s="643" t="n"/>
      <c r="AE337" s="643" t="n"/>
      <c r="AI337" s="643" t="n"/>
      <c r="AM337" s="643" t="n"/>
      <c r="AQ337" s="643" t="n"/>
      <c r="AU337" s="643" t="n"/>
      <c r="AY337" s="643" t="n"/>
      <c r="BC337" s="643" t="n"/>
      <c r="BG337" s="643" t="n"/>
    </row>
    <row r="338" s="1168" customFormat="1" ht="12.75" customHeight="1">
      <c r="F338" s="643" t="n"/>
      <c r="K338" s="643" t="n"/>
      <c r="O338" s="643" t="n"/>
      <c r="S338" s="643" t="n"/>
      <c r="W338" s="643" t="n"/>
      <c r="AA338" s="643" t="n"/>
      <c r="AE338" s="643" t="n"/>
      <c r="AI338" s="643" t="n"/>
      <c r="AM338" s="643" t="n"/>
      <c r="AQ338" s="643" t="n"/>
      <c r="AU338" s="643" t="n"/>
      <c r="AY338" s="643" t="n"/>
      <c r="BC338" s="643" t="n"/>
      <c r="BG338" s="643" t="n"/>
    </row>
    <row r="339" s="1168" customFormat="1" ht="12.75" customHeight="1">
      <c r="F339" s="643" t="n"/>
      <c r="K339" s="643" t="n"/>
      <c r="O339" s="643" t="n"/>
      <c r="S339" s="643" t="n"/>
      <c r="W339" s="643" t="n"/>
      <c r="AA339" s="643" t="n"/>
      <c r="AE339" s="643" t="n"/>
      <c r="AI339" s="643" t="n"/>
      <c r="AM339" s="643" t="n"/>
      <c r="AQ339" s="643" t="n"/>
      <c r="AU339" s="643" t="n"/>
      <c r="AY339" s="643" t="n"/>
      <c r="BC339" s="643" t="n"/>
      <c r="BG339" s="643" t="n"/>
    </row>
    <row r="340" s="1168" customFormat="1" ht="12.75" customHeight="1">
      <c r="F340" s="643" t="n"/>
      <c r="K340" s="643" t="n"/>
      <c r="O340" s="643" t="n"/>
      <c r="S340" s="643" t="n"/>
      <c r="W340" s="643" t="n"/>
      <c r="AA340" s="643" t="n"/>
      <c r="AE340" s="643" t="n"/>
      <c r="AI340" s="643" t="n"/>
      <c r="AM340" s="643" t="n"/>
      <c r="AQ340" s="643" t="n"/>
      <c r="AU340" s="643" t="n"/>
      <c r="AY340" s="643" t="n"/>
      <c r="BC340" s="643" t="n"/>
      <c r="BG340" s="643" t="n"/>
    </row>
    <row r="341" s="1168" customFormat="1" ht="12.75" customHeight="1">
      <c r="F341" s="643" t="n"/>
      <c r="K341" s="643" t="n"/>
      <c r="O341" s="643" t="n"/>
      <c r="S341" s="643" t="n"/>
      <c r="W341" s="643" t="n"/>
      <c r="AA341" s="643" t="n"/>
      <c r="AE341" s="643" t="n"/>
      <c r="AI341" s="643" t="n"/>
      <c r="AM341" s="643" t="n"/>
      <c r="AQ341" s="643" t="n"/>
      <c r="AU341" s="643" t="n"/>
      <c r="AY341" s="643" t="n"/>
      <c r="BC341" s="643" t="n"/>
      <c r="BG341" s="643" t="n"/>
    </row>
    <row r="342" s="1168" customFormat="1" ht="12.75" customHeight="1">
      <c r="F342" s="643" t="n"/>
      <c r="K342" s="643" t="n"/>
      <c r="O342" s="643" t="n"/>
      <c r="S342" s="643" t="n"/>
      <c r="W342" s="643" t="n"/>
      <c r="AA342" s="643" t="n"/>
      <c r="AE342" s="643" t="n"/>
      <c r="AI342" s="643" t="n"/>
      <c r="AM342" s="643" t="n"/>
      <c r="AQ342" s="643" t="n"/>
      <c r="AU342" s="643" t="n"/>
      <c r="AY342" s="643" t="n"/>
      <c r="BC342" s="643" t="n"/>
      <c r="BG342" s="643" t="n"/>
    </row>
    <row r="343" s="1168" customFormat="1" ht="12.75" customHeight="1">
      <c r="F343" s="643" t="n"/>
      <c r="K343" s="643" t="n"/>
      <c r="O343" s="643" t="n"/>
      <c r="S343" s="643" t="n"/>
      <c r="W343" s="643" t="n"/>
      <c r="AA343" s="643" t="n"/>
      <c r="AE343" s="643" t="n"/>
      <c r="AI343" s="643" t="n"/>
      <c r="AM343" s="643" t="n"/>
      <c r="AQ343" s="643" t="n"/>
      <c r="AU343" s="643" t="n"/>
      <c r="AY343" s="643" t="n"/>
      <c r="BC343" s="643" t="n"/>
      <c r="BG343" s="643" t="n"/>
    </row>
    <row r="344" s="1168" customFormat="1" ht="12.75" customHeight="1">
      <c r="F344" s="643" t="n"/>
      <c r="K344" s="643" t="n"/>
      <c r="O344" s="643" t="n"/>
      <c r="S344" s="643" t="n"/>
      <c r="W344" s="643" t="n"/>
      <c r="AA344" s="643" t="n"/>
      <c r="AE344" s="643" t="n"/>
      <c r="AI344" s="643" t="n"/>
      <c r="AM344" s="643" t="n"/>
      <c r="AQ344" s="643" t="n"/>
      <c r="AU344" s="643" t="n"/>
      <c r="AY344" s="643" t="n"/>
      <c r="BC344" s="643" t="n"/>
      <c r="BG344" s="643" t="n"/>
    </row>
    <row r="345" s="1168" customFormat="1" ht="12.75" customHeight="1">
      <c r="F345" s="643" t="n"/>
      <c r="K345" s="643" t="n"/>
      <c r="O345" s="643" t="n"/>
      <c r="S345" s="643" t="n"/>
      <c r="W345" s="643" t="n"/>
      <c r="AA345" s="643" t="n"/>
      <c r="AE345" s="643" t="n"/>
      <c r="AI345" s="643" t="n"/>
      <c r="AM345" s="643" t="n"/>
      <c r="AQ345" s="643" t="n"/>
      <c r="AU345" s="643" t="n"/>
      <c r="AY345" s="643" t="n"/>
      <c r="BC345" s="643" t="n"/>
      <c r="BG345" s="643" t="n"/>
    </row>
    <row r="346" s="1168" customFormat="1" ht="12.75" customHeight="1">
      <c r="F346" s="643" t="n"/>
      <c r="K346" s="643" t="n"/>
      <c r="O346" s="643" t="n"/>
      <c r="S346" s="643" t="n"/>
      <c r="W346" s="643" t="n"/>
      <c r="AA346" s="643" t="n"/>
      <c r="AE346" s="643" t="n"/>
      <c r="AI346" s="643" t="n"/>
      <c r="AM346" s="643" t="n"/>
      <c r="AQ346" s="643" t="n"/>
      <c r="AU346" s="643" t="n"/>
      <c r="AY346" s="643" t="n"/>
      <c r="BC346" s="643" t="n"/>
      <c r="BG346" s="643" t="n"/>
    </row>
    <row r="347" s="1168" customFormat="1" ht="12.75" customHeight="1">
      <c r="F347" s="643" t="n"/>
      <c r="K347" s="643" t="n"/>
      <c r="O347" s="643" t="n"/>
      <c r="S347" s="643" t="n"/>
      <c r="W347" s="643" t="n"/>
      <c r="AA347" s="643" t="n"/>
      <c r="AE347" s="643" t="n"/>
      <c r="AI347" s="643" t="n"/>
      <c r="AM347" s="643" t="n"/>
      <c r="AQ347" s="643" t="n"/>
      <c r="AU347" s="643" t="n"/>
      <c r="AY347" s="643" t="n"/>
      <c r="BC347" s="643" t="n"/>
      <c r="BG347" s="643" t="n"/>
    </row>
    <row r="348" s="1168" customFormat="1" ht="12.75" customHeight="1">
      <c r="F348" s="643" t="n"/>
      <c r="K348" s="643" t="n"/>
      <c r="O348" s="643" t="n"/>
      <c r="S348" s="643" t="n"/>
      <c r="W348" s="643" t="n"/>
      <c r="AA348" s="643" t="n"/>
      <c r="AE348" s="643" t="n"/>
      <c r="AI348" s="643" t="n"/>
      <c r="AM348" s="643" t="n"/>
      <c r="AQ348" s="643" t="n"/>
      <c r="AU348" s="643" t="n"/>
      <c r="AY348" s="643" t="n"/>
      <c r="BC348" s="643" t="n"/>
      <c r="BG348" s="643" t="n"/>
    </row>
    <row r="349" s="1168" customFormat="1" ht="12.75" customHeight="1">
      <c r="F349" s="643" t="n"/>
      <c r="K349" s="643" t="n"/>
      <c r="O349" s="643" t="n"/>
      <c r="S349" s="643" t="n"/>
      <c r="W349" s="643" t="n"/>
      <c r="AA349" s="643" t="n"/>
      <c r="AE349" s="643" t="n"/>
      <c r="AI349" s="643" t="n"/>
      <c r="AM349" s="643" t="n"/>
      <c r="AQ349" s="643" t="n"/>
      <c r="AU349" s="643" t="n"/>
      <c r="AY349" s="643" t="n"/>
      <c r="BC349" s="643" t="n"/>
      <c r="BG349" s="643" t="n"/>
    </row>
    <row r="350" s="1168" customFormat="1" ht="12.75" customHeight="1">
      <c r="F350" s="643" t="n"/>
      <c r="K350" s="643" t="n"/>
      <c r="O350" s="643" t="n"/>
      <c r="S350" s="643" t="n"/>
      <c r="W350" s="643" t="n"/>
      <c r="AA350" s="643" t="n"/>
      <c r="AE350" s="643" t="n"/>
      <c r="AI350" s="643" t="n"/>
      <c r="AM350" s="643" t="n"/>
      <c r="AQ350" s="643" t="n"/>
      <c r="AU350" s="643" t="n"/>
      <c r="AY350" s="643" t="n"/>
      <c r="BC350" s="643" t="n"/>
      <c r="BG350" s="643" t="n"/>
    </row>
    <row r="351" s="1168" customFormat="1" ht="12.75" customHeight="1">
      <c r="F351" s="643" t="n"/>
      <c r="K351" s="643" t="n"/>
      <c r="O351" s="643" t="n"/>
      <c r="S351" s="643" t="n"/>
      <c r="W351" s="643" t="n"/>
      <c r="AA351" s="643" t="n"/>
      <c r="AE351" s="643" t="n"/>
      <c r="AI351" s="643" t="n"/>
      <c r="AM351" s="643" t="n"/>
      <c r="AQ351" s="643" t="n"/>
      <c r="AU351" s="643" t="n"/>
      <c r="AY351" s="643" t="n"/>
      <c r="BC351" s="643" t="n"/>
      <c r="BG351" s="643" t="n"/>
    </row>
    <row r="352" s="1168" customFormat="1" ht="12.75" customHeight="1">
      <c r="F352" s="643" t="n"/>
      <c r="K352" s="643" t="n"/>
      <c r="O352" s="643" t="n"/>
      <c r="S352" s="643" t="n"/>
      <c r="W352" s="643" t="n"/>
      <c r="AA352" s="643" t="n"/>
      <c r="AE352" s="643" t="n"/>
      <c r="AI352" s="643" t="n"/>
      <c r="AM352" s="643" t="n"/>
      <c r="AQ352" s="643" t="n"/>
      <c r="AU352" s="643" t="n"/>
      <c r="AY352" s="643" t="n"/>
      <c r="BC352" s="643" t="n"/>
      <c r="BG352" s="643" t="n"/>
    </row>
    <row r="353" s="1168" customFormat="1" ht="12.75" customHeight="1">
      <c r="F353" s="643" t="n"/>
      <c r="K353" s="643" t="n"/>
      <c r="O353" s="643" t="n"/>
      <c r="S353" s="643" t="n"/>
      <c r="W353" s="643" t="n"/>
      <c r="AA353" s="643" t="n"/>
      <c r="AE353" s="643" t="n"/>
      <c r="AI353" s="643" t="n"/>
      <c r="AM353" s="643" t="n"/>
      <c r="AQ353" s="643" t="n"/>
      <c r="AU353" s="643" t="n"/>
      <c r="AY353" s="643" t="n"/>
      <c r="BC353" s="643" t="n"/>
      <c r="BG353" s="643" t="n"/>
    </row>
    <row r="354" s="1168" customFormat="1" ht="12.75" customHeight="1">
      <c r="F354" s="643" t="n"/>
      <c r="K354" s="643" t="n"/>
      <c r="O354" s="643" t="n"/>
      <c r="S354" s="643" t="n"/>
      <c r="W354" s="643" t="n"/>
      <c r="AA354" s="643" t="n"/>
      <c r="AE354" s="643" t="n"/>
      <c r="AI354" s="643" t="n"/>
      <c r="AM354" s="643" t="n"/>
      <c r="AQ354" s="643" t="n"/>
      <c r="AU354" s="643" t="n"/>
      <c r="AY354" s="643" t="n"/>
      <c r="BC354" s="643" t="n"/>
      <c r="BG354" s="643" t="n"/>
    </row>
    <row r="355" s="1168" customFormat="1" ht="12.75" customHeight="1">
      <c r="F355" s="643" t="n"/>
      <c r="K355" s="643" t="n"/>
      <c r="O355" s="643" t="n"/>
      <c r="S355" s="643" t="n"/>
      <c r="W355" s="643" t="n"/>
      <c r="AA355" s="643" t="n"/>
      <c r="AE355" s="643" t="n"/>
      <c r="AI355" s="643" t="n"/>
      <c r="AM355" s="643" t="n"/>
      <c r="AQ355" s="643" t="n"/>
      <c r="AU355" s="643" t="n"/>
      <c r="AY355" s="643" t="n"/>
      <c r="BC355" s="643" t="n"/>
      <c r="BG355" s="643" t="n"/>
    </row>
    <row r="356" s="1168" customFormat="1" ht="12.75" customHeight="1">
      <c r="F356" s="643" t="n"/>
      <c r="K356" s="643" t="n"/>
      <c r="O356" s="643" t="n"/>
      <c r="S356" s="643" t="n"/>
      <c r="W356" s="643" t="n"/>
      <c r="AA356" s="643" t="n"/>
      <c r="AE356" s="643" t="n"/>
      <c r="AI356" s="643" t="n"/>
      <c r="AM356" s="643" t="n"/>
      <c r="AQ356" s="643" t="n"/>
      <c r="AU356" s="643" t="n"/>
      <c r="AY356" s="643" t="n"/>
      <c r="BC356" s="643" t="n"/>
      <c r="BG356" s="643" t="n"/>
    </row>
    <row r="357" s="1168" customFormat="1" ht="12.75" customHeight="1">
      <c r="F357" s="643" t="n"/>
      <c r="K357" s="643" t="n"/>
      <c r="O357" s="643" t="n"/>
      <c r="S357" s="643" t="n"/>
      <c r="W357" s="643" t="n"/>
      <c r="AA357" s="643" t="n"/>
      <c r="AE357" s="643" t="n"/>
      <c r="AI357" s="643" t="n"/>
      <c r="AM357" s="643" t="n"/>
      <c r="AQ357" s="643" t="n"/>
      <c r="AU357" s="643" t="n"/>
      <c r="AY357" s="643" t="n"/>
      <c r="BC357" s="643" t="n"/>
      <c r="BG357" s="643" t="n"/>
    </row>
    <row r="358" s="1168" customFormat="1" ht="12.75" customHeight="1">
      <c r="F358" s="643" t="n"/>
      <c r="K358" s="643" t="n"/>
      <c r="O358" s="643" t="n"/>
      <c r="S358" s="643" t="n"/>
      <c r="W358" s="643" t="n"/>
      <c r="AA358" s="643" t="n"/>
      <c r="AE358" s="643" t="n"/>
      <c r="AI358" s="643" t="n"/>
      <c r="AM358" s="643" t="n"/>
      <c r="AQ358" s="643" t="n"/>
      <c r="AU358" s="643" t="n"/>
      <c r="AY358" s="643" t="n"/>
      <c r="BC358" s="643" t="n"/>
      <c r="BG358" s="643" t="n"/>
    </row>
    <row r="359" s="1168" customFormat="1" ht="12.75" customHeight="1">
      <c r="F359" s="643" t="n"/>
      <c r="K359" s="643" t="n"/>
      <c r="O359" s="643" t="n"/>
      <c r="S359" s="643" t="n"/>
      <c r="W359" s="643" t="n"/>
      <c r="AA359" s="643" t="n"/>
      <c r="AE359" s="643" t="n"/>
      <c r="AI359" s="643" t="n"/>
      <c r="AM359" s="643" t="n"/>
      <c r="AQ359" s="643" t="n"/>
      <c r="AU359" s="643" t="n"/>
      <c r="AY359" s="643" t="n"/>
      <c r="BC359" s="643" t="n"/>
      <c r="BG359" s="643" t="n"/>
    </row>
    <row r="360" s="1168" customFormat="1" ht="12.75" customHeight="1">
      <c r="F360" s="643" t="n"/>
      <c r="K360" s="643" t="n"/>
      <c r="O360" s="643" t="n"/>
      <c r="S360" s="643" t="n"/>
      <c r="W360" s="643" t="n"/>
      <c r="AA360" s="643" t="n"/>
      <c r="AE360" s="643" t="n"/>
      <c r="AI360" s="643" t="n"/>
      <c r="AM360" s="643" t="n"/>
      <c r="AQ360" s="643" t="n"/>
      <c r="AU360" s="643" t="n"/>
      <c r="AY360" s="643" t="n"/>
      <c r="BC360" s="643" t="n"/>
      <c r="BG360" s="643" t="n"/>
    </row>
    <row r="361" s="1168" customFormat="1" ht="12.75" customHeight="1">
      <c r="F361" s="643" t="n"/>
      <c r="K361" s="643" t="n"/>
      <c r="O361" s="643" t="n"/>
      <c r="S361" s="643" t="n"/>
      <c r="W361" s="643" t="n"/>
      <c r="AA361" s="643" t="n"/>
      <c r="AE361" s="643" t="n"/>
      <c r="AI361" s="643" t="n"/>
      <c r="AM361" s="643" t="n"/>
      <c r="AQ361" s="643" t="n"/>
      <c r="AU361" s="643" t="n"/>
      <c r="AY361" s="643" t="n"/>
      <c r="BC361" s="643" t="n"/>
      <c r="BG361" s="643" t="n"/>
    </row>
    <row r="362" s="1168" customFormat="1" ht="12.75" customHeight="1">
      <c r="F362" s="643" t="n"/>
      <c r="K362" s="643" t="n"/>
      <c r="O362" s="643" t="n"/>
      <c r="S362" s="643" t="n"/>
      <c r="W362" s="643" t="n"/>
      <c r="AA362" s="643" t="n"/>
      <c r="AE362" s="643" t="n"/>
      <c r="AI362" s="643" t="n"/>
      <c r="AM362" s="643" t="n"/>
      <c r="AQ362" s="643" t="n"/>
      <c r="AU362" s="643" t="n"/>
      <c r="AY362" s="643" t="n"/>
      <c r="BC362" s="643" t="n"/>
      <c r="BG362" s="643" t="n"/>
    </row>
    <row r="363" s="1168" customFormat="1" ht="12.75" customHeight="1">
      <c r="F363" s="643" t="n"/>
      <c r="K363" s="643" t="n"/>
      <c r="O363" s="643" t="n"/>
      <c r="S363" s="643" t="n"/>
      <c r="W363" s="643" t="n"/>
      <c r="AA363" s="643" t="n"/>
      <c r="AE363" s="643" t="n"/>
      <c r="AI363" s="643" t="n"/>
      <c r="AM363" s="643" t="n"/>
      <c r="AQ363" s="643" t="n"/>
      <c r="AU363" s="643" t="n"/>
      <c r="AY363" s="643" t="n"/>
      <c r="BC363" s="643" t="n"/>
      <c r="BG363" s="643" t="n"/>
    </row>
    <row r="364" s="1168" customFormat="1" ht="12.75" customHeight="1">
      <c r="F364" s="643" t="n"/>
      <c r="K364" s="643" t="n"/>
      <c r="O364" s="643" t="n"/>
      <c r="S364" s="643" t="n"/>
      <c r="W364" s="643" t="n"/>
      <c r="AA364" s="643" t="n"/>
      <c r="AE364" s="643" t="n"/>
      <c r="AI364" s="643" t="n"/>
      <c r="AM364" s="643" t="n"/>
      <c r="AQ364" s="643" t="n"/>
      <c r="AU364" s="643" t="n"/>
      <c r="AY364" s="643" t="n"/>
      <c r="BC364" s="643" t="n"/>
      <c r="BG364" s="643" t="n"/>
    </row>
    <row r="365" s="1168" customFormat="1" ht="12.75" customHeight="1">
      <c r="F365" s="643" t="n"/>
      <c r="K365" s="643" t="n"/>
      <c r="O365" s="643" t="n"/>
      <c r="S365" s="643" t="n"/>
      <c r="W365" s="643" t="n"/>
      <c r="AA365" s="643" t="n"/>
      <c r="AE365" s="643" t="n"/>
      <c r="AI365" s="643" t="n"/>
      <c r="AM365" s="643" t="n"/>
      <c r="AQ365" s="643" t="n"/>
      <c r="AU365" s="643" t="n"/>
      <c r="AY365" s="643" t="n"/>
      <c r="BC365" s="643" t="n"/>
      <c r="BG365" s="643" t="n"/>
    </row>
    <row r="366" s="1168" customFormat="1" ht="12.75" customHeight="1">
      <c r="F366" s="643" t="n"/>
      <c r="K366" s="643" t="n"/>
      <c r="O366" s="643" t="n"/>
      <c r="S366" s="643" t="n"/>
      <c r="W366" s="643" t="n"/>
      <c r="AA366" s="643" t="n"/>
      <c r="AE366" s="643" t="n"/>
      <c r="AI366" s="643" t="n"/>
      <c r="AM366" s="643" t="n"/>
      <c r="AQ366" s="643" t="n"/>
      <c r="AU366" s="643" t="n"/>
      <c r="AY366" s="643" t="n"/>
      <c r="BC366" s="643" t="n"/>
      <c r="BG366" s="643" t="n"/>
    </row>
    <row r="367" s="1168" customFormat="1" ht="12.75" customHeight="1">
      <c r="F367" s="643" t="n"/>
      <c r="K367" s="643" t="n"/>
      <c r="O367" s="643" t="n"/>
      <c r="S367" s="643" t="n"/>
      <c r="W367" s="643" t="n"/>
      <c r="AA367" s="643" t="n"/>
      <c r="AE367" s="643" t="n"/>
      <c r="AI367" s="643" t="n"/>
      <c r="AM367" s="643" t="n"/>
      <c r="AQ367" s="643" t="n"/>
      <c r="AU367" s="643" t="n"/>
      <c r="AY367" s="643" t="n"/>
      <c r="BC367" s="643" t="n"/>
      <c r="BG367" s="643" t="n"/>
    </row>
    <row r="368" s="1168" customFormat="1" ht="12.75" customHeight="1">
      <c r="F368" s="643" t="n"/>
      <c r="K368" s="643" t="n"/>
      <c r="O368" s="643" t="n"/>
      <c r="S368" s="643" t="n"/>
      <c r="W368" s="643" t="n"/>
      <c r="AA368" s="643" t="n"/>
      <c r="AE368" s="643" t="n"/>
      <c r="AI368" s="643" t="n"/>
      <c r="AM368" s="643" t="n"/>
      <c r="AQ368" s="643" t="n"/>
      <c r="AU368" s="643" t="n"/>
      <c r="AY368" s="643" t="n"/>
      <c r="BC368" s="643" t="n"/>
      <c r="BG368" s="643" t="n"/>
    </row>
    <row r="369" s="1168" customFormat="1" ht="12.75" customHeight="1">
      <c r="F369" s="643" t="n"/>
      <c r="K369" s="643" t="n"/>
      <c r="O369" s="643" t="n"/>
      <c r="S369" s="643" t="n"/>
      <c r="W369" s="643" t="n"/>
      <c r="AA369" s="643" t="n"/>
      <c r="AE369" s="643" t="n"/>
      <c r="AI369" s="643" t="n"/>
      <c r="AM369" s="643" t="n"/>
      <c r="AQ369" s="643" t="n"/>
      <c r="AU369" s="643" t="n"/>
      <c r="AY369" s="643" t="n"/>
      <c r="BC369" s="643" t="n"/>
      <c r="BG369" s="643" t="n"/>
    </row>
    <row r="370" s="1168" customFormat="1" ht="12.75" customHeight="1">
      <c r="F370" s="643" t="n"/>
      <c r="K370" s="643" t="n"/>
      <c r="O370" s="643" t="n"/>
      <c r="S370" s="643" t="n"/>
      <c r="W370" s="643" t="n"/>
      <c r="AA370" s="643" t="n"/>
      <c r="AE370" s="643" t="n"/>
      <c r="AI370" s="643" t="n"/>
      <c r="AM370" s="643" t="n"/>
      <c r="AQ370" s="643" t="n"/>
      <c r="AU370" s="643" t="n"/>
      <c r="AY370" s="643" t="n"/>
      <c r="BC370" s="643" t="n"/>
      <c r="BG370" s="643" t="n"/>
    </row>
    <row r="371" s="1168" customFormat="1" ht="12.75" customHeight="1">
      <c r="F371" s="643" t="n"/>
      <c r="K371" s="643" t="n"/>
      <c r="O371" s="643" t="n"/>
      <c r="S371" s="643" t="n"/>
      <c r="W371" s="643" t="n"/>
      <c r="AA371" s="643" t="n"/>
      <c r="AE371" s="643" t="n"/>
      <c r="AI371" s="643" t="n"/>
      <c r="AM371" s="643" t="n"/>
      <c r="AQ371" s="643" t="n"/>
      <c r="AU371" s="643" t="n"/>
      <c r="AY371" s="643" t="n"/>
      <c r="BC371" s="643" t="n"/>
      <c r="BG371" s="643" t="n"/>
    </row>
    <row r="372" s="1168" customFormat="1" ht="12.75" customHeight="1">
      <c r="F372" s="643" t="n"/>
      <c r="K372" s="643" t="n"/>
      <c r="O372" s="643" t="n"/>
      <c r="S372" s="643" t="n"/>
      <c r="W372" s="643" t="n"/>
      <c r="AA372" s="643" t="n"/>
      <c r="AE372" s="643" t="n"/>
      <c r="AI372" s="643" t="n"/>
      <c r="AM372" s="643" t="n"/>
      <c r="AQ372" s="643" t="n"/>
      <c r="AU372" s="643" t="n"/>
      <c r="AY372" s="643" t="n"/>
      <c r="BC372" s="643" t="n"/>
      <c r="BG372" s="643" t="n"/>
    </row>
    <row r="373" s="1168" customFormat="1" ht="12.75" customHeight="1">
      <c r="F373" s="643" t="n"/>
      <c r="K373" s="643" t="n"/>
      <c r="O373" s="643" t="n"/>
      <c r="S373" s="643" t="n"/>
      <c r="W373" s="643" t="n"/>
      <c r="AA373" s="643" t="n"/>
      <c r="AE373" s="643" t="n"/>
      <c r="AI373" s="643" t="n"/>
      <c r="AM373" s="643" t="n"/>
      <c r="AQ373" s="643" t="n"/>
      <c r="AU373" s="643" t="n"/>
      <c r="AY373" s="643" t="n"/>
      <c r="BC373" s="643" t="n"/>
      <c r="BG373" s="643" t="n"/>
    </row>
    <row r="374" s="1168" customFormat="1" ht="12.75" customHeight="1">
      <c r="F374" s="643" t="n"/>
      <c r="K374" s="643" t="n"/>
      <c r="O374" s="643" t="n"/>
      <c r="S374" s="643" t="n"/>
      <c r="W374" s="643" t="n"/>
      <c r="AA374" s="643" t="n"/>
      <c r="AE374" s="643" t="n"/>
      <c r="AI374" s="643" t="n"/>
      <c r="AM374" s="643" t="n"/>
      <c r="AQ374" s="643" t="n"/>
      <c r="AU374" s="643" t="n"/>
      <c r="AY374" s="643" t="n"/>
      <c r="BC374" s="643" t="n"/>
      <c r="BG374" s="643" t="n"/>
    </row>
    <row r="375" s="1168" customFormat="1" ht="12.75" customHeight="1">
      <c r="F375" s="643" t="n"/>
      <c r="K375" s="643" t="n"/>
      <c r="O375" s="643" t="n"/>
      <c r="S375" s="643" t="n"/>
      <c r="W375" s="643" t="n"/>
      <c r="AA375" s="643" t="n"/>
      <c r="AE375" s="643" t="n"/>
      <c r="AI375" s="643" t="n"/>
      <c r="AM375" s="643" t="n"/>
      <c r="AQ375" s="643" t="n"/>
      <c r="AU375" s="643" t="n"/>
      <c r="AY375" s="643" t="n"/>
      <c r="BC375" s="643" t="n"/>
      <c r="BG375" s="643" t="n"/>
    </row>
    <row r="376" s="1168" customFormat="1" ht="12.75" customHeight="1">
      <c r="F376" s="643" t="n"/>
      <c r="K376" s="643" t="n"/>
      <c r="O376" s="643" t="n"/>
      <c r="S376" s="643" t="n"/>
      <c r="W376" s="643" t="n"/>
      <c r="AA376" s="643" t="n"/>
      <c r="AE376" s="643" t="n"/>
      <c r="AI376" s="643" t="n"/>
      <c r="AM376" s="643" t="n"/>
      <c r="AQ376" s="643" t="n"/>
      <c r="AU376" s="643" t="n"/>
      <c r="AY376" s="643" t="n"/>
      <c r="BC376" s="643" t="n"/>
      <c r="BG376" s="643" t="n"/>
    </row>
    <row r="377" s="1168" customFormat="1" ht="12.75" customHeight="1">
      <c r="F377" s="643" t="n"/>
      <c r="K377" s="643" t="n"/>
      <c r="O377" s="643" t="n"/>
      <c r="S377" s="643" t="n"/>
      <c r="W377" s="643" t="n"/>
      <c r="AA377" s="643" t="n"/>
      <c r="AE377" s="643" t="n"/>
      <c r="AI377" s="643" t="n"/>
      <c r="AM377" s="643" t="n"/>
      <c r="AQ377" s="643" t="n"/>
      <c r="AU377" s="643" t="n"/>
      <c r="AY377" s="643" t="n"/>
      <c r="BC377" s="643" t="n"/>
      <c r="BG377" s="643" t="n"/>
    </row>
    <row r="378" s="1168" customFormat="1" ht="12.75" customHeight="1">
      <c r="F378" s="643" t="n"/>
      <c r="K378" s="643" t="n"/>
      <c r="O378" s="643" t="n"/>
      <c r="S378" s="643" t="n"/>
      <c r="W378" s="643" t="n"/>
      <c r="AA378" s="643" t="n"/>
      <c r="AE378" s="643" t="n"/>
      <c r="AI378" s="643" t="n"/>
      <c r="AM378" s="643" t="n"/>
      <c r="AQ378" s="643" t="n"/>
      <c r="AU378" s="643" t="n"/>
      <c r="AY378" s="643" t="n"/>
      <c r="BC378" s="643" t="n"/>
      <c r="BG378" s="643" t="n"/>
    </row>
    <row r="379" s="1168" customFormat="1" ht="12.75" customHeight="1">
      <c r="F379" s="643" t="n"/>
      <c r="K379" s="643" t="n"/>
      <c r="O379" s="643" t="n"/>
      <c r="S379" s="643" t="n"/>
      <c r="W379" s="643" t="n"/>
      <c r="AA379" s="643" t="n"/>
      <c r="AE379" s="643" t="n"/>
      <c r="AI379" s="643" t="n"/>
      <c r="AM379" s="643" t="n"/>
      <c r="AQ379" s="643" t="n"/>
      <c r="AU379" s="643" t="n"/>
      <c r="AY379" s="643" t="n"/>
      <c r="BC379" s="643" t="n"/>
      <c r="BG379" s="643" t="n"/>
    </row>
    <row r="380" s="1168" customFormat="1" ht="12.75" customHeight="1">
      <c r="F380" s="643" t="n"/>
      <c r="K380" s="643" t="n"/>
      <c r="O380" s="643" t="n"/>
      <c r="S380" s="643" t="n"/>
      <c r="W380" s="643" t="n"/>
      <c r="AA380" s="643" t="n"/>
      <c r="AE380" s="643" t="n"/>
      <c r="AI380" s="643" t="n"/>
      <c r="AM380" s="643" t="n"/>
      <c r="AQ380" s="643" t="n"/>
      <c r="AU380" s="643" t="n"/>
      <c r="AY380" s="643" t="n"/>
      <c r="BC380" s="643" t="n"/>
      <c r="BG380" s="643" t="n"/>
    </row>
    <row r="381" s="1168" customFormat="1" ht="12.75" customHeight="1">
      <c r="F381" s="643" t="n"/>
      <c r="K381" s="643" t="n"/>
      <c r="O381" s="643" t="n"/>
      <c r="S381" s="643" t="n"/>
      <c r="W381" s="643" t="n"/>
      <c r="AA381" s="643" t="n"/>
      <c r="AE381" s="643" t="n"/>
      <c r="AI381" s="643" t="n"/>
      <c r="AM381" s="643" t="n"/>
      <c r="AQ381" s="643" t="n"/>
      <c r="AU381" s="643" t="n"/>
      <c r="AY381" s="643" t="n"/>
      <c r="BC381" s="643" t="n"/>
      <c r="BG381" s="643" t="n"/>
    </row>
    <row r="382" s="1168" customFormat="1" ht="12.75" customHeight="1">
      <c r="F382" s="643" t="n"/>
      <c r="K382" s="643" t="n"/>
      <c r="O382" s="643" t="n"/>
      <c r="S382" s="643" t="n"/>
      <c r="W382" s="643" t="n"/>
      <c r="AA382" s="643" t="n"/>
      <c r="AE382" s="643" t="n"/>
      <c r="AI382" s="643" t="n"/>
      <c r="AM382" s="643" t="n"/>
      <c r="AQ382" s="643" t="n"/>
      <c r="AU382" s="643" t="n"/>
      <c r="AY382" s="643" t="n"/>
      <c r="BC382" s="643" t="n"/>
      <c r="BG382" s="643" t="n"/>
    </row>
    <row r="383" s="1168" customFormat="1" ht="12.75" customHeight="1">
      <c r="F383" s="643" t="n"/>
      <c r="K383" s="643" t="n"/>
      <c r="O383" s="643" t="n"/>
      <c r="S383" s="643" t="n"/>
      <c r="W383" s="643" t="n"/>
      <c r="AA383" s="643" t="n"/>
      <c r="AE383" s="643" t="n"/>
      <c r="AI383" s="643" t="n"/>
      <c r="AM383" s="643" t="n"/>
      <c r="AQ383" s="643" t="n"/>
      <c r="AU383" s="643" t="n"/>
      <c r="AY383" s="643" t="n"/>
      <c r="BC383" s="643" t="n"/>
      <c r="BG383" s="643" t="n"/>
    </row>
    <row r="384" s="1168" customFormat="1" ht="12.75" customHeight="1">
      <c r="F384" s="643" t="n"/>
      <c r="K384" s="643" t="n"/>
      <c r="O384" s="643" t="n"/>
      <c r="S384" s="643" t="n"/>
      <c r="W384" s="643" t="n"/>
      <c r="AA384" s="643" t="n"/>
      <c r="AE384" s="643" t="n"/>
      <c r="AI384" s="643" t="n"/>
      <c r="AM384" s="643" t="n"/>
      <c r="AQ384" s="643" t="n"/>
      <c r="AU384" s="643" t="n"/>
      <c r="AY384" s="643" t="n"/>
      <c r="BC384" s="643" t="n"/>
      <c r="BG384" s="643" t="n"/>
    </row>
    <row r="385" s="1168" customFormat="1" ht="12.75" customHeight="1">
      <c r="F385" s="643" t="n"/>
      <c r="K385" s="643" t="n"/>
      <c r="O385" s="643" t="n"/>
      <c r="S385" s="643" t="n"/>
      <c r="W385" s="643" t="n"/>
      <c r="AA385" s="643" t="n"/>
      <c r="AE385" s="643" t="n"/>
      <c r="AI385" s="643" t="n"/>
      <c r="AM385" s="643" t="n"/>
      <c r="AQ385" s="643" t="n"/>
      <c r="AU385" s="643" t="n"/>
      <c r="AY385" s="643" t="n"/>
      <c r="BC385" s="643" t="n"/>
      <c r="BG385" s="643" t="n"/>
    </row>
    <row r="386" s="1168" customFormat="1" ht="12.75" customHeight="1">
      <c r="F386" s="643" t="n"/>
      <c r="K386" s="643" t="n"/>
      <c r="O386" s="643" t="n"/>
      <c r="S386" s="643" t="n"/>
      <c r="W386" s="643" t="n"/>
      <c r="AA386" s="643" t="n"/>
      <c r="AE386" s="643" t="n"/>
      <c r="AI386" s="643" t="n"/>
      <c r="AM386" s="643" t="n"/>
      <c r="AQ386" s="643" t="n"/>
      <c r="AU386" s="643" t="n"/>
      <c r="AY386" s="643" t="n"/>
      <c r="BC386" s="643" t="n"/>
      <c r="BG386" s="643" t="n"/>
    </row>
    <row r="387" s="1168" customFormat="1" ht="12.75" customHeight="1">
      <c r="F387" s="643" t="n"/>
      <c r="K387" s="643" t="n"/>
      <c r="O387" s="643" t="n"/>
      <c r="S387" s="643" t="n"/>
      <c r="W387" s="643" t="n"/>
      <c r="AA387" s="643" t="n"/>
      <c r="AE387" s="643" t="n"/>
      <c r="AI387" s="643" t="n"/>
      <c r="AM387" s="643" t="n"/>
      <c r="AQ387" s="643" t="n"/>
      <c r="AU387" s="643" t="n"/>
      <c r="AY387" s="643" t="n"/>
      <c r="BC387" s="643" t="n"/>
      <c r="BG387" s="643" t="n"/>
    </row>
    <row r="388" s="1168" customFormat="1" ht="12.75" customHeight="1">
      <c r="F388" s="643" t="n"/>
      <c r="K388" s="643" t="n"/>
      <c r="O388" s="643" t="n"/>
      <c r="S388" s="643" t="n"/>
      <c r="W388" s="643" t="n"/>
      <c r="AA388" s="643" t="n"/>
      <c r="AE388" s="643" t="n"/>
      <c r="AI388" s="643" t="n"/>
      <c r="AM388" s="643" t="n"/>
      <c r="AQ388" s="643" t="n"/>
      <c r="AU388" s="643" t="n"/>
      <c r="AY388" s="643" t="n"/>
      <c r="BC388" s="643" t="n"/>
      <c r="BG388" s="643" t="n"/>
    </row>
    <row r="389" s="1168" customFormat="1" ht="12.75" customHeight="1">
      <c r="F389" s="643" t="n"/>
      <c r="K389" s="643" t="n"/>
      <c r="O389" s="643" t="n"/>
      <c r="S389" s="643" t="n"/>
      <c r="W389" s="643" t="n"/>
      <c r="AA389" s="643" t="n"/>
      <c r="AE389" s="643" t="n"/>
      <c r="AI389" s="643" t="n"/>
      <c r="AM389" s="643" t="n"/>
      <c r="AQ389" s="643" t="n"/>
      <c r="AU389" s="643" t="n"/>
      <c r="AY389" s="643" t="n"/>
      <c r="BC389" s="643" t="n"/>
      <c r="BG389" s="643" t="n"/>
    </row>
    <row r="390" s="1168" customFormat="1" ht="12.75" customHeight="1">
      <c r="F390" s="643" t="n"/>
      <c r="K390" s="643" t="n"/>
      <c r="O390" s="643" t="n"/>
      <c r="S390" s="643" t="n"/>
      <c r="W390" s="643" t="n"/>
      <c r="AA390" s="643" t="n"/>
      <c r="AE390" s="643" t="n"/>
      <c r="AI390" s="643" t="n"/>
      <c r="AM390" s="643" t="n"/>
      <c r="AQ390" s="643" t="n"/>
      <c r="AU390" s="643" t="n"/>
      <c r="AY390" s="643" t="n"/>
      <c r="BC390" s="643" t="n"/>
      <c r="BG390" s="643" t="n"/>
    </row>
    <row r="391" s="1168" customFormat="1" ht="12.75" customHeight="1">
      <c r="F391" s="643" t="n"/>
      <c r="K391" s="643" t="n"/>
      <c r="O391" s="643" t="n"/>
      <c r="S391" s="643" t="n"/>
      <c r="W391" s="643" t="n"/>
      <c r="AA391" s="643" t="n"/>
      <c r="AE391" s="643" t="n"/>
      <c r="AI391" s="643" t="n"/>
      <c r="AM391" s="643" t="n"/>
      <c r="AQ391" s="643" t="n"/>
      <c r="AU391" s="643" t="n"/>
      <c r="AY391" s="643" t="n"/>
      <c r="BC391" s="643" t="n"/>
      <c r="BG391" s="643" t="n"/>
    </row>
    <row r="392" s="1168" customFormat="1" ht="12.75" customHeight="1">
      <c r="F392" s="643" t="n"/>
      <c r="K392" s="643" t="n"/>
      <c r="O392" s="643" t="n"/>
      <c r="S392" s="643" t="n"/>
      <c r="W392" s="643" t="n"/>
      <c r="AA392" s="643" t="n"/>
      <c r="AE392" s="643" t="n"/>
      <c r="AI392" s="643" t="n"/>
      <c r="AM392" s="643" t="n"/>
      <c r="AQ392" s="643" t="n"/>
      <c r="AU392" s="643" t="n"/>
      <c r="AY392" s="643" t="n"/>
      <c r="BC392" s="643" t="n"/>
      <c r="BG392" s="643" t="n"/>
    </row>
    <row r="393" s="1168" customFormat="1" ht="12.75" customHeight="1">
      <c r="F393" s="643" t="n"/>
      <c r="K393" s="643" t="n"/>
      <c r="O393" s="643" t="n"/>
      <c r="S393" s="643" t="n"/>
      <c r="W393" s="643" t="n"/>
      <c r="AA393" s="643" t="n"/>
      <c r="AE393" s="643" t="n"/>
      <c r="AI393" s="643" t="n"/>
      <c r="AM393" s="643" t="n"/>
      <c r="AQ393" s="643" t="n"/>
      <c r="AU393" s="643" t="n"/>
      <c r="AY393" s="643" t="n"/>
      <c r="BC393" s="643" t="n"/>
      <c r="BG393" s="643" t="n"/>
    </row>
    <row r="394" s="1168" customFormat="1" ht="12.75" customHeight="1">
      <c r="F394" s="643" t="n"/>
      <c r="K394" s="643" t="n"/>
      <c r="O394" s="643" t="n"/>
      <c r="S394" s="643" t="n"/>
      <c r="W394" s="643" t="n"/>
      <c r="AA394" s="643" t="n"/>
      <c r="AE394" s="643" t="n"/>
      <c r="AI394" s="643" t="n"/>
      <c r="AM394" s="643" t="n"/>
      <c r="AQ394" s="643" t="n"/>
      <c r="AU394" s="643" t="n"/>
      <c r="AY394" s="643" t="n"/>
      <c r="BC394" s="643" t="n"/>
      <c r="BG394" s="643" t="n"/>
    </row>
    <row r="395" s="1168" customFormat="1" ht="12.75" customHeight="1">
      <c r="F395" s="643" t="n"/>
      <c r="K395" s="643" t="n"/>
      <c r="O395" s="643" t="n"/>
      <c r="S395" s="643" t="n"/>
      <c r="W395" s="643" t="n"/>
      <c r="AA395" s="643" t="n"/>
      <c r="AE395" s="643" t="n"/>
      <c r="AI395" s="643" t="n"/>
      <c r="AM395" s="643" t="n"/>
      <c r="AQ395" s="643" t="n"/>
      <c r="AU395" s="643" t="n"/>
      <c r="AY395" s="643" t="n"/>
      <c r="BC395" s="643" t="n"/>
      <c r="BG395" s="643" t="n"/>
    </row>
    <row r="396" s="1168" customFormat="1" ht="12.75" customHeight="1">
      <c r="F396" s="643" t="n"/>
      <c r="K396" s="643" t="n"/>
      <c r="O396" s="643" t="n"/>
      <c r="S396" s="643" t="n"/>
      <c r="W396" s="643" t="n"/>
      <c r="AA396" s="643" t="n"/>
      <c r="AE396" s="643" t="n"/>
      <c r="AI396" s="643" t="n"/>
      <c r="AM396" s="643" t="n"/>
      <c r="AQ396" s="643" t="n"/>
      <c r="AU396" s="643" t="n"/>
      <c r="AY396" s="643" t="n"/>
      <c r="BC396" s="643" t="n"/>
      <c r="BG396" s="643" t="n"/>
    </row>
    <row r="397" s="1168" customFormat="1" ht="12.75" customHeight="1">
      <c r="F397" s="643" t="n"/>
      <c r="K397" s="643" t="n"/>
      <c r="O397" s="643" t="n"/>
      <c r="S397" s="643" t="n"/>
      <c r="W397" s="643" t="n"/>
      <c r="AA397" s="643" t="n"/>
      <c r="AE397" s="643" t="n"/>
      <c r="AI397" s="643" t="n"/>
      <c r="AM397" s="643" t="n"/>
      <c r="AQ397" s="643" t="n"/>
      <c r="AU397" s="643" t="n"/>
      <c r="AY397" s="643" t="n"/>
      <c r="BC397" s="643" t="n"/>
      <c r="BG397" s="643" t="n"/>
    </row>
    <row r="398" s="1168" customFormat="1" ht="12.75" customHeight="1">
      <c r="F398" s="643" t="n"/>
      <c r="K398" s="643" t="n"/>
      <c r="O398" s="643" t="n"/>
      <c r="S398" s="643" t="n"/>
      <c r="W398" s="643" t="n"/>
      <c r="AA398" s="643" t="n"/>
      <c r="AE398" s="643" t="n"/>
      <c r="AI398" s="643" t="n"/>
      <c r="AM398" s="643" t="n"/>
      <c r="AQ398" s="643" t="n"/>
      <c r="AU398" s="643" t="n"/>
      <c r="AY398" s="643" t="n"/>
      <c r="BC398" s="643" t="n"/>
      <c r="BG398" s="643" t="n"/>
    </row>
    <row r="399" s="1168" customFormat="1" ht="12.75" customHeight="1">
      <c r="F399" s="643" t="n"/>
      <c r="K399" s="643" t="n"/>
      <c r="O399" s="643" t="n"/>
      <c r="S399" s="643" t="n"/>
      <c r="W399" s="643" t="n"/>
      <c r="AA399" s="643" t="n"/>
      <c r="AE399" s="643" t="n"/>
      <c r="AI399" s="643" t="n"/>
      <c r="AM399" s="643" t="n"/>
      <c r="AQ399" s="643" t="n"/>
      <c r="AU399" s="643" t="n"/>
      <c r="AY399" s="643" t="n"/>
      <c r="BC399" s="643" t="n"/>
      <c r="BG399" s="643" t="n"/>
    </row>
    <row r="400" s="1168" customFormat="1" ht="12.75" customHeight="1">
      <c r="F400" s="643" t="n"/>
      <c r="K400" s="643" t="n"/>
      <c r="O400" s="643" t="n"/>
      <c r="S400" s="643" t="n"/>
      <c r="W400" s="643" t="n"/>
      <c r="AA400" s="643" t="n"/>
      <c r="AE400" s="643" t="n"/>
      <c r="AI400" s="643" t="n"/>
      <c r="AM400" s="643" t="n"/>
      <c r="AQ400" s="643" t="n"/>
      <c r="AU400" s="643" t="n"/>
      <c r="AY400" s="643" t="n"/>
      <c r="BC400" s="643" t="n"/>
      <c r="BG400" s="643" t="n"/>
    </row>
    <row r="401" s="1168" customFormat="1" ht="12.75" customHeight="1">
      <c r="F401" s="643" t="n"/>
      <c r="K401" s="643" t="n"/>
      <c r="O401" s="643" t="n"/>
      <c r="S401" s="643" t="n"/>
      <c r="W401" s="643" t="n"/>
      <c r="AA401" s="643" t="n"/>
      <c r="AE401" s="643" t="n"/>
      <c r="AI401" s="643" t="n"/>
      <c r="AM401" s="643" t="n"/>
      <c r="AQ401" s="643" t="n"/>
      <c r="AU401" s="643" t="n"/>
      <c r="AY401" s="643" t="n"/>
      <c r="BC401" s="643" t="n"/>
      <c r="BG401" s="643" t="n"/>
    </row>
    <row r="402" s="1168" customFormat="1" ht="12.75" customHeight="1">
      <c r="F402" s="643" t="n"/>
      <c r="K402" s="643" t="n"/>
      <c r="O402" s="643" t="n"/>
      <c r="S402" s="643" t="n"/>
      <c r="W402" s="643" t="n"/>
      <c r="AA402" s="643" t="n"/>
      <c r="AE402" s="643" t="n"/>
      <c r="AI402" s="643" t="n"/>
      <c r="AM402" s="643" t="n"/>
      <c r="AQ402" s="643" t="n"/>
      <c r="AU402" s="643" t="n"/>
      <c r="AY402" s="643" t="n"/>
      <c r="BC402" s="643" t="n"/>
      <c r="BG402" s="643" t="n"/>
    </row>
    <row r="403" s="1168" customFormat="1" ht="12.75" customHeight="1">
      <c r="F403" s="643" t="n"/>
      <c r="K403" s="643" t="n"/>
      <c r="O403" s="643" t="n"/>
      <c r="S403" s="643" t="n"/>
      <c r="W403" s="643" t="n"/>
      <c r="AA403" s="643" t="n"/>
      <c r="AE403" s="643" t="n"/>
      <c r="AI403" s="643" t="n"/>
      <c r="AM403" s="643" t="n"/>
      <c r="AQ403" s="643" t="n"/>
      <c r="AU403" s="643" t="n"/>
      <c r="AY403" s="643" t="n"/>
      <c r="BC403" s="643" t="n"/>
      <c r="BG403" s="643" t="n"/>
    </row>
    <row r="404" s="1168" customFormat="1" ht="12.75" customHeight="1">
      <c r="F404" s="643" t="n"/>
      <c r="K404" s="643" t="n"/>
      <c r="O404" s="643" t="n"/>
      <c r="S404" s="643" t="n"/>
      <c r="W404" s="643" t="n"/>
      <c r="AA404" s="643" t="n"/>
      <c r="AE404" s="643" t="n"/>
      <c r="AI404" s="643" t="n"/>
      <c r="AM404" s="643" t="n"/>
      <c r="AQ404" s="643" t="n"/>
      <c r="AU404" s="643" t="n"/>
      <c r="AY404" s="643" t="n"/>
      <c r="BC404" s="643" t="n"/>
      <c r="BG404" s="643" t="n"/>
    </row>
    <row r="405" s="1168" customFormat="1" ht="12.75" customHeight="1">
      <c r="F405" s="643" t="n"/>
      <c r="K405" s="643" t="n"/>
      <c r="O405" s="643" t="n"/>
      <c r="S405" s="643" t="n"/>
      <c r="W405" s="643" t="n"/>
      <c r="AA405" s="643" t="n"/>
      <c r="AE405" s="643" t="n"/>
      <c r="AI405" s="643" t="n"/>
      <c r="AM405" s="643" t="n"/>
      <c r="AQ405" s="643" t="n"/>
      <c r="AU405" s="643" t="n"/>
      <c r="AY405" s="643" t="n"/>
      <c r="BC405" s="643" t="n"/>
      <c r="BG405" s="643" t="n"/>
    </row>
    <row r="406" s="1168" customFormat="1" ht="12.75" customHeight="1">
      <c r="F406" s="643" t="n"/>
      <c r="K406" s="643" t="n"/>
      <c r="O406" s="643" t="n"/>
      <c r="S406" s="643" t="n"/>
      <c r="W406" s="643" t="n"/>
      <c r="AA406" s="643" t="n"/>
      <c r="AE406" s="643" t="n"/>
      <c r="AI406" s="643" t="n"/>
      <c r="AM406" s="643" t="n"/>
      <c r="AQ406" s="643" t="n"/>
      <c r="AU406" s="643" t="n"/>
      <c r="AY406" s="643" t="n"/>
      <c r="BC406" s="643" t="n"/>
      <c r="BG406" s="643" t="n"/>
    </row>
    <row r="407" s="1168" customFormat="1" ht="12.75" customHeight="1">
      <c r="F407" s="643" t="n"/>
      <c r="K407" s="643" t="n"/>
      <c r="O407" s="643" t="n"/>
      <c r="S407" s="643" t="n"/>
      <c r="W407" s="643" t="n"/>
      <c r="AA407" s="643" t="n"/>
      <c r="AE407" s="643" t="n"/>
      <c r="AI407" s="643" t="n"/>
      <c r="AM407" s="643" t="n"/>
      <c r="AQ407" s="643" t="n"/>
      <c r="AU407" s="643" t="n"/>
      <c r="AY407" s="643" t="n"/>
      <c r="BC407" s="643" t="n"/>
      <c r="BG407" s="643" t="n"/>
    </row>
    <row r="408" s="1168" customFormat="1" ht="12.75" customHeight="1">
      <c r="F408" s="643" t="n"/>
      <c r="K408" s="643" t="n"/>
      <c r="O408" s="643" t="n"/>
      <c r="S408" s="643" t="n"/>
      <c r="W408" s="643" t="n"/>
      <c r="AA408" s="643" t="n"/>
      <c r="AE408" s="643" t="n"/>
      <c r="AI408" s="643" t="n"/>
      <c r="AM408" s="643" t="n"/>
      <c r="AQ408" s="643" t="n"/>
      <c r="AU408" s="643" t="n"/>
      <c r="AY408" s="643" t="n"/>
      <c r="BC408" s="643" t="n"/>
      <c r="BG408" s="643" t="n"/>
    </row>
    <row r="409" s="1168" customFormat="1" ht="12.75" customHeight="1">
      <c r="F409" s="643" t="n"/>
      <c r="K409" s="643" t="n"/>
      <c r="O409" s="643" t="n"/>
      <c r="S409" s="643" t="n"/>
      <c r="W409" s="643" t="n"/>
      <c r="AA409" s="643" t="n"/>
      <c r="AE409" s="643" t="n"/>
      <c r="AI409" s="643" t="n"/>
      <c r="AM409" s="643" t="n"/>
      <c r="AQ409" s="643" t="n"/>
      <c r="AU409" s="643" t="n"/>
      <c r="AY409" s="643" t="n"/>
      <c r="BC409" s="643" t="n"/>
      <c r="BG409" s="643" t="n"/>
    </row>
    <row r="410" s="1168" customFormat="1" ht="12.75" customHeight="1">
      <c r="F410" s="643" t="n"/>
      <c r="K410" s="643" t="n"/>
      <c r="O410" s="643" t="n"/>
      <c r="S410" s="643" t="n"/>
      <c r="W410" s="643" t="n"/>
      <c r="AA410" s="643" t="n"/>
      <c r="AE410" s="643" t="n"/>
      <c r="AI410" s="643" t="n"/>
      <c r="AM410" s="643" t="n"/>
      <c r="AQ410" s="643" t="n"/>
      <c r="AU410" s="643" t="n"/>
      <c r="AY410" s="643" t="n"/>
      <c r="BC410" s="643" t="n"/>
      <c r="BG410" s="643" t="n"/>
    </row>
    <row r="411" s="1168" customFormat="1" ht="12.75" customHeight="1">
      <c r="F411" s="643" t="n"/>
      <c r="K411" s="643" t="n"/>
      <c r="O411" s="643" t="n"/>
      <c r="S411" s="643" t="n"/>
      <c r="W411" s="643" t="n"/>
      <c r="AA411" s="643" t="n"/>
      <c r="AE411" s="643" t="n"/>
      <c r="AI411" s="643" t="n"/>
      <c r="AM411" s="643" t="n"/>
      <c r="AQ411" s="643" t="n"/>
      <c r="AU411" s="643" t="n"/>
      <c r="AY411" s="643" t="n"/>
      <c r="BC411" s="643" t="n"/>
      <c r="BG411" s="643" t="n"/>
    </row>
    <row r="412" s="1168" customFormat="1" ht="12.75" customHeight="1">
      <c r="F412" s="643" t="n"/>
      <c r="K412" s="643" t="n"/>
      <c r="O412" s="643" t="n"/>
      <c r="S412" s="643" t="n"/>
      <c r="W412" s="643" t="n"/>
      <c r="AA412" s="643" t="n"/>
      <c r="AE412" s="643" t="n"/>
      <c r="AI412" s="643" t="n"/>
      <c r="AM412" s="643" t="n"/>
      <c r="AQ412" s="643" t="n"/>
      <c r="AU412" s="643" t="n"/>
      <c r="AY412" s="643" t="n"/>
      <c r="BC412" s="643" t="n"/>
      <c r="BG412" s="643" t="n"/>
    </row>
    <row r="413" s="1168" customFormat="1" ht="12.75" customHeight="1">
      <c r="F413" s="643" t="n"/>
      <c r="K413" s="643" t="n"/>
      <c r="O413" s="643" t="n"/>
      <c r="S413" s="643" t="n"/>
      <c r="W413" s="643" t="n"/>
      <c r="AA413" s="643" t="n"/>
      <c r="AE413" s="643" t="n"/>
      <c r="AI413" s="643" t="n"/>
      <c r="AM413" s="643" t="n"/>
      <c r="AQ413" s="643" t="n"/>
      <c r="AU413" s="643" t="n"/>
      <c r="AY413" s="643" t="n"/>
      <c r="BC413" s="643" t="n"/>
      <c r="BG413" s="643" t="n"/>
    </row>
    <row r="414" s="1168" customFormat="1" ht="12.75" customHeight="1">
      <c r="F414" s="643" t="n"/>
      <c r="K414" s="643" t="n"/>
      <c r="O414" s="643" t="n"/>
      <c r="S414" s="643" t="n"/>
      <c r="W414" s="643" t="n"/>
      <c r="AA414" s="643" t="n"/>
      <c r="AE414" s="643" t="n"/>
      <c r="AI414" s="643" t="n"/>
      <c r="AM414" s="643" t="n"/>
      <c r="AQ414" s="643" t="n"/>
      <c r="AU414" s="643" t="n"/>
      <c r="AY414" s="643" t="n"/>
      <c r="BC414" s="643" t="n"/>
      <c r="BG414" s="643" t="n"/>
    </row>
    <row r="415" s="1168" customFormat="1" ht="12.75" customHeight="1">
      <c r="F415" s="643" t="n"/>
      <c r="K415" s="643" t="n"/>
      <c r="O415" s="643" t="n"/>
      <c r="S415" s="643" t="n"/>
      <c r="W415" s="643" t="n"/>
      <c r="AA415" s="643" t="n"/>
      <c r="AE415" s="643" t="n"/>
      <c r="AI415" s="643" t="n"/>
      <c r="AM415" s="643" t="n"/>
      <c r="AQ415" s="643" t="n"/>
      <c r="AU415" s="643" t="n"/>
      <c r="AY415" s="643" t="n"/>
      <c r="BC415" s="643" t="n"/>
      <c r="BG415" s="643" t="n"/>
    </row>
    <row r="416" s="1168" customFormat="1" ht="12.75" customHeight="1">
      <c r="F416" s="643" t="n"/>
      <c r="K416" s="643" t="n"/>
      <c r="O416" s="643" t="n"/>
      <c r="S416" s="643" t="n"/>
      <c r="W416" s="643" t="n"/>
      <c r="AA416" s="643" t="n"/>
      <c r="AE416" s="643" t="n"/>
      <c r="AI416" s="643" t="n"/>
      <c r="AM416" s="643" t="n"/>
      <c r="AQ416" s="643" t="n"/>
      <c r="AU416" s="643" t="n"/>
      <c r="AY416" s="643" t="n"/>
      <c r="BC416" s="643" t="n"/>
      <c r="BG416" s="643" t="n"/>
    </row>
    <row r="417" s="1168" customFormat="1" ht="12.75" customHeight="1">
      <c r="F417" s="643" t="n"/>
      <c r="K417" s="643" t="n"/>
      <c r="O417" s="643" t="n"/>
      <c r="S417" s="643" t="n"/>
      <c r="W417" s="643" t="n"/>
      <c r="AA417" s="643" t="n"/>
      <c r="AE417" s="643" t="n"/>
      <c r="AI417" s="643" t="n"/>
      <c r="AM417" s="643" t="n"/>
      <c r="AQ417" s="643" t="n"/>
      <c r="AU417" s="643" t="n"/>
      <c r="AY417" s="643" t="n"/>
      <c r="BC417" s="643" t="n"/>
      <c r="BG417" s="643" t="n"/>
    </row>
    <row r="418" s="1168" customFormat="1" ht="12.75" customHeight="1">
      <c r="F418" s="643" t="n"/>
      <c r="K418" s="643" t="n"/>
      <c r="O418" s="643" t="n"/>
      <c r="S418" s="643" t="n"/>
      <c r="W418" s="643" t="n"/>
      <c r="AA418" s="643" t="n"/>
      <c r="AE418" s="643" t="n"/>
      <c r="AI418" s="643" t="n"/>
      <c r="AM418" s="643" t="n"/>
      <c r="AQ418" s="643" t="n"/>
      <c r="AU418" s="643" t="n"/>
      <c r="AY418" s="643" t="n"/>
      <c r="BC418" s="643" t="n"/>
      <c r="BG418" s="643" t="n"/>
    </row>
    <row r="419" s="1168" customFormat="1" ht="12.75" customHeight="1">
      <c r="F419" s="643" t="n"/>
      <c r="K419" s="643" t="n"/>
      <c r="O419" s="643" t="n"/>
      <c r="S419" s="643" t="n"/>
      <c r="W419" s="643" t="n"/>
      <c r="AA419" s="643" t="n"/>
      <c r="AE419" s="643" t="n"/>
      <c r="AI419" s="643" t="n"/>
      <c r="AM419" s="643" t="n"/>
      <c r="AQ419" s="643" t="n"/>
      <c r="AU419" s="643" t="n"/>
      <c r="AY419" s="643" t="n"/>
      <c r="BC419" s="643" t="n"/>
      <c r="BG419" s="643" t="n"/>
    </row>
    <row r="420" s="1168" customFormat="1" ht="12.75" customHeight="1">
      <c r="F420" s="643" t="n"/>
      <c r="K420" s="643" t="n"/>
      <c r="O420" s="643" t="n"/>
      <c r="S420" s="643" t="n"/>
      <c r="W420" s="643" t="n"/>
      <c r="AA420" s="643" t="n"/>
      <c r="AE420" s="643" t="n"/>
      <c r="AI420" s="643" t="n"/>
      <c r="AM420" s="643" t="n"/>
      <c r="AQ420" s="643" t="n"/>
      <c r="AU420" s="643" t="n"/>
      <c r="AY420" s="643" t="n"/>
      <c r="BC420" s="643" t="n"/>
      <c r="BG420" s="643" t="n"/>
    </row>
    <row r="421" s="1168" customFormat="1" ht="12.75" customHeight="1">
      <c r="F421" s="643" t="n"/>
      <c r="K421" s="643" t="n"/>
      <c r="O421" s="643" t="n"/>
      <c r="S421" s="643" t="n"/>
      <c r="W421" s="643" t="n"/>
      <c r="AA421" s="643" t="n"/>
      <c r="AE421" s="643" t="n"/>
      <c r="AI421" s="643" t="n"/>
      <c r="AM421" s="643" t="n"/>
      <c r="AQ421" s="643" t="n"/>
      <c r="AU421" s="643" t="n"/>
      <c r="AY421" s="643" t="n"/>
      <c r="BC421" s="643" t="n"/>
      <c r="BG421" s="643" t="n"/>
    </row>
    <row r="422" s="1168" customFormat="1" ht="12.75" customHeight="1">
      <c r="F422" s="643" t="n"/>
      <c r="K422" s="643" t="n"/>
      <c r="O422" s="643" t="n"/>
      <c r="S422" s="643" t="n"/>
      <c r="W422" s="643" t="n"/>
      <c r="AA422" s="643" t="n"/>
      <c r="AE422" s="643" t="n"/>
      <c r="AI422" s="643" t="n"/>
      <c r="AM422" s="643" t="n"/>
      <c r="AQ422" s="643" t="n"/>
      <c r="AU422" s="643" t="n"/>
      <c r="AY422" s="643" t="n"/>
      <c r="BC422" s="643" t="n"/>
      <c r="BG422" s="643" t="n"/>
    </row>
    <row r="423" s="1168" customFormat="1" ht="12.75" customHeight="1">
      <c r="F423" s="643" t="n"/>
      <c r="K423" s="643" t="n"/>
      <c r="O423" s="643" t="n"/>
      <c r="S423" s="643" t="n"/>
      <c r="W423" s="643" t="n"/>
      <c r="AA423" s="643" t="n"/>
      <c r="AE423" s="643" t="n"/>
      <c r="AI423" s="643" t="n"/>
      <c r="AM423" s="643" t="n"/>
      <c r="AQ423" s="643" t="n"/>
      <c r="AU423" s="643" t="n"/>
      <c r="AY423" s="643" t="n"/>
      <c r="BC423" s="643" t="n"/>
      <c r="BG423" s="643" t="n"/>
    </row>
    <row r="424" s="1168" customFormat="1" ht="12.75" customHeight="1">
      <c r="F424" s="643" t="n"/>
      <c r="K424" s="643" t="n"/>
      <c r="O424" s="643" t="n"/>
      <c r="S424" s="643" t="n"/>
      <c r="W424" s="643" t="n"/>
      <c r="AA424" s="643" t="n"/>
      <c r="AE424" s="643" t="n"/>
      <c r="AI424" s="643" t="n"/>
      <c r="AM424" s="643" t="n"/>
      <c r="AQ424" s="643" t="n"/>
      <c r="AU424" s="643" t="n"/>
      <c r="AY424" s="643" t="n"/>
      <c r="BC424" s="643" t="n"/>
      <c r="BG424" s="643" t="n"/>
    </row>
    <row r="425" s="1168" customFormat="1" ht="12.75" customHeight="1">
      <c r="F425" s="643" t="n"/>
      <c r="K425" s="643" t="n"/>
      <c r="O425" s="643" t="n"/>
      <c r="S425" s="643" t="n"/>
      <c r="W425" s="643" t="n"/>
      <c r="AA425" s="643" t="n"/>
      <c r="AE425" s="643" t="n"/>
      <c r="AI425" s="643" t="n"/>
      <c r="AM425" s="643" t="n"/>
      <c r="AQ425" s="643" t="n"/>
      <c r="AU425" s="643" t="n"/>
      <c r="AY425" s="643" t="n"/>
      <c r="BC425" s="643" t="n"/>
      <c r="BG425" s="643" t="n"/>
    </row>
    <row r="426" s="1168" customFormat="1" ht="12.75" customHeight="1">
      <c r="F426" s="643" t="n"/>
      <c r="K426" s="643" t="n"/>
      <c r="O426" s="643" t="n"/>
      <c r="S426" s="643" t="n"/>
      <c r="W426" s="643" t="n"/>
      <c r="AA426" s="643" t="n"/>
      <c r="AE426" s="643" t="n"/>
      <c r="AI426" s="643" t="n"/>
      <c r="AM426" s="643" t="n"/>
      <c r="AQ426" s="643" t="n"/>
      <c r="AU426" s="643" t="n"/>
      <c r="AY426" s="643" t="n"/>
      <c r="BC426" s="643" t="n"/>
      <c r="BG426" s="643" t="n"/>
    </row>
    <row r="427" s="1168" customFormat="1" ht="12.75" customHeight="1">
      <c r="F427" s="643" t="n"/>
      <c r="K427" s="643" t="n"/>
      <c r="O427" s="643" t="n"/>
      <c r="S427" s="643" t="n"/>
      <c r="W427" s="643" t="n"/>
      <c r="AA427" s="643" t="n"/>
      <c r="AE427" s="643" t="n"/>
      <c r="AI427" s="643" t="n"/>
      <c r="AM427" s="643" t="n"/>
      <c r="AQ427" s="643" t="n"/>
      <c r="AU427" s="643" t="n"/>
      <c r="AY427" s="643" t="n"/>
      <c r="BC427" s="643" t="n"/>
      <c r="BG427" s="643" t="n"/>
    </row>
    <row r="428" s="1168" customFormat="1" ht="12.75" customHeight="1">
      <c r="F428" s="643" t="n"/>
      <c r="K428" s="643" t="n"/>
      <c r="O428" s="643" t="n"/>
      <c r="S428" s="643" t="n"/>
      <c r="W428" s="643" t="n"/>
      <c r="AA428" s="643" t="n"/>
      <c r="AE428" s="643" t="n"/>
      <c r="AI428" s="643" t="n"/>
      <c r="AM428" s="643" t="n"/>
      <c r="AQ428" s="643" t="n"/>
      <c r="AU428" s="643" t="n"/>
      <c r="AY428" s="643" t="n"/>
      <c r="BC428" s="643" t="n"/>
      <c r="BG428" s="643" t="n"/>
    </row>
    <row r="429" s="1168" customFormat="1" ht="12.75" customHeight="1">
      <c r="F429" s="643" t="n"/>
      <c r="K429" s="643" t="n"/>
      <c r="O429" s="643" t="n"/>
      <c r="S429" s="643" t="n"/>
      <c r="W429" s="643" t="n"/>
      <c r="AA429" s="643" t="n"/>
      <c r="AE429" s="643" t="n"/>
      <c r="AI429" s="643" t="n"/>
      <c r="AM429" s="643" t="n"/>
      <c r="AQ429" s="643" t="n"/>
      <c r="AU429" s="643" t="n"/>
      <c r="AY429" s="643" t="n"/>
      <c r="BC429" s="643" t="n"/>
      <c r="BG429" s="643" t="n"/>
    </row>
    <row r="430" s="1168" customFormat="1" ht="12.75" customHeight="1">
      <c r="F430" s="643" t="n"/>
      <c r="K430" s="643" t="n"/>
      <c r="O430" s="643" t="n"/>
      <c r="S430" s="643" t="n"/>
      <c r="W430" s="643" t="n"/>
      <c r="AA430" s="643" t="n"/>
      <c r="AE430" s="643" t="n"/>
      <c r="AI430" s="643" t="n"/>
      <c r="AM430" s="643" t="n"/>
      <c r="AQ430" s="643" t="n"/>
      <c r="AU430" s="643" t="n"/>
      <c r="AY430" s="643" t="n"/>
      <c r="BC430" s="643" t="n"/>
      <c r="BG430" s="643" t="n"/>
    </row>
    <row r="431" s="1168" customFormat="1" ht="12.75" customHeight="1">
      <c r="F431" s="643" t="n"/>
      <c r="K431" s="643" t="n"/>
      <c r="O431" s="643" t="n"/>
      <c r="S431" s="643" t="n"/>
      <c r="W431" s="643" t="n"/>
      <c r="AA431" s="643" t="n"/>
      <c r="AE431" s="643" t="n"/>
      <c r="AI431" s="643" t="n"/>
      <c r="AM431" s="643" t="n"/>
      <c r="AQ431" s="643" t="n"/>
      <c r="AU431" s="643" t="n"/>
      <c r="AY431" s="643" t="n"/>
      <c r="BC431" s="643" t="n"/>
      <c r="BG431" s="643" t="n"/>
    </row>
    <row r="432" s="1168" customFormat="1" ht="12.75" customHeight="1">
      <c r="F432" s="643" t="n"/>
      <c r="K432" s="643" t="n"/>
      <c r="O432" s="643" t="n"/>
      <c r="S432" s="643" t="n"/>
      <c r="W432" s="643" t="n"/>
      <c r="AA432" s="643" t="n"/>
      <c r="AE432" s="643" t="n"/>
      <c r="AI432" s="643" t="n"/>
      <c r="AM432" s="643" t="n"/>
      <c r="AQ432" s="643" t="n"/>
      <c r="AU432" s="643" t="n"/>
      <c r="AY432" s="643" t="n"/>
      <c r="BC432" s="643" t="n"/>
      <c r="BG432" s="643" t="n"/>
    </row>
    <row r="433" s="1168" customFormat="1" ht="12.75" customHeight="1">
      <c r="F433" s="643" t="n"/>
      <c r="K433" s="643" t="n"/>
      <c r="O433" s="643" t="n"/>
      <c r="S433" s="643" t="n"/>
      <c r="W433" s="643" t="n"/>
      <c r="AA433" s="643" t="n"/>
      <c r="AE433" s="643" t="n"/>
      <c r="AI433" s="643" t="n"/>
      <c r="AM433" s="643" t="n"/>
      <c r="AQ433" s="643" t="n"/>
      <c r="AU433" s="643" t="n"/>
      <c r="AY433" s="643" t="n"/>
      <c r="BC433" s="643" t="n"/>
      <c r="BG433" s="643" t="n"/>
    </row>
    <row r="434" s="1168" customFormat="1" ht="12.75" customHeight="1">
      <c r="F434" s="643" t="n"/>
      <c r="K434" s="643" t="n"/>
      <c r="O434" s="643" t="n"/>
      <c r="S434" s="643" t="n"/>
      <c r="W434" s="643" t="n"/>
      <c r="AA434" s="643" t="n"/>
      <c r="AE434" s="643" t="n"/>
      <c r="AI434" s="643" t="n"/>
      <c r="AM434" s="643" t="n"/>
      <c r="AQ434" s="643" t="n"/>
      <c r="AU434" s="643" t="n"/>
      <c r="AY434" s="643" t="n"/>
      <c r="BC434" s="643" t="n"/>
      <c r="BG434" s="643" t="n"/>
    </row>
    <row r="435" s="1168" customFormat="1" ht="12.75" customHeight="1">
      <c r="F435" s="643" t="n"/>
      <c r="K435" s="643" t="n"/>
      <c r="O435" s="643" t="n"/>
      <c r="S435" s="643" t="n"/>
      <c r="W435" s="643" t="n"/>
      <c r="AA435" s="643" t="n"/>
      <c r="AE435" s="643" t="n"/>
      <c r="AI435" s="643" t="n"/>
      <c r="AM435" s="643" t="n"/>
      <c r="AQ435" s="643" t="n"/>
      <c r="AU435" s="643" t="n"/>
      <c r="AY435" s="643" t="n"/>
      <c r="BC435" s="643" t="n"/>
      <c r="BG435" s="643" t="n"/>
    </row>
    <row r="436" s="1168" customFormat="1" ht="12.75" customHeight="1">
      <c r="F436" s="643" t="n"/>
      <c r="K436" s="643" t="n"/>
      <c r="O436" s="643" t="n"/>
      <c r="S436" s="643" t="n"/>
      <c r="W436" s="643" t="n"/>
      <c r="AA436" s="643" t="n"/>
      <c r="AE436" s="643" t="n"/>
      <c r="AI436" s="643" t="n"/>
      <c r="AM436" s="643" t="n"/>
      <c r="AQ436" s="643" t="n"/>
      <c r="AU436" s="643" t="n"/>
      <c r="AY436" s="643" t="n"/>
      <c r="BC436" s="643" t="n"/>
      <c r="BG436" s="643" t="n"/>
    </row>
    <row r="437" s="1168" customFormat="1" ht="12.75" customHeight="1">
      <c r="F437" s="643" t="n"/>
      <c r="K437" s="643" t="n"/>
      <c r="O437" s="643" t="n"/>
      <c r="S437" s="643" t="n"/>
      <c r="W437" s="643" t="n"/>
      <c r="AA437" s="643" t="n"/>
      <c r="AE437" s="643" t="n"/>
      <c r="AI437" s="643" t="n"/>
      <c r="AM437" s="643" t="n"/>
      <c r="AQ437" s="643" t="n"/>
      <c r="AU437" s="643" t="n"/>
      <c r="AY437" s="643" t="n"/>
      <c r="BC437" s="643" t="n"/>
      <c r="BG437" s="643" t="n"/>
    </row>
    <row r="438" s="1168" customFormat="1" ht="12.75" customHeight="1">
      <c r="F438" s="643" t="n"/>
      <c r="K438" s="643" t="n"/>
      <c r="O438" s="643" t="n"/>
      <c r="S438" s="643" t="n"/>
      <c r="W438" s="643" t="n"/>
      <c r="AA438" s="643" t="n"/>
      <c r="AE438" s="643" t="n"/>
      <c r="AI438" s="643" t="n"/>
      <c r="AM438" s="643" t="n"/>
      <c r="AQ438" s="643" t="n"/>
      <c r="AU438" s="643" t="n"/>
      <c r="AY438" s="643" t="n"/>
      <c r="BC438" s="643" t="n"/>
      <c r="BG438" s="643" t="n"/>
    </row>
    <row r="439" s="1168" customFormat="1" ht="12.75" customHeight="1">
      <c r="F439" s="643" t="n"/>
      <c r="K439" s="643" t="n"/>
      <c r="O439" s="643" t="n"/>
      <c r="S439" s="643" t="n"/>
      <c r="W439" s="643" t="n"/>
      <c r="AA439" s="643" t="n"/>
      <c r="AE439" s="643" t="n"/>
      <c r="AI439" s="643" t="n"/>
      <c r="AM439" s="643" t="n"/>
      <c r="AQ439" s="643" t="n"/>
      <c r="AU439" s="643" t="n"/>
      <c r="AY439" s="643" t="n"/>
      <c r="BC439" s="643" t="n"/>
      <c r="BG439" s="643" t="n"/>
    </row>
    <row r="440" s="1168" customFormat="1" ht="12.75" customHeight="1">
      <c r="F440" s="643" t="n"/>
      <c r="K440" s="643" t="n"/>
      <c r="O440" s="643" t="n"/>
      <c r="S440" s="643" t="n"/>
      <c r="W440" s="643" t="n"/>
      <c r="AA440" s="643" t="n"/>
      <c r="AE440" s="643" t="n"/>
      <c r="AI440" s="643" t="n"/>
      <c r="AM440" s="643" t="n"/>
      <c r="AQ440" s="643" t="n"/>
      <c r="AU440" s="643" t="n"/>
      <c r="AY440" s="643" t="n"/>
      <c r="BC440" s="643" t="n"/>
      <c r="BG440" s="643" t="n"/>
    </row>
    <row r="441" s="1168" customFormat="1" ht="12.75" customHeight="1">
      <c r="F441" s="643" t="n"/>
      <c r="K441" s="643" t="n"/>
      <c r="O441" s="643" t="n"/>
      <c r="S441" s="643" t="n"/>
      <c r="W441" s="643" t="n"/>
      <c r="AA441" s="643" t="n"/>
      <c r="AE441" s="643" t="n"/>
      <c r="AI441" s="643" t="n"/>
      <c r="AM441" s="643" t="n"/>
      <c r="AQ441" s="643" t="n"/>
      <c r="AU441" s="643" t="n"/>
      <c r="AY441" s="643" t="n"/>
      <c r="BC441" s="643" t="n"/>
      <c r="BG441" s="643" t="n"/>
    </row>
    <row r="442" s="1168" customFormat="1" ht="12.75" customHeight="1">
      <c r="F442" s="643" t="n"/>
      <c r="K442" s="643" t="n"/>
      <c r="O442" s="643" t="n"/>
      <c r="S442" s="643" t="n"/>
      <c r="W442" s="643" t="n"/>
      <c r="AA442" s="643" t="n"/>
      <c r="AE442" s="643" t="n"/>
      <c r="AI442" s="643" t="n"/>
      <c r="AM442" s="643" t="n"/>
      <c r="AQ442" s="643" t="n"/>
      <c r="AU442" s="643" t="n"/>
      <c r="AY442" s="643" t="n"/>
      <c r="BC442" s="643" t="n"/>
      <c r="BG442" s="643" t="n"/>
    </row>
    <row r="443" s="1168" customFormat="1" ht="12.75" customHeight="1">
      <c r="F443" s="643" t="n"/>
      <c r="K443" s="643" t="n"/>
      <c r="O443" s="643" t="n"/>
      <c r="S443" s="643" t="n"/>
      <c r="W443" s="643" t="n"/>
      <c r="AA443" s="643" t="n"/>
      <c r="AE443" s="643" t="n"/>
      <c r="AI443" s="643" t="n"/>
      <c r="AM443" s="643" t="n"/>
      <c r="AQ443" s="643" t="n"/>
      <c r="AU443" s="643" t="n"/>
      <c r="AY443" s="643" t="n"/>
      <c r="BC443" s="643" t="n"/>
      <c r="BG443" s="643" t="n"/>
    </row>
    <row r="444" s="1168" customFormat="1" ht="12.75" customHeight="1">
      <c r="F444" s="643" t="n"/>
      <c r="K444" s="643" t="n"/>
      <c r="O444" s="643" t="n"/>
      <c r="S444" s="643" t="n"/>
      <c r="W444" s="643" t="n"/>
      <c r="AA444" s="643" t="n"/>
      <c r="AE444" s="643" t="n"/>
      <c r="AI444" s="643" t="n"/>
      <c r="AM444" s="643" t="n"/>
      <c r="AQ444" s="643" t="n"/>
      <c r="AU444" s="643" t="n"/>
      <c r="AY444" s="643" t="n"/>
      <c r="BC444" s="643" t="n"/>
      <c r="BG444" s="643" t="n"/>
    </row>
    <row r="445" s="1168" customFormat="1" ht="12.75" customHeight="1">
      <c r="F445" s="643" t="n"/>
      <c r="K445" s="643" t="n"/>
      <c r="O445" s="643" t="n"/>
      <c r="S445" s="643" t="n"/>
      <c r="W445" s="643" t="n"/>
      <c r="AA445" s="643" t="n"/>
      <c r="AE445" s="643" t="n"/>
      <c r="AI445" s="643" t="n"/>
      <c r="AM445" s="643" t="n"/>
      <c r="AQ445" s="643" t="n"/>
      <c r="AU445" s="643" t="n"/>
      <c r="AY445" s="643" t="n"/>
      <c r="BC445" s="643" t="n"/>
      <c r="BG445" s="643" t="n"/>
    </row>
    <row r="446" s="1168" customFormat="1" ht="12.75" customHeight="1">
      <c r="F446" s="643" t="n"/>
      <c r="K446" s="643" t="n"/>
      <c r="O446" s="643" t="n"/>
      <c r="S446" s="643" t="n"/>
      <c r="W446" s="643" t="n"/>
      <c r="AA446" s="643" t="n"/>
      <c r="AE446" s="643" t="n"/>
      <c r="AI446" s="643" t="n"/>
      <c r="AM446" s="643" t="n"/>
      <c r="AQ446" s="643" t="n"/>
      <c r="AU446" s="643" t="n"/>
      <c r="AY446" s="643" t="n"/>
      <c r="BC446" s="643" t="n"/>
      <c r="BG446" s="643" t="n"/>
    </row>
    <row r="447" s="1168" customFormat="1" ht="12.75" customHeight="1">
      <c r="F447" s="643" t="n"/>
      <c r="K447" s="643" t="n"/>
      <c r="O447" s="643" t="n"/>
      <c r="S447" s="643" t="n"/>
      <c r="W447" s="643" t="n"/>
      <c r="AA447" s="643" t="n"/>
      <c r="AE447" s="643" t="n"/>
      <c r="AI447" s="643" t="n"/>
      <c r="AM447" s="643" t="n"/>
      <c r="AQ447" s="643" t="n"/>
      <c r="AU447" s="643" t="n"/>
      <c r="AY447" s="643" t="n"/>
      <c r="BC447" s="643" t="n"/>
      <c r="BG447" s="643" t="n"/>
    </row>
    <row r="448" s="1168" customFormat="1" ht="12.75" customHeight="1">
      <c r="F448" s="643" t="n"/>
      <c r="K448" s="643" t="n"/>
      <c r="O448" s="643" t="n"/>
      <c r="S448" s="643" t="n"/>
      <c r="W448" s="643" t="n"/>
      <c r="AA448" s="643" t="n"/>
      <c r="AE448" s="643" t="n"/>
      <c r="AI448" s="643" t="n"/>
      <c r="AM448" s="643" t="n"/>
      <c r="AQ448" s="643" t="n"/>
      <c r="AU448" s="643" t="n"/>
      <c r="AY448" s="643" t="n"/>
      <c r="BC448" s="643" t="n"/>
      <c r="BG448" s="643" t="n"/>
    </row>
    <row r="449" s="1168" customFormat="1" ht="12.75" customHeight="1">
      <c r="F449" s="643" t="n"/>
      <c r="K449" s="643" t="n"/>
      <c r="O449" s="643" t="n"/>
      <c r="S449" s="643" t="n"/>
      <c r="W449" s="643" t="n"/>
      <c r="AA449" s="643" t="n"/>
      <c r="AE449" s="643" t="n"/>
      <c r="AI449" s="643" t="n"/>
      <c r="AM449" s="643" t="n"/>
      <c r="AQ449" s="643" t="n"/>
      <c r="AU449" s="643" t="n"/>
      <c r="AY449" s="643" t="n"/>
      <c r="BC449" s="643" t="n"/>
      <c r="BG449" s="643" t="n"/>
    </row>
    <row r="450" s="1168" customFormat="1" ht="12.75" customHeight="1">
      <c r="F450" s="643" t="n"/>
      <c r="K450" s="643" t="n"/>
      <c r="O450" s="643" t="n"/>
      <c r="S450" s="643" t="n"/>
      <c r="W450" s="643" t="n"/>
      <c r="AA450" s="643" t="n"/>
      <c r="AE450" s="643" t="n"/>
      <c r="AI450" s="643" t="n"/>
      <c r="AM450" s="643" t="n"/>
      <c r="AQ450" s="643" t="n"/>
      <c r="AU450" s="643" t="n"/>
      <c r="AY450" s="643" t="n"/>
      <c r="BC450" s="643" t="n"/>
      <c r="BG450" s="643" t="n"/>
    </row>
    <row r="451" s="1168" customFormat="1" ht="12.75" customHeight="1">
      <c r="F451" s="643" t="n"/>
      <c r="K451" s="643" t="n"/>
      <c r="O451" s="643" t="n"/>
      <c r="S451" s="643" t="n"/>
      <c r="W451" s="643" t="n"/>
      <c r="AA451" s="643" t="n"/>
      <c r="AE451" s="643" t="n"/>
      <c r="AI451" s="643" t="n"/>
      <c r="AM451" s="643" t="n"/>
      <c r="AQ451" s="643" t="n"/>
      <c r="AU451" s="643" t="n"/>
      <c r="AY451" s="643" t="n"/>
      <c r="BC451" s="643" t="n"/>
      <c r="BG451" s="643" t="n"/>
    </row>
    <row r="452" s="1168" customFormat="1" ht="12.75" customHeight="1">
      <c r="F452" s="643" t="n"/>
      <c r="K452" s="643" t="n"/>
      <c r="O452" s="643" t="n"/>
      <c r="S452" s="643" t="n"/>
      <c r="W452" s="643" t="n"/>
      <c r="AA452" s="643" t="n"/>
      <c r="AE452" s="643" t="n"/>
      <c r="AI452" s="643" t="n"/>
      <c r="AM452" s="643" t="n"/>
      <c r="AQ452" s="643" t="n"/>
      <c r="AU452" s="643" t="n"/>
      <c r="AY452" s="643" t="n"/>
      <c r="BC452" s="643" t="n"/>
      <c r="BG452" s="643" t="n"/>
    </row>
    <row r="453" s="1168" customFormat="1" ht="12.75" customHeight="1">
      <c r="F453" s="643" t="n"/>
      <c r="K453" s="643" t="n"/>
      <c r="O453" s="643" t="n"/>
      <c r="S453" s="643" t="n"/>
      <c r="W453" s="643" t="n"/>
      <c r="AA453" s="643" t="n"/>
      <c r="AE453" s="643" t="n"/>
      <c r="AI453" s="643" t="n"/>
      <c r="AM453" s="643" t="n"/>
      <c r="AQ453" s="643" t="n"/>
      <c r="AU453" s="643" t="n"/>
      <c r="AY453" s="643" t="n"/>
      <c r="BC453" s="643" t="n"/>
      <c r="BG453" s="643" t="n"/>
    </row>
    <row r="454" s="1168" customFormat="1" ht="12.75" customHeight="1">
      <c r="F454" s="643" t="n"/>
      <c r="K454" s="643" t="n"/>
      <c r="O454" s="643" t="n"/>
      <c r="S454" s="643" t="n"/>
      <c r="W454" s="643" t="n"/>
      <c r="AA454" s="643" t="n"/>
      <c r="AE454" s="643" t="n"/>
      <c r="AI454" s="643" t="n"/>
      <c r="AM454" s="643" t="n"/>
      <c r="AQ454" s="643" t="n"/>
      <c r="AU454" s="643" t="n"/>
      <c r="AY454" s="643" t="n"/>
      <c r="BC454" s="643" t="n"/>
      <c r="BG454" s="643" t="n"/>
    </row>
    <row r="455" s="1168" customFormat="1" ht="12.75" customHeight="1">
      <c r="F455" s="643" t="n"/>
      <c r="K455" s="643" t="n"/>
      <c r="O455" s="643" t="n"/>
      <c r="S455" s="643" t="n"/>
      <c r="W455" s="643" t="n"/>
      <c r="AA455" s="643" t="n"/>
      <c r="AE455" s="643" t="n"/>
      <c r="AI455" s="643" t="n"/>
      <c r="AM455" s="643" t="n"/>
      <c r="AQ455" s="643" t="n"/>
      <c r="AU455" s="643" t="n"/>
      <c r="AY455" s="643" t="n"/>
      <c r="BC455" s="643" t="n"/>
      <c r="BG455" s="643" t="n"/>
    </row>
    <row r="456" s="1168" customFormat="1" ht="12.75" customHeight="1">
      <c r="F456" s="643" t="n"/>
      <c r="K456" s="643" t="n"/>
      <c r="O456" s="643" t="n"/>
      <c r="S456" s="643" t="n"/>
      <c r="W456" s="643" t="n"/>
      <c r="AA456" s="643" t="n"/>
      <c r="AE456" s="643" t="n"/>
      <c r="AI456" s="643" t="n"/>
      <c r="AM456" s="643" t="n"/>
      <c r="AQ456" s="643" t="n"/>
      <c r="AU456" s="643" t="n"/>
      <c r="AY456" s="643" t="n"/>
      <c r="BC456" s="643" t="n"/>
      <c r="BG456" s="643" t="n"/>
    </row>
    <row r="457" s="1168" customFormat="1" ht="12.75" customHeight="1">
      <c r="F457" s="643" t="n"/>
      <c r="K457" s="643" t="n"/>
      <c r="O457" s="643" t="n"/>
      <c r="S457" s="643" t="n"/>
      <c r="W457" s="643" t="n"/>
      <c r="AA457" s="643" t="n"/>
      <c r="AE457" s="643" t="n"/>
      <c r="AI457" s="643" t="n"/>
      <c r="AM457" s="643" t="n"/>
      <c r="AQ457" s="643" t="n"/>
      <c r="AU457" s="643" t="n"/>
      <c r="AY457" s="643" t="n"/>
      <c r="BC457" s="643" t="n"/>
      <c r="BG457" s="643" t="n"/>
    </row>
    <row r="458" s="1168" customFormat="1" ht="12.75" customHeight="1">
      <c r="F458" s="643" t="n"/>
      <c r="K458" s="643" t="n"/>
      <c r="O458" s="643" t="n"/>
      <c r="S458" s="643" t="n"/>
      <c r="W458" s="643" t="n"/>
      <c r="AA458" s="643" t="n"/>
      <c r="AE458" s="643" t="n"/>
      <c r="AI458" s="643" t="n"/>
      <c r="AM458" s="643" t="n"/>
      <c r="AQ458" s="643" t="n"/>
      <c r="AU458" s="643" t="n"/>
      <c r="AY458" s="643" t="n"/>
      <c r="BC458" s="643" t="n"/>
      <c r="BG458" s="643" t="n"/>
    </row>
    <row r="459" s="1168" customFormat="1" ht="12.75" customHeight="1">
      <c r="F459" s="643" t="n"/>
      <c r="K459" s="643" t="n"/>
      <c r="O459" s="643" t="n"/>
      <c r="S459" s="643" t="n"/>
      <c r="W459" s="643" t="n"/>
      <c r="AA459" s="643" t="n"/>
      <c r="AE459" s="643" t="n"/>
      <c r="AI459" s="643" t="n"/>
      <c r="AM459" s="643" t="n"/>
      <c r="AQ459" s="643" t="n"/>
      <c r="AU459" s="643" t="n"/>
      <c r="AY459" s="643" t="n"/>
      <c r="BC459" s="643" t="n"/>
      <c r="BG459" s="643" t="n"/>
    </row>
    <row r="460" s="1168" customFormat="1" ht="12.75" customHeight="1">
      <c r="F460" s="643" t="n"/>
      <c r="K460" s="643" t="n"/>
      <c r="O460" s="643" t="n"/>
      <c r="S460" s="643" t="n"/>
      <c r="W460" s="643" t="n"/>
      <c r="AA460" s="643" t="n"/>
      <c r="AE460" s="643" t="n"/>
      <c r="AI460" s="643" t="n"/>
      <c r="AM460" s="643" t="n"/>
      <c r="AQ460" s="643" t="n"/>
      <c r="AU460" s="643" t="n"/>
      <c r="AY460" s="643" t="n"/>
      <c r="BC460" s="643" t="n"/>
      <c r="BG460" s="643" t="n"/>
    </row>
    <row r="461" s="1168" customFormat="1" ht="12.75" customHeight="1">
      <c r="F461" s="643" t="n"/>
      <c r="K461" s="643" t="n"/>
      <c r="O461" s="643" t="n"/>
      <c r="S461" s="643" t="n"/>
      <c r="W461" s="643" t="n"/>
      <c r="AA461" s="643" t="n"/>
      <c r="AE461" s="643" t="n"/>
      <c r="AI461" s="643" t="n"/>
      <c r="AM461" s="643" t="n"/>
      <c r="AQ461" s="643" t="n"/>
      <c r="AU461" s="643" t="n"/>
      <c r="AY461" s="643" t="n"/>
      <c r="BC461" s="643" t="n"/>
      <c r="BG461" s="643" t="n"/>
    </row>
    <row r="462" s="1168" customFormat="1" ht="12.75" customHeight="1">
      <c r="F462" s="643" t="n"/>
      <c r="K462" s="643" t="n"/>
      <c r="O462" s="643" t="n"/>
      <c r="S462" s="643" t="n"/>
      <c r="W462" s="643" t="n"/>
      <c r="AA462" s="643" t="n"/>
      <c r="AE462" s="643" t="n"/>
      <c r="AI462" s="643" t="n"/>
      <c r="AM462" s="643" t="n"/>
      <c r="AQ462" s="643" t="n"/>
      <c r="AU462" s="643" t="n"/>
      <c r="AY462" s="643" t="n"/>
      <c r="BC462" s="643" t="n"/>
      <c r="BG462" s="643" t="n"/>
    </row>
    <row r="463" s="1168" customFormat="1" ht="12.75" customHeight="1">
      <c r="F463" s="643" t="n"/>
      <c r="K463" s="643" t="n"/>
      <c r="O463" s="643" t="n"/>
      <c r="S463" s="643" t="n"/>
      <c r="W463" s="643" t="n"/>
      <c r="AA463" s="643" t="n"/>
      <c r="AE463" s="643" t="n"/>
      <c r="AI463" s="643" t="n"/>
      <c r="AM463" s="643" t="n"/>
      <c r="AQ463" s="643" t="n"/>
      <c r="AU463" s="643" t="n"/>
      <c r="AY463" s="643" t="n"/>
      <c r="BC463" s="643" t="n"/>
      <c r="BG463" s="643" t="n"/>
    </row>
    <row r="464" s="1168" customFormat="1" ht="12.75" customHeight="1">
      <c r="F464" s="643" t="n"/>
      <c r="K464" s="643" t="n"/>
      <c r="O464" s="643" t="n"/>
      <c r="S464" s="643" t="n"/>
      <c r="W464" s="643" t="n"/>
      <c r="AA464" s="643" t="n"/>
      <c r="AE464" s="643" t="n"/>
      <c r="AI464" s="643" t="n"/>
      <c r="AM464" s="643" t="n"/>
      <c r="AQ464" s="643" t="n"/>
      <c r="AU464" s="643" t="n"/>
      <c r="AY464" s="643" t="n"/>
      <c r="BC464" s="643" t="n"/>
      <c r="BG464" s="643" t="n"/>
    </row>
    <row r="465" s="1168" customFormat="1" ht="12.75" customHeight="1">
      <c r="F465" s="643" t="n"/>
      <c r="K465" s="643" t="n"/>
      <c r="O465" s="643" t="n"/>
      <c r="S465" s="643" t="n"/>
      <c r="W465" s="643" t="n"/>
      <c r="AA465" s="643" t="n"/>
      <c r="AE465" s="643" t="n"/>
      <c r="AI465" s="643" t="n"/>
      <c r="AM465" s="643" t="n"/>
      <c r="AQ465" s="643" t="n"/>
      <c r="AU465" s="643" t="n"/>
      <c r="AY465" s="643" t="n"/>
      <c r="BC465" s="643" t="n"/>
      <c r="BG465" s="643" t="n"/>
    </row>
    <row r="466" s="1168" customFormat="1" ht="12.75" customHeight="1">
      <c r="F466" s="643" t="n"/>
      <c r="K466" s="643" t="n"/>
      <c r="O466" s="643" t="n"/>
      <c r="S466" s="643" t="n"/>
      <c r="W466" s="643" t="n"/>
      <c r="AA466" s="643" t="n"/>
      <c r="AE466" s="643" t="n"/>
      <c r="AI466" s="643" t="n"/>
      <c r="AM466" s="643" t="n"/>
      <c r="AQ466" s="643" t="n"/>
      <c r="AU466" s="643" t="n"/>
      <c r="AY466" s="643" t="n"/>
      <c r="BC466" s="643" t="n"/>
      <c r="BG466" s="643" t="n"/>
    </row>
    <row r="467" s="1168" customFormat="1" ht="12.75" customHeight="1">
      <c r="F467" s="643" t="n"/>
      <c r="K467" s="643" t="n"/>
      <c r="O467" s="643" t="n"/>
      <c r="S467" s="643" t="n"/>
      <c r="W467" s="643" t="n"/>
      <c r="AA467" s="643" t="n"/>
      <c r="AE467" s="643" t="n"/>
      <c r="AI467" s="643" t="n"/>
      <c r="AM467" s="643" t="n"/>
      <c r="AQ467" s="643" t="n"/>
      <c r="AU467" s="643" t="n"/>
      <c r="AY467" s="643" t="n"/>
      <c r="BC467" s="643" t="n"/>
      <c r="BG467" s="643" t="n"/>
    </row>
    <row r="468" s="1168" customFormat="1" ht="12.75" customHeight="1">
      <c r="F468" s="643" t="n"/>
      <c r="K468" s="643" t="n"/>
      <c r="O468" s="643" t="n"/>
      <c r="S468" s="643" t="n"/>
      <c r="W468" s="643" t="n"/>
      <c r="AA468" s="643" t="n"/>
      <c r="AE468" s="643" t="n"/>
      <c r="AI468" s="643" t="n"/>
      <c r="AM468" s="643" t="n"/>
      <c r="AQ468" s="643" t="n"/>
      <c r="AU468" s="643" t="n"/>
      <c r="AY468" s="643" t="n"/>
      <c r="BC468" s="643" t="n"/>
      <c r="BG468" s="643" t="n"/>
    </row>
    <row r="469" s="1168" customFormat="1" ht="12.75" customHeight="1">
      <c r="F469" s="643" t="n"/>
      <c r="K469" s="643" t="n"/>
      <c r="O469" s="643" t="n"/>
      <c r="S469" s="643" t="n"/>
      <c r="W469" s="643" t="n"/>
      <c r="AA469" s="643" t="n"/>
      <c r="AE469" s="643" t="n"/>
      <c r="AI469" s="643" t="n"/>
      <c r="AM469" s="643" t="n"/>
      <c r="AQ469" s="643" t="n"/>
      <c r="AU469" s="643" t="n"/>
      <c r="AY469" s="643" t="n"/>
      <c r="BC469" s="643" t="n"/>
      <c r="BG469" s="643" t="n"/>
    </row>
    <row r="470" s="1168" customFormat="1" ht="12.75" customHeight="1">
      <c r="F470" s="643" t="n"/>
      <c r="K470" s="643" t="n"/>
      <c r="O470" s="643" t="n"/>
      <c r="S470" s="643" t="n"/>
      <c r="W470" s="643" t="n"/>
      <c r="AA470" s="643" t="n"/>
      <c r="AE470" s="643" t="n"/>
      <c r="AI470" s="643" t="n"/>
      <c r="AM470" s="643" t="n"/>
      <c r="AQ470" s="643" t="n"/>
      <c r="AU470" s="643" t="n"/>
      <c r="AY470" s="643" t="n"/>
      <c r="BC470" s="643" t="n"/>
      <c r="BG470" s="643" t="n"/>
    </row>
    <row r="471" s="1168" customFormat="1" ht="12.75" customHeight="1">
      <c r="F471" s="643" t="n"/>
      <c r="K471" s="643" t="n"/>
      <c r="O471" s="643" t="n"/>
      <c r="S471" s="643" t="n"/>
      <c r="W471" s="643" t="n"/>
      <c r="AA471" s="643" t="n"/>
      <c r="AE471" s="643" t="n"/>
      <c r="AI471" s="643" t="n"/>
      <c r="AM471" s="643" t="n"/>
      <c r="AQ471" s="643" t="n"/>
      <c r="AU471" s="643" t="n"/>
      <c r="AY471" s="643" t="n"/>
      <c r="BC471" s="643" t="n"/>
      <c r="BG471" s="643" t="n"/>
    </row>
    <row r="472" s="1168" customFormat="1" ht="12.75" customHeight="1">
      <c r="F472" s="643" t="n"/>
      <c r="K472" s="643" t="n"/>
      <c r="O472" s="643" t="n"/>
      <c r="S472" s="643" t="n"/>
      <c r="W472" s="643" t="n"/>
      <c r="AA472" s="643" t="n"/>
      <c r="AE472" s="643" t="n"/>
      <c r="AI472" s="643" t="n"/>
      <c r="AM472" s="643" t="n"/>
      <c r="AQ472" s="643" t="n"/>
      <c r="AU472" s="643" t="n"/>
      <c r="AY472" s="643" t="n"/>
      <c r="BC472" s="643" t="n"/>
      <c r="BG472" s="643" t="n"/>
    </row>
    <row r="473" s="1168" customFormat="1" ht="12.75" customHeight="1">
      <c r="F473" s="643" t="n"/>
      <c r="K473" s="643" t="n"/>
      <c r="O473" s="643" t="n"/>
      <c r="S473" s="643" t="n"/>
      <c r="W473" s="643" t="n"/>
      <c r="AA473" s="643" t="n"/>
      <c r="AE473" s="643" t="n"/>
      <c r="AI473" s="643" t="n"/>
      <c r="AM473" s="643" t="n"/>
      <c r="AQ473" s="643" t="n"/>
      <c r="AU473" s="643" t="n"/>
      <c r="AY473" s="643" t="n"/>
      <c r="BC473" s="643" t="n"/>
      <c r="BG473" s="643" t="n"/>
    </row>
    <row r="474" s="1168" customFormat="1" ht="12.75" customHeight="1">
      <c r="F474" s="643" t="n"/>
      <c r="K474" s="643" t="n"/>
      <c r="O474" s="643" t="n"/>
      <c r="S474" s="643" t="n"/>
      <c r="W474" s="643" t="n"/>
      <c r="AA474" s="643" t="n"/>
      <c r="AE474" s="643" t="n"/>
      <c r="AI474" s="643" t="n"/>
      <c r="AM474" s="643" t="n"/>
      <c r="AQ474" s="643" t="n"/>
      <c r="AU474" s="643" t="n"/>
      <c r="AY474" s="643" t="n"/>
      <c r="BC474" s="643" t="n"/>
      <c r="BG474" s="643" t="n"/>
    </row>
    <row r="475" s="1168" customFormat="1" ht="12.75" customHeight="1">
      <c r="F475" s="643" t="n"/>
      <c r="K475" s="643" t="n"/>
      <c r="O475" s="643" t="n"/>
      <c r="S475" s="643" t="n"/>
      <c r="W475" s="643" t="n"/>
      <c r="AA475" s="643" t="n"/>
      <c r="AE475" s="643" t="n"/>
      <c r="AI475" s="643" t="n"/>
      <c r="AM475" s="643" t="n"/>
      <c r="AQ475" s="643" t="n"/>
      <c r="AU475" s="643" t="n"/>
      <c r="AY475" s="643" t="n"/>
      <c r="BC475" s="643" t="n"/>
      <c r="BG475" s="643" t="n"/>
    </row>
    <row r="476" s="1168" customFormat="1" ht="12.75" customHeight="1">
      <c r="F476" s="643" t="n"/>
      <c r="K476" s="643" t="n"/>
      <c r="O476" s="643" t="n"/>
      <c r="S476" s="643" t="n"/>
      <c r="W476" s="643" t="n"/>
      <c r="AA476" s="643" t="n"/>
      <c r="AE476" s="643" t="n"/>
      <c r="AI476" s="643" t="n"/>
      <c r="AM476" s="643" t="n"/>
      <c r="AQ476" s="643" t="n"/>
      <c r="AU476" s="643" t="n"/>
      <c r="AY476" s="643" t="n"/>
      <c r="BC476" s="643" t="n"/>
      <c r="BG476" s="643" t="n"/>
    </row>
    <row r="477" s="1168" customFormat="1" ht="12.75" customHeight="1">
      <c r="F477" s="643" t="n"/>
      <c r="K477" s="643" t="n"/>
      <c r="O477" s="643" t="n"/>
      <c r="S477" s="643" t="n"/>
      <c r="W477" s="643" t="n"/>
      <c r="AA477" s="643" t="n"/>
      <c r="AE477" s="643" t="n"/>
      <c r="AI477" s="643" t="n"/>
      <c r="AM477" s="643" t="n"/>
      <c r="AQ477" s="643" t="n"/>
      <c r="AU477" s="643" t="n"/>
      <c r="AY477" s="643" t="n"/>
      <c r="BC477" s="643" t="n"/>
      <c r="BG477" s="643" t="n"/>
    </row>
    <row r="478" s="1168" customFormat="1" ht="12.75" customHeight="1">
      <c r="F478" s="643" t="n"/>
      <c r="K478" s="643" t="n"/>
      <c r="O478" s="643" t="n"/>
      <c r="S478" s="643" t="n"/>
      <c r="W478" s="643" t="n"/>
      <c r="AA478" s="643" t="n"/>
      <c r="AE478" s="643" t="n"/>
      <c r="AI478" s="643" t="n"/>
      <c r="AM478" s="643" t="n"/>
      <c r="AQ478" s="643" t="n"/>
      <c r="AU478" s="643" t="n"/>
      <c r="AY478" s="643" t="n"/>
      <c r="BC478" s="643" t="n"/>
      <c r="BG478" s="643" t="n"/>
    </row>
    <row r="479" s="1168" customFormat="1" ht="12.75" customHeight="1">
      <c r="F479" s="643" t="n"/>
      <c r="K479" s="643" t="n"/>
      <c r="O479" s="643" t="n"/>
      <c r="S479" s="643" t="n"/>
      <c r="W479" s="643" t="n"/>
      <c r="AA479" s="643" t="n"/>
      <c r="AE479" s="643" t="n"/>
      <c r="AI479" s="643" t="n"/>
      <c r="AM479" s="643" t="n"/>
      <c r="AQ479" s="643" t="n"/>
      <c r="AU479" s="643" t="n"/>
      <c r="AY479" s="643" t="n"/>
      <c r="BC479" s="643" t="n"/>
      <c r="BG479" s="643" t="n"/>
    </row>
    <row r="480" s="1168" customFormat="1" ht="12.75" customHeight="1">
      <c r="F480" s="643" t="n"/>
      <c r="K480" s="643" t="n"/>
      <c r="O480" s="643" t="n"/>
      <c r="S480" s="643" t="n"/>
      <c r="W480" s="643" t="n"/>
      <c r="AA480" s="643" t="n"/>
      <c r="AE480" s="643" t="n"/>
      <c r="AI480" s="643" t="n"/>
      <c r="AM480" s="643" t="n"/>
      <c r="AQ480" s="643" t="n"/>
      <c r="AU480" s="643" t="n"/>
      <c r="AY480" s="643" t="n"/>
      <c r="BC480" s="643" t="n"/>
      <c r="BG480" s="643" t="n"/>
    </row>
    <row r="481" s="1168" customFormat="1" ht="12.75" customHeight="1">
      <c r="F481" s="643" t="n"/>
      <c r="K481" s="643" t="n"/>
      <c r="O481" s="643" t="n"/>
      <c r="S481" s="643" t="n"/>
      <c r="W481" s="643" t="n"/>
      <c r="AA481" s="643" t="n"/>
      <c r="AE481" s="643" t="n"/>
      <c r="AI481" s="643" t="n"/>
      <c r="AM481" s="643" t="n"/>
      <c r="AQ481" s="643" t="n"/>
      <c r="AU481" s="643" t="n"/>
      <c r="AY481" s="643" t="n"/>
      <c r="BC481" s="643" t="n"/>
      <c r="BG481" s="643" t="n"/>
    </row>
    <row r="482" s="1168" customFormat="1" ht="12.75" customHeight="1">
      <c r="F482" s="643" t="n"/>
      <c r="K482" s="643" t="n"/>
      <c r="O482" s="643" t="n"/>
      <c r="S482" s="643" t="n"/>
      <c r="W482" s="643" t="n"/>
      <c r="AA482" s="643" t="n"/>
      <c r="AE482" s="643" t="n"/>
      <c r="AI482" s="643" t="n"/>
      <c r="AM482" s="643" t="n"/>
      <c r="AQ482" s="643" t="n"/>
      <c r="AU482" s="643" t="n"/>
      <c r="AY482" s="643" t="n"/>
      <c r="BC482" s="643" t="n"/>
      <c r="BG482" s="643" t="n"/>
    </row>
    <row r="483" s="1168" customFormat="1" ht="12.75" customHeight="1">
      <c r="F483" s="643" t="n"/>
      <c r="K483" s="643" t="n"/>
      <c r="O483" s="643" t="n"/>
      <c r="S483" s="643" t="n"/>
      <c r="W483" s="643" t="n"/>
      <c r="AA483" s="643" t="n"/>
      <c r="AE483" s="643" t="n"/>
      <c r="AI483" s="643" t="n"/>
      <c r="AM483" s="643" t="n"/>
      <c r="AQ483" s="643" t="n"/>
      <c r="AU483" s="643" t="n"/>
      <c r="AY483" s="643" t="n"/>
      <c r="BC483" s="643" t="n"/>
      <c r="BG483" s="643" t="n"/>
    </row>
    <row r="484" s="1168" customFormat="1" ht="12.75" customHeight="1">
      <c r="F484" s="643" t="n"/>
      <c r="K484" s="643" t="n"/>
      <c r="O484" s="643" t="n"/>
      <c r="S484" s="643" t="n"/>
      <c r="W484" s="643" t="n"/>
      <c r="AA484" s="643" t="n"/>
      <c r="AE484" s="643" t="n"/>
      <c r="AI484" s="643" t="n"/>
      <c r="AM484" s="643" t="n"/>
      <c r="AQ484" s="643" t="n"/>
      <c r="AU484" s="643" t="n"/>
      <c r="AY484" s="643" t="n"/>
      <c r="BC484" s="643" t="n"/>
      <c r="BG484" s="643" t="n"/>
    </row>
    <row r="485" s="1168" customFormat="1" ht="12.75" customHeight="1">
      <c r="F485" s="643" t="n"/>
      <c r="K485" s="643" t="n"/>
      <c r="O485" s="643" t="n"/>
      <c r="S485" s="643" t="n"/>
      <c r="W485" s="643" t="n"/>
      <c r="AA485" s="643" t="n"/>
      <c r="AE485" s="643" t="n"/>
      <c r="AI485" s="643" t="n"/>
      <c r="AM485" s="643" t="n"/>
      <c r="AQ485" s="643" t="n"/>
      <c r="AU485" s="643" t="n"/>
      <c r="AY485" s="643" t="n"/>
      <c r="BC485" s="643" t="n"/>
      <c r="BG485" s="643" t="n"/>
    </row>
    <row r="486" s="1168" customFormat="1" ht="12.75" customHeight="1">
      <c r="F486" s="643" t="n"/>
      <c r="K486" s="643" t="n"/>
      <c r="O486" s="643" t="n"/>
      <c r="S486" s="643" t="n"/>
      <c r="W486" s="643" t="n"/>
      <c r="AA486" s="643" t="n"/>
      <c r="AE486" s="643" t="n"/>
      <c r="AI486" s="643" t="n"/>
      <c r="AM486" s="643" t="n"/>
      <c r="AQ486" s="643" t="n"/>
      <c r="AU486" s="643" t="n"/>
      <c r="AY486" s="643" t="n"/>
      <c r="BC486" s="643" t="n"/>
      <c r="BG486" s="643" t="n"/>
    </row>
    <row r="487" s="1168" customFormat="1" ht="12.75" customHeight="1">
      <c r="F487" s="643" t="n"/>
      <c r="K487" s="643" t="n"/>
      <c r="O487" s="643" t="n"/>
      <c r="S487" s="643" t="n"/>
      <c r="W487" s="643" t="n"/>
      <c r="AA487" s="643" t="n"/>
      <c r="AE487" s="643" t="n"/>
      <c r="AI487" s="643" t="n"/>
      <c r="AM487" s="643" t="n"/>
      <c r="AQ487" s="643" t="n"/>
      <c r="AU487" s="643" t="n"/>
      <c r="AY487" s="643" t="n"/>
      <c r="BC487" s="643" t="n"/>
      <c r="BG487" s="643" t="n"/>
    </row>
    <row r="488" s="1168" customFormat="1" ht="12.75" customHeight="1">
      <c r="F488" s="643" t="n"/>
      <c r="K488" s="643" t="n"/>
      <c r="O488" s="643" t="n"/>
      <c r="S488" s="643" t="n"/>
      <c r="W488" s="643" t="n"/>
      <c r="AA488" s="643" t="n"/>
      <c r="AE488" s="643" t="n"/>
      <c r="AI488" s="643" t="n"/>
      <c r="AM488" s="643" t="n"/>
      <c r="AQ488" s="643" t="n"/>
      <c r="AU488" s="643" t="n"/>
      <c r="AY488" s="643" t="n"/>
      <c r="BC488" s="643" t="n"/>
      <c r="BG488" s="643" t="n"/>
    </row>
    <row r="489" s="1168" customFormat="1" ht="12.75" customHeight="1">
      <c r="F489" s="643" t="n"/>
      <c r="K489" s="643" t="n"/>
      <c r="O489" s="643" t="n"/>
      <c r="S489" s="643" t="n"/>
      <c r="W489" s="643" t="n"/>
      <c r="AA489" s="643" t="n"/>
      <c r="AE489" s="643" t="n"/>
      <c r="AI489" s="643" t="n"/>
      <c r="AM489" s="643" t="n"/>
      <c r="AQ489" s="643" t="n"/>
      <c r="AU489" s="643" t="n"/>
      <c r="AY489" s="643" t="n"/>
      <c r="BC489" s="643" t="n"/>
      <c r="BG489" s="643" t="n"/>
    </row>
    <row r="490" s="1168" customFormat="1" ht="12.75" customHeight="1">
      <c r="F490" s="643" t="n"/>
      <c r="K490" s="643" t="n"/>
      <c r="O490" s="643" t="n"/>
      <c r="S490" s="643" t="n"/>
      <c r="W490" s="643" t="n"/>
      <c r="AA490" s="643" t="n"/>
      <c r="AE490" s="643" t="n"/>
      <c r="AI490" s="643" t="n"/>
      <c r="AM490" s="643" t="n"/>
      <c r="AQ490" s="643" t="n"/>
      <c r="AU490" s="643" t="n"/>
      <c r="AY490" s="643" t="n"/>
      <c r="BC490" s="643" t="n"/>
      <c r="BG490" s="643" t="n"/>
    </row>
    <row r="491" s="1168" customFormat="1" ht="12.75" customHeight="1">
      <c r="F491" s="643" t="n"/>
      <c r="K491" s="643" t="n"/>
      <c r="O491" s="643" t="n"/>
      <c r="S491" s="643" t="n"/>
      <c r="W491" s="643" t="n"/>
      <c r="AA491" s="643" t="n"/>
      <c r="AE491" s="643" t="n"/>
      <c r="AI491" s="643" t="n"/>
      <c r="AM491" s="643" t="n"/>
      <c r="AQ491" s="643" t="n"/>
      <c r="AU491" s="643" t="n"/>
      <c r="AY491" s="643" t="n"/>
      <c r="BC491" s="643" t="n"/>
      <c r="BG491" s="643" t="n"/>
    </row>
    <row r="492" s="1168" customFormat="1" ht="12.75" customHeight="1">
      <c r="F492" s="643" t="n"/>
      <c r="K492" s="643" t="n"/>
      <c r="O492" s="643" t="n"/>
      <c r="S492" s="643" t="n"/>
      <c r="W492" s="643" t="n"/>
      <c r="AA492" s="643" t="n"/>
      <c r="AE492" s="643" t="n"/>
      <c r="AI492" s="643" t="n"/>
      <c r="AM492" s="643" t="n"/>
      <c r="AQ492" s="643" t="n"/>
      <c r="AU492" s="643" t="n"/>
      <c r="AY492" s="643" t="n"/>
      <c r="BC492" s="643" t="n"/>
      <c r="BG492" s="643" t="n"/>
    </row>
    <row r="493" s="1168" customFormat="1" ht="12.75" customHeight="1">
      <c r="F493" s="643" t="n"/>
      <c r="K493" s="643" t="n"/>
      <c r="O493" s="643" t="n"/>
      <c r="S493" s="643" t="n"/>
      <c r="W493" s="643" t="n"/>
      <c r="AA493" s="643" t="n"/>
      <c r="AE493" s="643" t="n"/>
      <c r="AI493" s="643" t="n"/>
      <c r="AM493" s="643" t="n"/>
      <c r="AQ493" s="643" t="n"/>
      <c r="AU493" s="643" t="n"/>
      <c r="AY493" s="643" t="n"/>
      <c r="BC493" s="643" t="n"/>
      <c r="BG493" s="643" t="n"/>
    </row>
    <row r="494" s="1168" customFormat="1" ht="12.75" customHeight="1">
      <c r="F494" s="643" t="n"/>
      <c r="K494" s="643" t="n"/>
      <c r="O494" s="643" t="n"/>
      <c r="S494" s="643" t="n"/>
      <c r="W494" s="643" t="n"/>
      <c r="AA494" s="643" t="n"/>
      <c r="AE494" s="643" t="n"/>
      <c r="AI494" s="643" t="n"/>
      <c r="AM494" s="643" t="n"/>
      <c r="AQ494" s="643" t="n"/>
      <c r="AU494" s="643" t="n"/>
      <c r="AY494" s="643" t="n"/>
      <c r="BC494" s="643" t="n"/>
      <c r="BG494" s="643" t="n"/>
    </row>
    <row r="495" s="1168" customFormat="1" ht="12.75" customHeight="1">
      <c r="F495" s="643" t="n"/>
      <c r="K495" s="643" t="n"/>
      <c r="O495" s="643" t="n"/>
      <c r="S495" s="643" t="n"/>
      <c r="W495" s="643" t="n"/>
      <c r="AA495" s="643" t="n"/>
      <c r="AE495" s="643" t="n"/>
      <c r="AI495" s="643" t="n"/>
      <c r="AM495" s="643" t="n"/>
      <c r="AQ495" s="643" t="n"/>
      <c r="AU495" s="643" t="n"/>
      <c r="AY495" s="643" t="n"/>
      <c r="BC495" s="643" t="n"/>
      <c r="BG495" s="643" t="n"/>
    </row>
    <row r="496" s="1168" customFormat="1" ht="12.75" customHeight="1">
      <c r="F496" s="643" t="n"/>
      <c r="K496" s="643" t="n"/>
      <c r="O496" s="643" t="n"/>
      <c r="S496" s="643" t="n"/>
      <c r="W496" s="643" t="n"/>
      <c r="AA496" s="643" t="n"/>
      <c r="AE496" s="643" t="n"/>
      <c r="AI496" s="643" t="n"/>
      <c r="AM496" s="643" t="n"/>
      <c r="AQ496" s="643" t="n"/>
      <c r="AU496" s="643" t="n"/>
      <c r="AY496" s="643" t="n"/>
      <c r="BC496" s="643" t="n"/>
      <c r="BG496" s="643" t="n"/>
    </row>
    <row r="497" s="1168" customFormat="1" ht="12.75" customHeight="1">
      <c r="F497" s="643" t="n"/>
      <c r="K497" s="643" t="n"/>
      <c r="O497" s="643" t="n"/>
      <c r="S497" s="643" t="n"/>
      <c r="W497" s="643" t="n"/>
      <c r="AA497" s="643" t="n"/>
      <c r="AE497" s="643" t="n"/>
      <c r="AI497" s="643" t="n"/>
      <c r="AM497" s="643" t="n"/>
      <c r="AQ497" s="643" t="n"/>
      <c r="AU497" s="643" t="n"/>
      <c r="AY497" s="643" t="n"/>
      <c r="BC497" s="643" t="n"/>
      <c r="BG497" s="643" t="n"/>
    </row>
    <row r="498" s="1168" customFormat="1" ht="12.75" customHeight="1">
      <c r="F498" s="643" t="n"/>
      <c r="K498" s="643" t="n"/>
      <c r="O498" s="643" t="n"/>
      <c r="S498" s="643" t="n"/>
      <c r="W498" s="643" t="n"/>
      <c r="AA498" s="643" t="n"/>
      <c r="AE498" s="643" t="n"/>
      <c r="AI498" s="643" t="n"/>
      <c r="AM498" s="643" t="n"/>
      <c r="AQ498" s="643" t="n"/>
      <c r="AU498" s="643" t="n"/>
      <c r="AY498" s="643" t="n"/>
      <c r="BC498" s="643" t="n"/>
      <c r="BG498" s="643" t="n"/>
    </row>
    <row r="499" s="1168" customFormat="1" ht="12.75" customHeight="1">
      <c r="F499" s="643" t="n"/>
      <c r="K499" s="643" t="n"/>
      <c r="O499" s="643" t="n"/>
      <c r="S499" s="643" t="n"/>
      <c r="W499" s="643" t="n"/>
      <c r="AA499" s="643" t="n"/>
      <c r="AE499" s="643" t="n"/>
      <c r="AI499" s="643" t="n"/>
      <c r="AM499" s="643" t="n"/>
      <c r="AQ499" s="643" t="n"/>
      <c r="AU499" s="643" t="n"/>
      <c r="AY499" s="643" t="n"/>
      <c r="BC499" s="643" t="n"/>
      <c r="BG499" s="643" t="n"/>
    </row>
    <row r="500" s="1168" customFormat="1" ht="12.75" customHeight="1">
      <c r="F500" s="643" t="n"/>
      <c r="K500" s="643" t="n"/>
      <c r="O500" s="643" t="n"/>
      <c r="S500" s="643" t="n"/>
      <c r="W500" s="643" t="n"/>
      <c r="AA500" s="643" t="n"/>
      <c r="AE500" s="643" t="n"/>
      <c r="AI500" s="643" t="n"/>
      <c r="AM500" s="643" t="n"/>
      <c r="AQ500" s="643" t="n"/>
      <c r="AU500" s="643" t="n"/>
      <c r="AY500" s="643" t="n"/>
      <c r="BC500" s="643" t="n"/>
      <c r="BG500" s="643" t="n"/>
    </row>
    <row r="501" s="1168" customFormat="1" ht="12.75" customHeight="1">
      <c r="F501" s="643" t="n"/>
      <c r="K501" s="643" t="n"/>
      <c r="O501" s="643" t="n"/>
      <c r="S501" s="643" t="n"/>
      <c r="W501" s="643" t="n"/>
      <c r="AA501" s="643" t="n"/>
      <c r="AE501" s="643" t="n"/>
      <c r="AI501" s="643" t="n"/>
      <c r="AM501" s="643" t="n"/>
      <c r="AQ501" s="643" t="n"/>
      <c r="AU501" s="643" t="n"/>
      <c r="AY501" s="643" t="n"/>
      <c r="BC501" s="643" t="n"/>
      <c r="BG501" s="643" t="n"/>
    </row>
    <row r="502" s="1168" customFormat="1" ht="12.75" customHeight="1">
      <c r="F502" s="643" t="n"/>
      <c r="K502" s="643" t="n"/>
      <c r="O502" s="643" t="n"/>
      <c r="S502" s="643" t="n"/>
      <c r="W502" s="643" t="n"/>
      <c r="AA502" s="643" t="n"/>
      <c r="AE502" s="643" t="n"/>
      <c r="AI502" s="643" t="n"/>
      <c r="AM502" s="643" t="n"/>
      <c r="AQ502" s="643" t="n"/>
      <c r="AU502" s="643" t="n"/>
      <c r="AY502" s="643" t="n"/>
      <c r="BC502" s="643" t="n"/>
      <c r="BG502" s="643" t="n"/>
    </row>
    <row r="503" s="1168" customFormat="1" ht="12.75" customHeight="1">
      <c r="F503" s="643" t="n"/>
      <c r="K503" s="643" t="n"/>
      <c r="O503" s="643" t="n"/>
      <c r="S503" s="643" t="n"/>
      <c r="W503" s="643" t="n"/>
      <c r="AA503" s="643" t="n"/>
      <c r="AE503" s="643" t="n"/>
      <c r="AI503" s="643" t="n"/>
      <c r="AM503" s="643" t="n"/>
      <c r="AQ503" s="643" t="n"/>
      <c r="AU503" s="643" t="n"/>
      <c r="AY503" s="643" t="n"/>
      <c r="BC503" s="643" t="n"/>
      <c r="BG503" s="643" t="n"/>
    </row>
    <row r="504" s="1168" customFormat="1" ht="12.75" customHeight="1">
      <c r="F504" s="643" t="n"/>
      <c r="K504" s="643" t="n"/>
      <c r="O504" s="643" t="n"/>
      <c r="S504" s="643" t="n"/>
      <c r="W504" s="643" t="n"/>
      <c r="AA504" s="643" t="n"/>
      <c r="AE504" s="643" t="n"/>
      <c r="AI504" s="643" t="n"/>
      <c r="AM504" s="643" t="n"/>
      <c r="AQ504" s="643" t="n"/>
      <c r="AU504" s="643" t="n"/>
      <c r="AY504" s="643" t="n"/>
      <c r="BC504" s="643" t="n"/>
      <c r="BG504" s="643" t="n"/>
    </row>
    <row r="505" s="1168" customFormat="1" ht="12.75" customHeight="1">
      <c r="F505" s="643" t="n"/>
      <c r="K505" s="643" t="n"/>
      <c r="O505" s="643" t="n"/>
      <c r="S505" s="643" t="n"/>
      <c r="W505" s="643" t="n"/>
      <c r="AA505" s="643" t="n"/>
      <c r="AE505" s="643" t="n"/>
      <c r="AI505" s="643" t="n"/>
      <c r="AM505" s="643" t="n"/>
      <c r="AQ505" s="643" t="n"/>
      <c r="AU505" s="643" t="n"/>
      <c r="AY505" s="643" t="n"/>
      <c r="BC505" s="643" t="n"/>
      <c r="BG505" s="643" t="n"/>
    </row>
    <row r="506" s="1168" customFormat="1" ht="12.75" customHeight="1">
      <c r="F506" s="643" t="n"/>
      <c r="K506" s="643" t="n"/>
      <c r="O506" s="643" t="n"/>
      <c r="S506" s="643" t="n"/>
      <c r="W506" s="643" t="n"/>
      <c r="AA506" s="643" t="n"/>
      <c r="AE506" s="643" t="n"/>
      <c r="AI506" s="643" t="n"/>
      <c r="AM506" s="643" t="n"/>
      <c r="AQ506" s="643" t="n"/>
      <c r="AU506" s="643" t="n"/>
      <c r="AY506" s="643" t="n"/>
      <c r="BC506" s="643" t="n"/>
      <c r="BG506" s="643" t="n"/>
    </row>
    <row r="507" s="1168" customFormat="1" ht="12.75" customHeight="1">
      <c r="F507" s="643" t="n"/>
      <c r="K507" s="643" t="n"/>
      <c r="O507" s="643" t="n"/>
      <c r="S507" s="643" t="n"/>
      <c r="W507" s="643" t="n"/>
      <c r="AA507" s="643" t="n"/>
      <c r="AE507" s="643" t="n"/>
      <c r="AI507" s="643" t="n"/>
      <c r="AM507" s="643" t="n"/>
      <c r="AQ507" s="643" t="n"/>
      <c r="AU507" s="643" t="n"/>
      <c r="AY507" s="643" t="n"/>
      <c r="BC507" s="643" t="n"/>
      <c r="BG507" s="643" t="n"/>
    </row>
    <row r="508" s="1168" customFormat="1" ht="12.75" customHeight="1">
      <c r="F508" s="643" t="n"/>
      <c r="K508" s="643" t="n"/>
      <c r="O508" s="643" t="n"/>
      <c r="S508" s="643" t="n"/>
      <c r="W508" s="643" t="n"/>
      <c r="AA508" s="643" t="n"/>
      <c r="AE508" s="643" t="n"/>
      <c r="AI508" s="643" t="n"/>
      <c r="AM508" s="643" t="n"/>
      <c r="AQ508" s="643" t="n"/>
      <c r="AU508" s="643" t="n"/>
      <c r="AY508" s="643" t="n"/>
      <c r="BC508" s="643" t="n"/>
      <c r="BG508" s="643" t="n"/>
    </row>
    <row r="509" s="1168" customFormat="1" ht="12.75" customHeight="1">
      <c r="F509" s="643" t="n"/>
      <c r="K509" s="643" t="n"/>
      <c r="O509" s="643" t="n"/>
      <c r="S509" s="643" t="n"/>
      <c r="W509" s="643" t="n"/>
      <c r="AA509" s="643" t="n"/>
      <c r="AE509" s="643" t="n"/>
      <c r="AI509" s="643" t="n"/>
      <c r="AM509" s="643" t="n"/>
      <c r="AQ509" s="643" t="n"/>
      <c r="AU509" s="643" t="n"/>
      <c r="AY509" s="643" t="n"/>
      <c r="BC509" s="643" t="n"/>
      <c r="BG509" s="643" t="n"/>
    </row>
    <row r="510" s="1168" customFormat="1" ht="12.75" customHeight="1">
      <c r="F510" s="643" t="n"/>
      <c r="K510" s="643" t="n"/>
      <c r="O510" s="643" t="n"/>
      <c r="S510" s="643" t="n"/>
      <c r="W510" s="643" t="n"/>
      <c r="AA510" s="643" t="n"/>
      <c r="AE510" s="643" t="n"/>
      <c r="AI510" s="643" t="n"/>
      <c r="AM510" s="643" t="n"/>
      <c r="AQ510" s="643" t="n"/>
      <c r="AU510" s="643" t="n"/>
      <c r="AY510" s="643" t="n"/>
      <c r="BC510" s="643" t="n"/>
      <c r="BG510" s="643" t="n"/>
    </row>
    <row r="511" s="1168" customFormat="1" ht="12.75" customHeight="1">
      <c r="F511" s="643" t="n"/>
      <c r="K511" s="643" t="n"/>
      <c r="O511" s="643" t="n"/>
      <c r="S511" s="643" t="n"/>
      <c r="W511" s="643" t="n"/>
      <c r="AA511" s="643" t="n"/>
      <c r="AE511" s="643" t="n"/>
      <c r="AI511" s="643" t="n"/>
      <c r="AM511" s="643" t="n"/>
      <c r="AQ511" s="643" t="n"/>
      <c r="AU511" s="643" t="n"/>
      <c r="AY511" s="643" t="n"/>
      <c r="BC511" s="643" t="n"/>
      <c r="BG511" s="643" t="n"/>
    </row>
    <row r="512" s="1168" customFormat="1" ht="12.75" customHeight="1">
      <c r="F512" s="643" t="n"/>
      <c r="K512" s="643" t="n"/>
      <c r="O512" s="643" t="n"/>
      <c r="S512" s="643" t="n"/>
      <c r="W512" s="643" t="n"/>
      <c r="AA512" s="643" t="n"/>
      <c r="AE512" s="643" t="n"/>
      <c r="AI512" s="643" t="n"/>
      <c r="AM512" s="643" t="n"/>
      <c r="AQ512" s="643" t="n"/>
      <c r="AU512" s="643" t="n"/>
      <c r="AY512" s="643" t="n"/>
      <c r="BC512" s="643" t="n"/>
      <c r="BG512" s="643" t="n"/>
    </row>
    <row r="513" s="1168" customFormat="1" ht="12.75" customHeight="1">
      <c r="F513" s="643" t="n"/>
      <c r="K513" s="643" t="n"/>
      <c r="O513" s="643" t="n"/>
      <c r="S513" s="643" t="n"/>
      <c r="W513" s="643" t="n"/>
      <c r="AA513" s="643" t="n"/>
      <c r="AE513" s="643" t="n"/>
      <c r="AI513" s="643" t="n"/>
      <c r="AM513" s="643" t="n"/>
      <c r="AQ513" s="643" t="n"/>
      <c r="AU513" s="643" t="n"/>
      <c r="AY513" s="643" t="n"/>
      <c r="BC513" s="643" t="n"/>
      <c r="BG513" s="643" t="n"/>
    </row>
    <row r="514" s="1168" customFormat="1" ht="12.75" customHeight="1">
      <c r="F514" s="643" t="n"/>
      <c r="K514" s="643" t="n"/>
      <c r="O514" s="643" t="n"/>
      <c r="S514" s="643" t="n"/>
      <c r="W514" s="643" t="n"/>
      <c r="AA514" s="643" t="n"/>
      <c r="AE514" s="643" t="n"/>
      <c r="AI514" s="643" t="n"/>
      <c r="AM514" s="643" t="n"/>
      <c r="AQ514" s="643" t="n"/>
      <c r="AU514" s="643" t="n"/>
      <c r="AY514" s="643" t="n"/>
      <c r="BC514" s="643" t="n"/>
      <c r="BG514" s="643" t="n"/>
    </row>
    <row r="515" s="1168" customFormat="1" ht="12.75" customHeight="1">
      <c r="F515" s="643" t="n"/>
      <c r="K515" s="643" t="n"/>
      <c r="O515" s="643" t="n"/>
      <c r="S515" s="643" t="n"/>
      <c r="W515" s="643" t="n"/>
      <c r="AA515" s="643" t="n"/>
      <c r="AE515" s="643" t="n"/>
      <c r="AI515" s="643" t="n"/>
      <c r="AM515" s="643" t="n"/>
      <c r="AQ515" s="643" t="n"/>
      <c r="AU515" s="643" t="n"/>
      <c r="AY515" s="643" t="n"/>
      <c r="BC515" s="643" t="n"/>
      <c r="BG515" s="643" t="n"/>
    </row>
    <row r="516" s="1168" customFormat="1" ht="12.75" customHeight="1">
      <c r="F516" s="643" t="n"/>
      <c r="K516" s="643" t="n"/>
      <c r="O516" s="643" t="n"/>
      <c r="S516" s="643" t="n"/>
      <c r="W516" s="643" t="n"/>
      <c r="AA516" s="643" t="n"/>
      <c r="AE516" s="643" t="n"/>
      <c r="AI516" s="643" t="n"/>
      <c r="AM516" s="643" t="n"/>
      <c r="AQ516" s="643" t="n"/>
      <c r="AU516" s="643" t="n"/>
      <c r="AY516" s="643" t="n"/>
      <c r="BC516" s="643" t="n"/>
      <c r="BG516" s="643" t="n"/>
    </row>
    <row r="517" s="1168" customFormat="1" ht="12.75" customHeight="1">
      <c r="F517" s="643" t="n"/>
      <c r="K517" s="643" t="n"/>
      <c r="O517" s="643" t="n"/>
      <c r="S517" s="643" t="n"/>
      <c r="W517" s="643" t="n"/>
      <c r="AA517" s="643" t="n"/>
      <c r="AE517" s="643" t="n"/>
      <c r="AI517" s="643" t="n"/>
      <c r="AM517" s="643" t="n"/>
      <c r="AQ517" s="643" t="n"/>
      <c r="AU517" s="643" t="n"/>
      <c r="AY517" s="643" t="n"/>
      <c r="BC517" s="643" t="n"/>
      <c r="BG517" s="643" t="n"/>
    </row>
    <row r="518" s="1168" customFormat="1" ht="12.75" customHeight="1">
      <c r="F518" s="643" t="n"/>
      <c r="K518" s="643" t="n"/>
      <c r="O518" s="643" t="n"/>
      <c r="S518" s="643" t="n"/>
      <c r="W518" s="643" t="n"/>
      <c r="AA518" s="643" t="n"/>
      <c r="AE518" s="643" t="n"/>
      <c r="AI518" s="643" t="n"/>
      <c r="AM518" s="643" t="n"/>
      <c r="AQ518" s="643" t="n"/>
      <c r="AU518" s="643" t="n"/>
      <c r="AY518" s="643" t="n"/>
      <c r="BC518" s="643" t="n"/>
      <c r="BG518" s="643" t="n"/>
    </row>
    <row r="519" s="1168" customFormat="1" ht="12.75" customHeight="1">
      <c r="F519" s="643" t="n"/>
      <c r="K519" s="643" t="n"/>
      <c r="O519" s="643" t="n"/>
      <c r="S519" s="643" t="n"/>
      <c r="W519" s="643" t="n"/>
      <c r="AA519" s="643" t="n"/>
      <c r="AE519" s="643" t="n"/>
      <c r="AI519" s="643" t="n"/>
      <c r="AM519" s="643" t="n"/>
      <c r="AQ519" s="643" t="n"/>
      <c r="AU519" s="643" t="n"/>
      <c r="AY519" s="643" t="n"/>
      <c r="BC519" s="643" t="n"/>
      <c r="BG519" s="643" t="n"/>
    </row>
    <row r="520" s="1168" customFormat="1" ht="12.75" customHeight="1">
      <c r="F520" s="643" t="n"/>
      <c r="K520" s="643" t="n"/>
      <c r="O520" s="643" t="n"/>
      <c r="S520" s="643" t="n"/>
      <c r="W520" s="643" t="n"/>
      <c r="AA520" s="643" t="n"/>
      <c r="AE520" s="643" t="n"/>
      <c r="AI520" s="643" t="n"/>
      <c r="AM520" s="643" t="n"/>
      <c r="AQ520" s="643" t="n"/>
      <c r="AU520" s="643" t="n"/>
      <c r="AY520" s="643" t="n"/>
      <c r="BC520" s="643" t="n"/>
      <c r="BG520" s="643" t="n"/>
    </row>
    <row r="521" s="1168" customFormat="1" ht="12.75" customHeight="1">
      <c r="F521" s="643" t="n"/>
      <c r="K521" s="643" t="n"/>
      <c r="O521" s="643" t="n"/>
      <c r="S521" s="643" t="n"/>
      <c r="W521" s="643" t="n"/>
      <c r="AA521" s="643" t="n"/>
      <c r="AE521" s="643" t="n"/>
      <c r="AI521" s="643" t="n"/>
      <c r="AM521" s="643" t="n"/>
      <c r="AQ521" s="643" t="n"/>
      <c r="AU521" s="643" t="n"/>
      <c r="AY521" s="643" t="n"/>
      <c r="BC521" s="643" t="n"/>
      <c r="BG521" s="643" t="n"/>
    </row>
    <row r="522" s="1168" customFormat="1" ht="12.75" customHeight="1">
      <c r="F522" s="643" t="n"/>
      <c r="K522" s="643" t="n"/>
      <c r="O522" s="643" t="n"/>
      <c r="S522" s="643" t="n"/>
      <c r="W522" s="643" t="n"/>
      <c r="AA522" s="643" t="n"/>
      <c r="AE522" s="643" t="n"/>
      <c r="AI522" s="643" t="n"/>
      <c r="AM522" s="643" t="n"/>
      <c r="AQ522" s="643" t="n"/>
      <c r="AU522" s="643" t="n"/>
      <c r="AY522" s="643" t="n"/>
      <c r="BC522" s="643" t="n"/>
      <c r="BG522" s="643" t="n"/>
    </row>
    <row r="523" s="1168" customFormat="1" ht="12.75" customHeight="1">
      <c r="F523" s="643" t="n"/>
      <c r="K523" s="643" t="n"/>
      <c r="O523" s="643" t="n"/>
      <c r="S523" s="643" t="n"/>
      <c r="W523" s="643" t="n"/>
      <c r="AA523" s="643" t="n"/>
      <c r="AE523" s="643" t="n"/>
      <c r="AI523" s="643" t="n"/>
      <c r="AM523" s="643" t="n"/>
      <c r="AQ523" s="643" t="n"/>
      <c r="AU523" s="643" t="n"/>
      <c r="AY523" s="643" t="n"/>
      <c r="BC523" s="643" t="n"/>
      <c r="BG523" s="643" t="n"/>
    </row>
    <row r="524" s="1168" customFormat="1" ht="12.75" customHeight="1">
      <c r="F524" s="643" t="n"/>
      <c r="K524" s="643" t="n"/>
      <c r="O524" s="643" t="n"/>
      <c r="S524" s="643" t="n"/>
      <c r="W524" s="643" t="n"/>
      <c r="AA524" s="643" t="n"/>
      <c r="AE524" s="643" t="n"/>
      <c r="AI524" s="643" t="n"/>
      <c r="AM524" s="643" t="n"/>
      <c r="AQ524" s="643" t="n"/>
      <c r="AU524" s="643" t="n"/>
      <c r="AY524" s="643" t="n"/>
      <c r="BC524" s="643" t="n"/>
      <c r="BG524" s="643" t="n"/>
    </row>
    <row r="525" s="1168" customFormat="1" ht="12.75" customHeight="1">
      <c r="F525" s="643" t="n"/>
      <c r="K525" s="643" t="n"/>
      <c r="O525" s="643" t="n"/>
      <c r="S525" s="643" t="n"/>
      <c r="W525" s="643" t="n"/>
      <c r="AA525" s="643" t="n"/>
      <c r="AE525" s="643" t="n"/>
      <c r="AI525" s="643" t="n"/>
      <c r="AM525" s="643" t="n"/>
      <c r="AQ525" s="643" t="n"/>
      <c r="AU525" s="643" t="n"/>
      <c r="AY525" s="643" t="n"/>
      <c r="BC525" s="643" t="n"/>
      <c r="BG525" s="643" t="n"/>
    </row>
    <row r="526" s="1168" customFormat="1" ht="12.75" customHeight="1">
      <c r="F526" s="643" t="n"/>
      <c r="K526" s="643" t="n"/>
      <c r="O526" s="643" t="n"/>
      <c r="S526" s="643" t="n"/>
      <c r="W526" s="643" t="n"/>
      <c r="AA526" s="643" t="n"/>
      <c r="AE526" s="643" t="n"/>
      <c r="AI526" s="643" t="n"/>
      <c r="AM526" s="643" t="n"/>
      <c r="AQ526" s="643" t="n"/>
      <c r="AU526" s="643" t="n"/>
      <c r="AY526" s="643" t="n"/>
      <c r="BC526" s="643" t="n"/>
      <c r="BG526" s="643" t="n"/>
    </row>
    <row r="527" s="1168" customFormat="1" ht="12.75" customHeight="1">
      <c r="F527" s="643" t="n"/>
      <c r="K527" s="643" t="n"/>
      <c r="O527" s="643" t="n"/>
      <c r="S527" s="643" t="n"/>
      <c r="W527" s="643" t="n"/>
      <c r="AA527" s="643" t="n"/>
      <c r="AE527" s="643" t="n"/>
      <c r="AI527" s="643" t="n"/>
      <c r="AM527" s="643" t="n"/>
      <c r="AQ527" s="643" t="n"/>
      <c r="AU527" s="643" t="n"/>
      <c r="AY527" s="643" t="n"/>
      <c r="BC527" s="643" t="n"/>
      <c r="BG527" s="643" t="n"/>
    </row>
    <row r="528" s="1168" customFormat="1" ht="12.75" customHeight="1">
      <c r="F528" s="643" t="n"/>
      <c r="K528" s="643" t="n"/>
      <c r="O528" s="643" t="n"/>
      <c r="S528" s="643" t="n"/>
      <c r="W528" s="643" t="n"/>
      <c r="AA528" s="643" t="n"/>
      <c r="AE528" s="643" t="n"/>
      <c r="AI528" s="643" t="n"/>
      <c r="AM528" s="643" t="n"/>
      <c r="AQ528" s="643" t="n"/>
      <c r="AU528" s="643" t="n"/>
      <c r="AY528" s="643" t="n"/>
      <c r="BC528" s="643" t="n"/>
      <c r="BG528" s="643" t="n"/>
    </row>
    <row r="529" s="1168" customFormat="1" ht="12.75" customHeight="1">
      <c r="F529" s="643" t="n"/>
      <c r="K529" s="643" t="n"/>
      <c r="O529" s="643" t="n"/>
      <c r="S529" s="643" t="n"/>
      <c r="W529" s="643" t="n"/>
      <c r="AA529" s="643" t="n"/>
      <c r="AE529" s="643" t="n"/>
      <c r="AI529" s="643" t="n"/>
      <c r="AM529" s="643" t="n"/>
      <c r="AQ529" s="643" t="n"/>
      <c r="AU529" s="643" t="n"/>
      <c r="AY529" s="643" t="n"/>
      <c r="BC529" s="643" t="n"/>
      <c r="BG529" s="643" t="n"/>
    </row>
    <row r="530" s="1168" customFormat="1" ht="12.75" customHeight="1">
      <c r="F530" s="643" t="n"/>
      <c r="K530" s="643" t="n"/>
      <c r="O530" s="643" t="n"/>
      <c r="S530" s="643" t="n"/>
      <c r="W530" s="643" t="n"/>
      <c r="AA530" s="643" t="n"/>
      <c r="AE530" s="643" t="n"/>
      <c r="AI530" s="643" t="n"/>
      <c r="AM530" s="643" t="n"/>
      <c r="AQ530" s="643" t="n"/>
      <c r="AU530" s="643" t="n"/>
      <c r="AY530" s="643" t="n"/>
      <c r="BC530" s="643" t="n"/>
      <c r="BG530" s="643" t="n"/>
    </row>
    <row r="531" s="1168" customFormat="1" ht="12.75" customHeight="1">
      <c r="F531" s="643" t="n"/>
      <c r="K531" s="643" t="n"/>
      <c r="O531" s="643" t="n"/>
      <c r="S531" s="643" t="n"/>
      <c r="W531" s="643" t="n"/>
      <c r="AA531" s="643" t="n"/>
      <c r="AE531" s="643" t="n"/>
      <c r="AI531" s="643" t="n"/>
      <c r="AM531" s="643" t="n"/>
      <c r="AQ531" s="643" t="n"/>
      <c r="AU531" s="643" t="n"/>
      <c r="AY531" s="643" t="n"/>
      <c r="BC531" s="643" t="n"/>
      <c r="BG531" s="643" t="n"/>
    </row>
    <row r="532" s="1168" customFormat="1" ht="12.75" customHeight="1">
      <c r="F532" s="643" t="n"/>
      <c r="K532" s="643" t="n"/>
      <c r="O532" s="643" t="n"/>
      <c r="S532" s="643" t="n"/>
      <c r="W532" s="643" t="n"/>
      <c r="AA532" s="643" t="n"/>
      <c r="AE532" s="643" t="n"/>
      <c r="AI532" s="643" t="n"/>
      <c r="AM532" s="643" t="n"/>
      <c r="AQ532" s="643" t="n"/>
      <c r="AU532" s="643" t="n"/>
      <c r="AY532" s="643" t="n"/>
      <c r="BC532" s="643" t="n"/>
      <c r="BG532" s="643" t="n"/>
    </row>
    <row r="533" s="1168" customFormat="1" ht="12.75" customHeight="1">
      <c r="F533" s="643" t="n"/>
      <c r="K533" s="643" t="n"/>
      <c r="O533" s="643" t="n"/>
      <c r="S533" s="643" t="n"/>
      <c r="W533" s="643" t="n"/>
      <c r="AA533" s="643" t="n"/>
      <c r="AE533" s="643" t="n"/>
      <c r="AI533" s="643" t="n"/>
      <c r="AM533" s="643" t="n"/>
      <c r="AQ533" s="643" t="n"/>
      <c r="AU533" s="643" t="n"/>
      <c r="AY533" s="643" t="n"/>
      <c r="BC533" s="643" t="n"/>
      <c r="BG533" s="643" t="n"/>
    </row>
    <row r="534" s="1168" customFormat="1" ht="12.75" customHeight="1">
      <c r="F534" s="643" t="n"/>
      <c r="K534" s="643" t="n"/>
      <c r="O534" s="643" t="n"/>
      <c r="S534" s="643" t="n"/>
      <c r="W534" s="643" t="n"/>
      <c r="AA534" s="643" t="n"/>
      <c r="AE534" s="643" t="n"/>
      <c r="AI534" s="643" t="n"/>
      <c r="AM534" s="643" t="n"/>
      <c r="AQ534" s="643" t="n"/>
      <c r="AU534" s="643" t="n"/>
      <c r="AY534" s="643" t="n"/>
      <c r="BC534" s="643" t="n"/>
      <c r="BG534" s="643" t="n"/>
    </row>
    <row r="535" s="1168" customFormat="1" ht="12.75" customHeight="1">
      <c r="F535" s="643" t="n"/>
      <c r="K535" s="643" t="n"/>
      <c r="O535" s="643" t="n"/>
      <c r="S535" s="643" t="n"/>
      <c r="W535" s="643" t="n"/>
      <c r="AA535" s="643" t="n"/>
      <c r="AE535" s="643" t="n"/>
      <c r="AI535" s="643" t="n"/>
      <c r="AM535" s="643" t="n"/>
      <c r="AQ535" s="643" t="n"/>
      <c r="AU535" s="643" t="n"/>
      <c r="AY535" s="643" t="n"/>
      <c r="BC535" s="643" t="n"/>
      <c r="BG535" s="643" t="n"/>
    </row>
    <row r="536" s="1168" customFormat="1" ht="12.75" customHeight="1">
      <c r="F536" s="643" t="n"/>
      <c r="K536" s="643" t="n"/>
      <c r="O536" s="643" t="n"/>
      <c r="S536" s="643" t="n"/>
      <c r="W536" s="643" t="n"/>
      <c r="AA536" s="643" t="n"/>
      <c r="AE536" s="643" t="n"/>
      <c r="AI536" s="643" t="n"/>
      <c r="AM536" s="643" t="n"/>
      <c r="AQ536" s="643" t="n"/>
      <c r="AU536" s="643" t="n"/>
      <c r="AY536" s="643" t="n"/>
      <c r="BC536" s="643" t="n"/>
      <c r="BG536" s="643" t="n"/>
    </row>
    <row r="537" s="1168" customFormat="1" ht="12.75" customHeight="1">
      <c r="F537" s="643" t="n"/>
      <c r="K537" s="643" t="n"/>
      <c r="O537" s="643" t="n"/>
      <c r="S537" s="643" t="n"/>
      <c r="W537" s="643" t="n"/>
      <c r="AA537" s="643" t="n"/>
      <c r="AE537" s="643" t="n"/>
      <c r="AI537" s="643" t="n"/>
      <c r="AM537" s="643" t="n"/>
      <c r="AQ537" s="643" t="n"/>
      <c r="AU537" s="643" t="n"/>
      <c r="AY537" s="643" t="n"/>
      <c r="BC537" s="643" t="n"/>
      <c r="BG537" s="643" t="n"/>
    </row>
    <row r="538" s="1168" customFormat="1" ht="12.75" customHeight="1">
      <c r="F538" s="643" t="n"/>
      <c r="K538" s="643" t="n"/>
      <c r="O538" s="643" t="n"/>
      <c r="S538" s="643" t="n"/>
      <c r="W538" s="643" t="n"/>
      <c r="AA538" s="643" t="n"/>
      <c r="AE538" s="643" t="n"/>
      <c r="AI538" s="643" t="n"/>
      <c r="AM538" s="643" t="n"/>
      <c r="AQ538" s="643" t="n"/>
      <c r="AU538" s="643" t="n"/>
      <c r="AY538" s="643" t="n"/>
      <c r="BC538" s="643" t="n"/>
      <c r="BG538" s="643" t="n"/>
    </row>
    <row r="539" s="1168" customFormat="1" ht="12.75" customHeight="1">
      <c r="F539" s="643" t="n"/>
      <c r="K539" s="643" t="n"/>
      <c r="O539" s="643" t="n"/>
      <c r="S539" s="643" t="n"/>
      <c r="W539" s="643" t="n"/>
      <c r="AA539" s="643" t="n"/>
      <c r="AE539" s="643" t="n"/>
      <c r="AI539" s="643" t="n"/>
      <c r="AM539" s="643" t="n"/>
      <c r="AQ539" s="643" t="n"/>
      <c r="AU539" s="643" t="n"/>
      <c r="AY539" s="643" t="n"/>
      <c r="BC539" s="643" t="n"/>
      <c r="BG539" s="643" t="n"/>
    </row>
    <row r="540" s="1168" customFormat="1" ht="12.75" customHeight="1">
      <c r="F540" s="643" t="n"/>
      <c r="K540" s="643" t="n"/>
      <c r="O540" s="643" t="n"/>
      <c r="S540" s="643" t="n"/>
      <c r="W540" s="643" t="n"/>
      <c r="AA540" s="643" t="n"/>
      <c r="AE540" s="643" t="n"/>
      <c r="AI540" s="643" t="n"/>
      <c r="AM540" s="643" t="n"/>
      <c r="AQ540" s="643" t="n"/>
      <c r="AU540" s="643" t="n"/>
      <c r="AY540" s="643" t="n"/>
      <c r="BC540" s="643" t="n"/>
      <c r="BG540" s="643" t="n"/>
    </row>
    <row r="541" s="1168" customFormat="1" ht="12.75" customHeight="1">
      <c r="F541" s="643" t="n"/>
      <c r="K541" s="643" t="n"/>
      <c r="O541" s="643" t="n"/>
      <c r="S541" s="643" t="n"/>
      <c r="W541" s="643" t="n"/>
      <c r="AA541" s="643" t="n"/>
      <c r="AE541" s="643" t="n"/>
      <c r="AI541" s="643" t="n"/>
      <c r="AM541" s="643" t="n"/>
      <c r="AQ541" s="643" t="n"/>
      <c r="AU541" s="643" t="n"/>
      <c r="AY541" s="643" t="n"/>
      <c r="BC541" s="643" t="n"/>
      <c r="BG541" s="643" t="n"/>
    </row>
    <row r="542" s="1168" customFormat="1" ht="12.75" customHeight="1">
      <c r="F542" s="643" t="n"/>
      <c r="K542" s="643" t="n"/>
      <c r="O542" s="643" t="n"/>
      <c r="S542" s="643" t="n"/>
      <c r="W542" s="643" t="n"/>
      <c r="AA542" s="643" t="n"/>
      <c r="AE542" s="643" t="n"/>
      <c r="AI542" s="643" t="n"/>
      <c r="AM542" s="643" t="n"/>
      <c r="AQ542" s="643" t="n"/>
      <c r="AU542" s="643" t="n"/>
      <c r="AY542" s="643" t="n"/>
      <c r="BC542" s="643" t="n"/>
      <c r="BG542" s="643" t="n"/>
    </row>
    <row r="543" s="1168" customFormat="1" ht="12.75" customHeight="1">
      <c r="F543" s="643" t="n"/>
      <c r="K543" s="643" t="n"/>
      <c r="O543" s="643" t="n"/>
      <c r="S543" s="643" t="n"/>
      <c r="W543" s="643" t="n"/>
      <c r="AA543" s="643" t="n"/>
      <c r="AE543" s="643" t="n"/>
      <c r="AI543" s="643" t="n"/>
      <c r="AM543" s="643" t="n"/>
      <c r="AQ543" s="643" t="n"/>
      <c r="AU543" s="643" t="n"/>
      <c r="AY543" s="643" t="n"/>
      <c r="BC543" s="643" t="n"/>
      <c r="BG543" s="643" t="n"/>
    </row>
    <row r="544" s="1168" customFormat="1" ht="12.75" customHeight="1">
      <c r="F544" s="643" t="n"/>
      <c r="K544" s="643" t="n"/>
      <c r="O544" s="643" t="n"/>
      <c r="S544" s="643" t="n"/>
      <c r="W544" s="643" t="n"/>
      <c r="AA544" s="643" t="n"/>
      <c r="AE544" s="643" t="n"/>
      <c r="AI544" s="643" t="n"/>
      <c r="AM544" s="643" t="n"/>
      <c r="AQ544" s="643" t="n"/>
      <c r="AU544" s="643" t="n"/>
      <c r="AY544" s="643" t="n"/>
      <c r="BC544" s="643" t="n"/>
      <c r="BG544" s="643" t="n"/>
    </row>
    <row r="545" s="1168" customFormat="1" ht="12.75" customHeight="1">
      <c r="F545" s="643" t="n"/>
      <c r="K545" s="643" t="n"/>
      <c r="O545" s="643" t="n"/>
      <c r="S545" s="643" t="n"/>
      <c r="W545" s="643" t="n"/>
      <c r="AA545" s="643" t="n"/>
      <c r="AE545" s="643" t="n"/>
      <c r="AI545" s="643" t="n"/>
      <c r="AM545" s="643" t="n"/>
      <c r="AQ545" s="643" t="n"/>
      <c r="AU545" s="643" t="n"/>
      <c r="AY545" s="643" t="n"/>
      <c r="BC545" s="643" t="n"/>
      <c r="BG545" s="643" t="n"/>
    </row>
    <row r="546" s="1168" customFormat="1" ht="12.75" customHeight="1">
      <c r="F546" s="643" t="n"/>
      <c r="K546" s="643" t="n"/>
      <c r="O546" s="643" t="n"/>
      <c r="S546" s="643" t="n"/>
      <c r="W546" s="643" t="n"/>
      <c r="AA546" s="643" t="n"/>
      <c r="AE546" s="643" t="n"/>
      <c r="AI546" s="643" t="n"/>
      <c r="AM546" s="643" t="n"/>
      <c r="AQ546" s="643" t="n"/>
      <c r="AU546" s="643" t="n"/>
      <c r="AY546" s="643" t="n"/>
      <c r="BC546" s="643" t="n"/>
      <c r="BG546" s="643" t="n"/>
    </row>
    <row r="547" s="1168" customFormat="1" ht="12.75" customHeight="1">
      <c r="F547" s="643" t="n"/>
      <c r="K547" s="643" t="n"/>
      <c r="O547" s="643" t="n"/>
      <c r="S547" s="643" t="n"/>
      <c r="W547" s="643" t="n"/>
      <c r="AA547" s="643" t="n"/>
      <c r="AE547" s="643" t="n"/>
      <c r="AI547" s="643" t="n"/>
      <c r="AM547" s="643" t="n"/>
      <c r="AQ547" s="643" t="n"/>
      <c r="AU547" s="643" t="n"/>
      <c r="AY547" s="643" t="n"/>
      <c r="BC547" s="643" t="n"/>
      <c r="BG547" s="643" t="n"/>
    </row>
    <row r="548" s="1168" customFormat="1" ht="12.75" customHeight="1">
      <c r="F548" s="643" t="n"/>
      <c r="K548" s="643" t="n"/>
      <c r="O548" s="643" t="n"/>
      <c r="S548" s="643" t="n"/>
      <c r="W548" s="643" t="n"/>
      <c r="AA548" s="643" t="n"/>
      <c r="AE548" s="643" t="n"/>
      <c r="AI548" s="643" t="n"/>
      <c r="AM548" s="643" t="n"/>
      <c r="AQ548" s="643" t="n"/>
      <c r="AU548" s="643" t="n"/>
      <c r="AY548" s="643" t="n"/>
      <c r="BC548" s="643" t="n"/>
      <c r="BG548" s="643" t="n"/>
    </row>
    <row r="549" s="1168" customFormat="1" ht="12.75" customHeight="1">
      <c r="F549" s="643" t="n"/>
      <c r="K549" s="643" t="n"/>
      <c r="O549" s="643" t="n"/>
      <c r="S549" s="643" t="n"/>
      <c r="W549" s="643" t="n"/>
      <c r="AA549" s="643" t="n"/>
      <c r="AE549" s="643" t="n"/>
      <c r="AI549" s="643" t="n"/>
      <c r="AM549" s="643" t="n"/>
      <c r="AQ549" s="643" t="n"/>
      <c r="AU549" s="643" t="n"/>
      <c r="AY549" s="643" t="n"/>
      <c r="BC549" s="643" t="n"/>
      <c r="BG549" s="643" t="n"/>
    </row>
    <row r="550" s="1168" customFormat="1" ht="12.75" customHeight="1">
      <c r="F550" s="643" t="n"/>
      <c r="K550" s="643" t="n"/>
      <c r="O550" s="643" t="n"/>
      <c r="S550" s="643" t="n"/>
      <c r="W550" s="643" t="n"/>
      <c r="AA550" s="643" t="n"/>
      <c r="AE550" s="643" t="n"/>
      <c r="AI550" s="643" t="n"/>
      <c r="AM550" s="643" t="n"/>
      <c r="AQ550" s="643" t="n"/>
      <c r="AU550" s="643" t="n"/>
      <c r="AY550" s="643" t="n"/>
      <c r="BC550" s="643" t="n"/>
      <c r="BG550" s="643" t="n"/>
    </row>
    <row r="551" s="1168" customFormat="1" ht="12.75" customHeight="1">
      <c r="F551" s="643" t="n"/>
      <c r="K551" s="643" t="n"/>
      <c r="O551" s="643" t="n"/>
      <c r="S551" s="643" t="n"/>
      <c r="W551" s="643" t="n"/>
      <c r="AA551" s="643" t="n"/>
      <c r="AE551" s="643" t="n"/>
      <c r="AI551" s="643" t="n"/>
      <c r="AM551" s="643" t="n"/>
      <c r="AQ551" s="643" t="n"/>
      <c r="AU551" s="643" t="n"/>
      <c r="AY551" s="643" t="n"/>
      <c r="BC551" s="643" t="n"/>
      <c r="BG551" s="643" t="n"/>
    </row>
    <row r="552" s="1168" customFormat="1" ht="12.75" customHeight="1">
      <c r="F552" s="643" t="n"/>
      <c r="K552" s="643" t="n"/>
      <c r="O552" s="643" t="n"/>
      <c r="S552" s="643" t="n"/>
      <c r="W552" s="643" t="n"/>
      <c r="AA552" s="643" t="n"/>
      <c r="AE552" s="643" t="n"/>
      <c r="AI552" s="643" t="n"/>
      <c r="AM552" s="643" t="n"/>
      <c r="AQ552" s="643" t="n"/>
      <c r="AU552" s="643" t="n"/>
      <c r="AY552" s="643" t="n"/>
      <c r="BC552" s="643" t="n"/>
      <c r="BG552" s="643" t="n"/>
    </row>
    <row r="553" s="1168" customFormat="1" ht="12.75" customHeight="1">
      <c r="F553" s="643" t="n"/>
      <c r="K553" s="643" t="n"/>
      <c r="O553" s="643" t="n"/>
      <c r="S553" s="643" t="n"/>
      <c r="W553" s="643" t="n"/>
      <c r="AA553" s="643" t="n"/>
      <c r="AE553" s="643" t="n"/>
      <c r="AI553" s="643" t="n"/>
      <c r="AM553" s="643" t="n"/>
      <c r="AQ553" s="643" t="n"/>
      <c r="AU553" s="643" t="n"/>
      <c r="AY553" s="643" t="n"/>
      <c r="BC553" s="643" t="n"/>
      <c r="BG553" s="643" t="n"/>
    </row>
    <row r="554" s="1168" customFormat="1" ht="12.75" customHeight="1">
      <c r="F554" s="643" t="n"/>
      <c r="K554" s="643" t="n"/>
      <c r="O554" s="643" t="n"/>
      <c r="S554" s="643" t="n"/>
      <c r="W554" s="643" t="n"/>
      <c r="AA554" s="643" t="n"/>
      <c r="AE554" s="643" t="n"/>
      <c r="AI554" s="643" t="n"/>
      <c r="AM554" s="643" t="n"/>
      <c r="AQ554" s="643" t="n"/>
      <c r="AU554" s="643" t="n"/>
      <c r="AY554" s="643" t="n"/>
      <c r="BC554" s="643" t="n"/>
      <c r="BG554" s="643" t="n"/>
    </row>
    <row r="555" s="1168" customFormat="1" ht="12.75" customHeight="1">
      <c r="F555" s="643" t="n"/>
      <c r="K555" s="643" t="n"/>
      <c r="O555" s="643" t="n"/>
      <c r="S555" s="643" t="n"/>
      <c r="W555" s="643" t="n"/>
      <c r="AA555" s="643" t="n"/>
      <c r="AE555" s="643" t="n"/>
      <c r="AI555" s="643" t="n"/>
      <c r="AM555" s="643" t="n"/>
      <c r="AQ555" s="643" t="n"/>
      <c r="AU555" s="643" t="n"/>
      <c r="AY555" s="643" t="n"/>
      <c r="BC555" s="643" t="n"/>
      <c r="BG555" s="643" t="n"/>
    </row>
    <row r="556" s="1168" customFormat="1" ht="12.75" customHeight="1">
      <c r="F556" s="643" t="n"/>
      <c r="K556" s="643" t="n"/>
      <c r="O556" s="643" t="n"/>
      <c r="S556" s="643" t="n"/>
      <c r="W556" s="643" t="n"/>
      <c r="AA556" s="643" t="n"/>
      <c r="AE556" s="643" t="n"/>
      <c r="AI556" s="643" t="n"/>
      <c r="AM556" s="643" t="n"/>
      <c r="AQ556" s="643" t="n"/>
      <c r="AU556" s="643" t="n"/>
      <c r="AY556" s="643" t="n"/>
      <c r="BC556" s="643" t="n"/>
      <c r="BG556" s="643" t="n"/>
    </row>
    <row r="557" s="1168" customFormat="1" ht="12.75" customHeight="1">
      <c r="F557" s="643" t="n"/>
      <c r="K557" s="643" t="n"/>
      <c r="O557" s="643" t="n"/>
      <c r="S557" s="643" t="n"/>
      <c r="W557" s="643" t="n"/>
      <c r="AA557" s="643" t="n"/>
      <c r="AE557" s="643" t="n"/>
      <c r="AI557" s="643" t="n"/>
      <c r="AM557" s="643" t="n"/>
      <c r="AQ557" s="643" t="n"/>
      <c r="AU557" s="643" t="n"/>
      <c r="AY557" s="643" t="n"/>
      <c r="BC557" s="643" t="n"/>
      <c r="BG557" s="643" t="n"/>
    </row>
    <row r="558" s="1168" customFormat="1" ht="12.75" customHeight="1">
      <c r="F558" s="643" t="n"/>
      <c r="K558" s="643" t="n"/>
      <c r="O558" s="643" t="n"/>
      <c r="S558" s="643" t="n"/>
      <c r="W558" s="643" t="n"/>
      <c r="AA558" s="643" t="n"/>
      <c r="AE558" s="643" t="n"/>
      <c r="AI558" s="643" t="n"/>
      <c r="AM558" s="643" t="n"/>
      <c r="AQ558" s="643" t="n"/>
      <c r="AU558" s="643" t="n"/>
      <c r="AY558" s="643" t="n"/>
      <c r="BC558" s="643" t="n"/>
      <c r="BG558" s="643" t="n"/>
    </row>
    <row r="559" s="1168" customFormat="1" ht="12.75" customHeight="1">
      <c r="F559" s="643" t="n"/>
      <c r="K559" s="643" t="n"/>
      <c r="O559" s="643" t="n"/>
      <c r="S559" s="643" t="n"/>
      <c r="W559" s="643" t="n"/>
      <c r="AA559" s="643" t="n"/>
      <c r="AE559" s="643" t="n"/>
      <c r="AI559" s="643" t="n"/>
      <c r="AM559" s="643" t="n"/>
      <c r="AQ559" s="643" t="n"/>
      <c r="AU559" s="643" t="n"/>
      <c r="AY559" s="643" t="n"/>
      <c r="BC559" s="643" t="n"/>
      <c r="BG559" s="643" t="n"/>
    </row>
    <row r="560" s="1168" customFormat="1" ht="12.75" customHeight="1">
      <c r="F560" s="643" t="n"/>
      <c r="K560" s="643" t="n"/>
      <c r="O560" s="643" t="n"/>
      <c r="S560" s="643" t="n"/>
      <c r="W560" s="643" t="n"/>
      <c r="AA560" s="643" t="n"/>
      <c r="AE560" s="643" t="n"/>
      <c r="AI560" s="643" t="n"/>
      <c r="AM560" s="643" t="n"/>
      <c r="AQ560" s="643" t="n"/>
      <c r="AU560" s="643" t="n"/>
      <c r="AY560" s="643" t="n"/>
      <c r="BC560" s="643" t="n"/>
      <c r="BG560" s="643" t="n"/>
    </row>
    <row r="561" s="1168" customFormat="1" ht="12.75" customHeight="1">
      <c r="F561" s="643" t="n"/>
      <c r="K561" s="643" t="n"/>
      <c r="O561" s="643" t="n"/>
      <c r="S561" s="643" t="n"/>
      <c r="W561" s="643" t="n"/>
      <c r="AA561" s="643" t="n"/>
      <c r="AE561" s="643" t="n"/>
      <c r="AI561" s="643" t="n"/>
      <c r="AM561" s="643" t="n"/>
      <c r="AQ561" s="643" t="n"/>
      <c r="AU561" s="643" t="n"/>
      <c r="AY561" s="643" t="n"/>
      <c r="BC561" s="643" t="n"/>
      <c r="BG561" s="643" t="n"/>
    </row>
    <row r="562" s="1168" customFormat="1" ht="12.75" customHeight="1">
      <c r="F562" s="643" t="n"/>
      <c r="K562" s="643" t="n"/>
      <c r="O562" s="643" t="n"/>
      <c r="S562" s="643" t="n"/>
      <c r="W562" s="643" t="n"/>
      <c r="AA562" s="643" t="n"/>
      <c r="AE562" s="643" t="n"/>
      <c r="AI562" s="643" t="n"/>
      <c r="AM562" s="643" t="n"/>
      <c r="AQ562" s="643" t="n"/>
      <c r="AU562" s="643" t="n"/>
      <c r="AY562" s="643" t="n"/>
      <c r="BC562" s="643" t="n"/>
      <c r="BG562" s="643" t="n"/>
    </row>
    <row r="563" s="1168" customFormat="1" ht="12.75" customHeight="1">
      <c r="F563" s="643" t="n"/>
      <c r="K563" s="643" t="n"/>
      <c r="O563" s="643" t="n"/>
      <c r="S563" s="643" t="n"/>
      <c r="W563" s="643" t="n"/>
      <c r="AA563" s="643" t="n"/>
      <c r="AE563" s="643" t="n"/>
      <c r="AI563" s="643" t="n"/>
      <c r="AM563" s="643" t="n"/>
      <c r="AQ563" s="643" t="n"/>
      <c r="AU563" s="643" t="n"/>
      <c r="AY563" s="643" t="n"/>
      <c r="BC563" s="643" t="n"/>
      <c r="BG563" s="643" t="n"/>
    </row>
    <row r="564" s="1168" customFormat="1" ht="12.75" customHeight="1">
      <c r="F564" s="643" t="n"/>
      <c r="K564" s="643" t="n"/>
      <c r="O564" s="643" t="n"/>
      <c r="S564" s="643" t="n"/>
      <c r="W564" s="643" t="n"/>
      <c r="AA564" s="643" t="n"/>
      <c r="AE564" s="643" t="n"/>
      <c r="AI564" s="643" t="n"/>
      <c r="AM564" s="643" t="n"/>
      <c r="AQ564" s="643" t="n"/>
      <c r="AU564" s="643" t="n"/>
      <c r="AY564" s="643" t="n"/>
      <c r="BC564" s="643" t="n"/>
      <c r="BG564" s="643" t="n"/>
    </row>
    <row r="565" s="1168" customFormat="1" ht="12.75" customHeight="1">
      <c r="F565" s="643" t="n"/>
      <c r="K565" s="643" t="n"/>
      <c r="O565" s="643" t="n"/>
      <c r="S565" s="643" t="n"/>
      <c r="W565" s="643" t="n"/>
      <c r="AA565" s="643" t="n"/>
      <c r="AE565" s="643" t="n"/>
      <c r="AI565" s="643" t="n"/>
      <c r="AM565" s="643" t="n"/>
      <c r="AQ565" s="643" t="n"/>
      <c r="AU565" s="643" t="n"/>
      <c r="AY565" s="643" t="n"/>
      <c r="BC565" s="643" t="n"/>
      <c r="BG565" s="643" t="n"/>
    </row>
    <row r="566" s="1168" customFormat="1" ht="12.75" customHeight="1">
      <c r="F566" s="643" t="n"/>
      <c r="K566" s="643" t="n"/>
      <c r="O566" s="643" t="n"/>
      <c r="S566" s="643" t="n"/>
      <c r="W566" s="643" t="n"/>
      <c r="AA566" s="643" t="n"/>
      <c r="AE566" s="643" t="n"/>
      <c r="AI566" s="643" t="n"/>
      <c r="AM566" s="643" t="n"/>
      <c r="AQ566" s="643" t="n"/>
      <c r="AU566" s="643" t="n"/>
      <c r="AY566" s="643" t="n"/>
      <c r="BC566" s="643" t="n"/>
      <c r="BG566" s="643" t="n"/>
    </row>
    <row r="567" s="1168" customFormat="1" ht="12.75" customHeight="1">
      <c r="F567" s="643" t="n"/>
      <c r="K567" s="643" t="n"/>
      <c r="O567" s="643" t="n"/>
      <c r="S567" s="643" t="n"/>
      <c r="W567" s="643" t="n"/>
      <c r="AA567" s="643" t="n"/>
      <c r="AE567" s="643" t="n"/>
      <c r="AI567" s="643" t="n"/>
      <c r="AM567" s="643" t="n"/>
      <c r="AQ567" s="643" t="n"/>
      <c r="AU567" s="643" t="n"/>
      <c r="AY567" s="643" t="n"/>
      <c r="BC567" s="643" t="n"/>
      <c r="BG567" s="643" t="n"/>
    </row>
    <row r="568" s="1168" customFormat="1" ht="12.75" customHeight="1">
      <c r="F568" s="643" t="n"/>
      <c r="K568" s="643" t="n"/>
      <c r="O568" s="643" t="n"/>
      <c r="S568" s="643" t="n"/>
      <c r="W568" s="643" t="n"/>
      <c r="AA568" s="643" t="n"/>
      <c r="AE568" s="643" t="n"/>
      <c r="AI568" s="643" t="n"/>
      <c r="AM568" s="643" t="n"/>
      <c r="AQ568" s="643" t="n"/>
      <c r="AU568" s="643" t="n"/>
      <c r="AY568" s="643" t="n"/>
      <c r="BC568" s="643" t="n"/>
      <c r="BG568" s="643" t="n"/>
    </row>
    <row r="569" s="1168" customFormat="1" ht="12.75" customHeight="1">
      <c r="F569" s="643" t="n"/>
      <c r="K569" s="643" t="n"/>
      <c r="O569" s="643" t="n"/>
      <c r="S569" s="643" t="n"/>
      <c r="W569" s="643" t="n"/>
      <c r="AA569" s="643" t="n"/>
      <c r="AE569" s="643" t="n"/>
      <c r="AI569" s="643" t="n"/>
      <c r="AM569" s="643" t="n"/>
      <c r="AQ569" s="643" t="n"/>
      <c r="AU569" s="643" t="n"/>
      <c r="AY569" s="643" t="n"/>
      <c r="BC569" s="643" t="n"/>
      <c r="BG569" s="643" t="n"/>
    </row>
    <row r="570" s="1168" customFormat="1" ht="12.75" customHeight="1">
      <c r="F570" s="643" t="n"/>
      <c r="K570" s="643" t="n"/>
      <c r="O570" s="643" t="n"/>
      <c r="S570" s="643" t="n"/>
      <c r="W570" s="643" t="n"/>
      <c r="AA570" s="643" t="n"/>
      <c r="AE570" s="643" t="n"/>
      <c r="AI570" s="643" t="n"/>
      <c r="AM570" s="643" t="n"/>
      <c r="AQ570" s="643" t="n"/>
      <c r="AU570" s="643" t="n"/>
      <c r="AY570" s="643" t="n"/>
      <c r="BC570" s="643" t="n"/>
      <c r="BG570" s="643" t="n"/>
    </row>
    <row r="571" s="1168" customFormat="1" ht="12.75" customHeight="1">
      <c r="F571" s="643" t="n"/>
      <c r="K571" s="643" t="n"/>
      <c r="O571" s="643" t="n"/>
      <c r="S571" s="643" t="n"/>
      <c r="W571" s="643" t="n"/>
      <c r="AA571" s="643" t="n"/>
      <c r="AE571" s="643" t="n"/>
      <c r="AI571" s="643" t="n"/>
      <c r="AM571" s="643" t="n"/>
      <c r="AQ571" s="643" t="n"/>
      <c r="AU571" s="643" t="n"/>
      <c r="AY571" s="643" t="n"/>
      <c r="BC571" s="643" t="n"/>
      <c r="BG571" s="643" t="n"/>
    </row>
    <row r="572" s="1168" customFormat="1" ht="12.75" customHeight="1">
      <c r="F572" s="643" t="n"/>
      <c r="K572" s="643" t="n"/>
      <c r="O572" s="643" t="n"/>
      <c r="S572" s="643" t="n"/>
      <c r="W572" s="643" t="n"/>
      <c r="AA572" s="643" t="n"/>
      <c r="AE572" s="643" t="n"/>
      <c r="AI572" s="643" t="n"/>
      <c r="AM572" s="643" t="n"/>
      <c r="AQ572" s="643" t="n"/>
      <c r="AU572" s="643" t="n"/>
      <c r="AY572" s="643" t="n"/>
      <c r="BC572" s="643" t="n"/>
      <c r="BG572" s="643" t="n"/>
    </row>
    <row r="573" s="1168" customFormat="1" ht="12.75" customHeight="1">
      <c r="F573" s="643" t="n"/>
      <c r="K573" s="643" t="n"/>
      <c r="O573" s="643" t="n"/>
      <c r="S573" s="643" t="n"/>
      <c r="W573" s="643" t="n"/>
      <c r="AA573" s="643" t="n"/>
      <c r="AE573" s="643" t="n"/>
      <c r="AI573" s="643" t="n"/>
      <c r="AM573" s="643" t="n"/>
      <c r="AQ573" s="643" t="n"/>
      <c r="AU573" s="643" t="n"/>
      <c r="AY573" s="643" t="n"/>
      <c r="BC573" s="643" t="n"/>
      <c r="BG573" s="643" t="n"/>
    </row>
    <row r="574" s="1168" customFormat="1" ht="12.75" customHeight="1">
      <c r="F574" s="643" t="n"/>
      <c r="K574" s="643" t="n"/>
      <c r="O574" s="643" t="n"/>
      <c r="S574" s="643" t="n"/>
      <c r="W574" s="643" t="n"/>
      <c r="AA574" s="643" t="n"/>
      <c r="AE574" s="643" t="n"/>
      <c r="AI574" s="643" t="n"/>
      <c r="AM574" s="643" t="n"/>
      <c r="AQ574" s="643" t="n"/>
      <c r="AU574" s="643" t="n"/>
      <c r="AY574" s="643" t="n"/>
      <c r="BC574" s="643" t="n"/>
      <c r="BG574" s="643" t="n"/>
    </row>
    <row r="575" s="1168" customFormat="1" ht="12.75" customHeight="1">
      <c r="F575" s="643" t="n"/>
      <c r="K575" s="643" t="n"/>
      <c r="O575" s="643" t="n"/>
      <c r="S575" s="643" t="n"/>
      <c r="W575" s="643" t="n"/>
      <c r="AA575" s="643" t="n"/>
      <c r="AE575" s="643" t="n"/>
      <c r="AI575" s="643" t="n"/>
      <c r="AM575" s="643" t="n"/>
      <c r="AQ575" s="643" t="n"/>
      <c r="AU575" s="643" t="n"/>
      <c r="AY575" s="643" t="n"/>
      <c r="BC575" s="643" t="n"/>
      <c r="BG575" s="643" t="n"/>
    </row>
    <row r="576" s="1168" customFormat="1" ht="12.75" customHeight="1">
      <c r="F576" s="643" t="n"/>
      <c r="K576" s="643" t="n"/>
      <c r="O576" s="643" t="n"/>
      <c r="S576" s="643" t="n"/>
      <c r="W576" s="643" t="n"/>
      <c r="AA576" s="643" t="n"/>
      <c r="AE576" s="643" t="n"/>
      <c r="AI576" s="643" t="n"/>
      <c r="AM576" s="643" t="n"/>
      <c r="AQ576" s="643" t="n"/>
      <c r="AU576" s="643" t="n"/>
      <c r="AY576" s="643" t="n"/>
      <c r="BC576" s="643" t="n"/>
      <c r="BG576" s="643" t="n"/>
    </row>
    <row r="577" s="1168" customFormat="1" ht="12.75" customHeight="1">
      <c r="F577" s="643" t="n"/>
      <c r="K577" s="643" t="n"/>
      <c r="O577" s="643" t="n"/>
      <c r="S577" s="643" t="n"/>
      <c r="W577" s="643" t="n"/>
      <c r="AA577" s="643" t="n"/>
      <c r="AE577" s="643" t="n"/>
      <c r="AI577" s="643" t="n"/>
      <c r="AM577" s="643" t="n"/>
      <c r="AQ577" s="643" t="n"/>
      <c r="AU577" s="643" t="n"/>
      <c r="AY577" s="643" t="n"/>
      <c r="BC577" s="643" t="n"/>
      <c r="BG577" s="643" t="n"/>
    </row>
    <row r="578" s="1168" customFormat="1" ht="12.75" customHeight="1">
      <c r="F578" s="643" t="n"/>
      <c r="K578" s="643" t="n"/>
      <c r="O578" s="643" t="n"/>
      <c r="S578" s="643" t="n"/>
      <c r="W578" s="643" t="n"/>
      <c r="AA578" s="643" t="n"/>
      <c r="AE578" s="643" t="n"/>
      <c r="AI578" s="643" t="n"/>
      <c r="AM578" s="643" t="n"/>
      <c r="AQ578" s="643" t="n"/>
      <c r="AU578" s="643" t="n"/>
      <c r="AY578" s="643" t="n"/>
      <c r="BC578" s="643" t="n"/>
      <c r="BG578" s="643" t="n"/>
    </row>
    <row r="579" s="1168" customFormat="1" ht="12.75" customHeight="1">
      <c r="F579" s="643" t="n"/>
      <c r="K579" s="643" t="n"/>
      <c r="O579" s="643" t="n"/>
      <c r="S579" s="643" t="n"/>
      <c r="W579" s="643" t="n"/>
      <c r="AA579" s="643" t="n"/>
      <c r="AE579" s="643" t="n"/>
      <c r="AI579" s="643" t="n"/>
      <c r="AM579" s="643" t="n"/>
      <c r="AQ579" s="643" t="n"/>
      <c r="AU579" s="643" t="n"/>
      <c r="AY579" s="643" t="n"/>
      <c r="BC579" s="643" t="n"/>
      <c r="BG579" s="643" t="n"/>
    </row>
    <row r="580" s="1168" customFormat="1" ht="12.75" customHeight="1">
      <c r="F580" s="643" t="n"/>
      <c r="K580" s="643" t="n"/>
      <c r="O580" s="643" t="n"/>
      <c r="S580" s="643" t="n"/>
      <c r="W580" s="643" t="n"/>
      <c r="AA580" s="643" t="n"/>
      <c r="AE580" s="643" t="n"/>
      <c r="AI580" s="643" t="n"/>
      <c r="AM580" s="643" t="n"/>
      <c r="AQ580" s="643" t="n"/>
      <c r="AU580" s="643" t="n"/>
      <c r="AY580" s="643" t="n"/>
      <c r="BC580" s="643" t="n"/>
      <c r="BG580" s="643" t="n"/>
    </row>
    <row r="581" s="1168" customFormat="1" ht="12.75" customHeight="1">
      <c r="F581" s="643" t="n"/>
      <c r="K581" s="643" t="n"/>
      <c r="O581" s="643" t="n"/>
      <c r="S581" s="643" t="n"/>
      <c r="W581" s="643" t="n"/>
      <c r="AA581" s="643" t="n"/>
      <c r="AE581" s="643" t="n"/>
      <c r="AI581" s="643" t="n"/>
      <c r="AM581" s="643" t="n"/>
      <c r="AQ581" s="643" t="n"/>
      <c r="AU581" s="643" t="n"/>
      <c r="AY581" s="643" t="n"/>
      <c r="BC581" s="643" t="n"/>
      <c r="BG581" s="643" t="n"/>
    </row>
    <row r="582" s="1168" customFormat="1" ht="12.75" customHeight="1">
      <c r="F582" s="643" t="n"/>
      <c r="K582" s="643" t="n"/>
      <c r="O582" s="643" t="n"/>
      <c r="S582" s="643" t="n"/>
      <c r="W582" s="643" t="n"/>
      <c r="AA582" s="643" t="n"/>
      <c r="AE582" s="643" t="n"/>
      <c r="AI582" s="643" t="n"/>
      <c r="AM582" s="643" t="n"/>
      <c r="AQ582" s="643" t="n"/>
      <c r="AU582" s="643" t="n"/>
      <c r="AY582" s="643" t="n"/>
      <c r="BC582" s="643" t="n"/>
      <c r="BG582" s="643" t="n"/>
    </row>
    <row r="583" s="1168" customFormat="1" ht="12.75" customHeight="1">
      <c r="F583" s="643" t="n"/>
      <c r="K583" s="643" t="n"/>
      <c r="O583" s="643" t="n"/>
      <c r="S583" s="643" t="n"/>
      <c r="W583" s="643" t="n"/>
      <c r="AA583" s="643" t="n"/>
      <c r="AE583" s="643" t="n"/>
      <c r="AI583" s="643" t="n"/>
      <c r="AM583" s="643" t="n"/>
      <c r="AQ583" s="643" t="n"/>
      <c r="AU583" s="643" t="n"/>
      <c r="AY583" s="643" t="n"/>
      <c r="BC583" s="643" t="n"/>
      <c r="BG583" s="643" t="n"/>
    </row>
    <row r="584" s="1168" customFormat="1" ht="12.75" customHeight="1">
      <c r="F584" s="643" t="n"/>
      <c r="K584" s="643" t="n"/>
      <c r="O584" s="643" t="n"/>
      <c r="S584" s="643" t="n"/>
      <c r="W584" s="643" t="n"/>
      <c r="AA584" s="643" t="n"/>
      <c r="AE584" s="643" t="n"/>
      <c r="AI584" s="643" t="n"/>
      <c r="AM584" s="643" t="n"/>
      <c r="AQ584" s="643" t="n"/>
      <c r="AU584" s="643" t="n"/>
      <c r="AY584" s="643" t="n"/>
      <c r="BC584" s="643" t="n"/>
      <c r="BG584" s="643" t="n"/>
    </row>
    <row r="585" s="1168" customFormat="1" ht="12.75" customHeight="1">
      <c r="F585" s="643" t="n"/>
      <c r="K585" s="643" t="n"/>
      <c r="O585" s="643" t="n"/>
      <c r="S585" s="643" t="n"/>
      <c r="W585" s="643" t="n"/>
      <c r="AA585" s="643" t="n"/>
      <c r="AE585" s="643" t="n"/>
      <c r="AI585" s="643" t="n"/>
      <c r="AM585" s="643" t="n"/>
      <c r="AQ585" s="643" t="n"/>
      <c r="AU585" s="643" t="n"/>
      <c r="AY585" s="643" t="n"/>
      <c r="BC585" s="643" t="n"/>
      <c r="BG585" s="643" t="n"/>
    </row>
    <row r="586" s="1168" customFormat="1" ht="12.75" customHeight="1">
      <c r="F586" s="643" t="n"/>
      <c r="K586" s="643" t="n"/>
      <c r="O586" s="643" t="n"/>
      <c r="S586" s="643" t="n"/>
      <c r="W586" s="643" t="n"/>
      <c r="AA586" s="643" t="n"/>
      <c r="AE586" s="643" t="n"/>
      <c r="AI586" s="643" t="n"/>
      <c r="AM586" s="643" t="n"/>
      <c r="AQ586" s="643" t="n"/>
      <c r="AU586" s="643" t="n"/>
      <c r="AY586" s="643" t="n"/>
      <c r="BC586" s="643" t="n"/>
      <c r="BG586" s="643" t="n"/>
    </row>
    <row r="587" s="1168" customFormat="1" ht="12.75" customHeight="1">
      <c r="F587" s="643" t="n"/>
      <c r="K587" s="643" t="n"/>
      <c r="O587" s="643" t="n"/>
      <c r="S587" s="643" t="n"/>
      <c r="W587" s="643" t="n"/>
      <c r="AA587" s="643" t="n"/>
      <c r="AE587" s="643" t="n"/>
      <c r="AI587" s="643" t="n"/>
      <c r="AM587" s="643" t="n"/>
      <c r="AQ587" s="643" t="n"/>
      <c r="AU587" s="643" t="n"/>
      <c r="AY587" s="643" t="n"/>
      <c r="BC587" s="643" t="n"/>
      <c r="BG587" s="643" t="n"/>
    </row>
    <row r="588" s="1168" customFormat="1" ht="12.75" customHeight="1">
      <c r="F588" s="643" t="n"/>
      <c r="K588" s="643" t="n"/>
      <c r="O588" s="643" t="n"/>
      <c r="S588" s="643" t="n"/>
      <c r="W588" s="643" t="n"/>
      <c r="AA588" s="643" t="n"/>
      <c r="AE588" s="643" t="n"/>
      <c r="AI588" s="643" t="n"/>
      <c r="AM588" s="643" t="n"/>
      <c r="AQ588" s="643" t="n"/>
      <c r="AU588" s="643" t="n"/>
      <c r="AY588" s="643" t="n"/>
      <c r="BC588" s="643" t="n"/>
      <c r="BG588" s="643" t="n"/>
    </row>
    <row r="589" s="1168" customFormat="1" ht="12.75" customHeight="1">
      <c r="F589" s="643" t="n"/>
      <c r="K589" s="643" t="n"/>
      <c r="O589" s="643" t="n"/>
      <c r="S589" s="643" t="n"/>
      <c r="W589" s="643" t="n"/>
      <c r="AA589" s="643" t="n"/>
      <c r="AE589" s="643" t="n"/>
      <c r="AI589" s="643" t="n"/>
      <c r="AM589" s="643" t="n"/>
      <c r="AQ589" s="643" t="n"/>
      <c r="AU589" s="643" t="n"/>
      <c r="AY589" s="643" t="n"/>
      <c r="BC589" s="643" t="n"/>
      <c r="BG589" s="643" t="n"/>
    </row>
    <row r="590" s="1168" customFormat="1" ht="12.75" customHeight="1">
      <c r="F590" s="643" t="n"/>
      <c r="K590" s="643" t="n"/>
      <c r="O590" s="643" t="n"/>
      <c r="S590" s="643" t="n"/>
      <c r="W590" s="643" t="n"/>
      <c r="AA590" s="643" t="n"/>
      <c r="AE590" s="643" t="n"/>
      <c r="AI590" s="643" t="n"/>
      <c r="AM590" s="643" t="n"/>
      <c r="AQ590" s="643" t="n"/>
      <c r="AU590" s="643" t="n"/>
      <c r="AY590" s="643" t="n"/>
      <c r="BC590" s="643" t="n"/>
      <c r="BG590" s="643" t="n"/>
    </row>
    <row r="591" s="1168" customFormat="1" ht="12.75" customHeight="1">
      <c r="F591" s="643" t="n"/>
      <c r="K591" s="643" t="n"/>
      <c r="O591" s="643" t="n"/>
      <c r="S591" s="643" t="n"/>
      <c r="W591" s="643" t="n"/>
      <c r="AA591" s="643" t="n"/>
      <c r="AE591" s="643" t="n"/>
      <c r="AI591" s="643" t="n"/>
      <c r="AM591" s="643" t="n"/>
      <c r="AQ591" s="643" t="n"/>
      <c r="AU591" s="643" t="n"/>
      <c r="AY591" s="643" t="n"/>
      <c r="BC591" s="643" t="n"/>
      <c r="BG591" s="643" t="n"/>
    </row>
    <row r="592" s="1168" customFormat="1" ht="12.75" customHeight="1">
      <c r="F592" s="643" t="n"/>
      <c r="K592" s="643" t="n"/>
      <c r="O592" s="643" t="n"/>
      <c r="S592" s="643" t="n"/>
      <c r="W592" s="643" t="n"/>
      <c r="AA592" s="643" t="n"/>
      <c r="AE592" s="643" t="n"/>
      <c r="AI592" s="643" t="n"/>
      <c r="AM592" s="643" t="n"/>
      <c r="AQ592" s="643" t="n"/>
      <c r="AU592" s="643" t="n"/>
      <c r="AY592" s="643" t="n"/>
      <c r="BC592" s="643" t="n"/>
      <c r="BG592" s="643" t="n"/>
    </row>
    <row r="593" s="1168" customFormat="1" ht="12.75" customHeight="1">
      <c r="F593" s="643" t="n"/>
      <c r="K593" s="643" t="n"/>
      <c r="O593" s="643" t="n"/>
      <c r="S593" s="643" t="n"/>
      <c r="W593" s="643" t="n"/>
      <c r="AA593" s="643" t="n"/>
      <c r="AE593" s="643" t="n"/>
      <c r="AI593" s="643" t="n"/>
      <c r="AM593" s="643" t="n"/>
      <c r="AQ593" s="643" t="n"/>
      <c r="AU593" s="643" t="n"/>
      <c r="AY593" s="643" t="n"/>
      <c r="BC593" s="643" t="n"/>
      <c r="BG593" s="643" t="n"/>
    </row>
    <row r="594" s="1168" customFormat="1" ht="12.75" customHeight="1">
      <c r="F594" s="643" t="n"/>
      <c r="K594" s="643" t="n"/>
      <c r="O594" s="643" t="n"/>
      <c r="S594" s="643" t="n"/>
      <c r="W594" s="643" t="n"/>
      <c r="AA594" s="643" t="n"/>
      <c r="AE594" s="643" t="n"/>
      <c r="AI594" s="643" t="n"/>
      <c r="AM594" s="643" t="n"/>
      <c r="AQ594" s="643" t="n"/>
      <c r="AU594" s="643" t="n"/>
      <c r="AY594" s="643" t="n"/>
      <c r="BC594" s="643" t="n"/>
      <c r="BG594" s="643" t="n"/>
    </row>
    <row r="595" s="1168" customFormat="1" ht="12.75" customHeight="1">
      <c r="F595" s="643" t="n"/>
      <c r="K595" s="643" t="n"/>
      <c r="O595" s="643" t="n"/>
      <c r="S595" s="643" t="n"/>
      <c r="W595" s="643" t="n"/>
      <c r="AA595" s="643" t="n"/>
      <c r="AE595" s="643" t="n"/>
      <c r="AI595" s="643" t="n"/>
      <c r="AM595" s="643" t="n"/>
      <c r="AQ595" s="643" t="n"/>
      <c r="AU595" s="643" t="n"/>
      <c r="AY595" s="643" t="n"/>
      <c r="BC595" s="643" t="n"/>
      <c r="BG595" s="643" t="n"/>
    </row>
    <row r="596" s="1168" customFormat="1" ht="12.75" customHeight="1">
      <c r="F596" s="643" t="n"/>
      <c r="K596" s="643" t="n"/>
      <c r="O596" s="643" t="n"/>
      <c r="S596" s="643" t="n"/>
      <c r="W596" s="643" t="n"/>
      <c r="AA596" s="643" t="n"/>
      <c r="AE596" s="643" t="n"/>
      <c r="AI596" s="643" t="n"/>
      <c r="AM596" s="643" t="n"/>
      <c r="AQ596" s="643" t="n"/>
      <c r="AU596" s="643" t="n"/>
      <c r="AY596" s="643" t="n"/>
      <c r="BC596" s="643" t="n"/>
      <c r="BG596" s="643" t="n"/>
    </row>
    <row r="597" s="1168" customFormat="1" ht="12.75" customHeight="1">
      <c r="F597" s="643" t="n"/>
      <c r="K597" s="643" t="n"/>
      <c r="O597" s="643" t="n"/>
      <c r="S597" s="643" t="n"/>
      <c r="W597" s="643" t="n"/>
      <c r="AA597" s="643" t="n"/>
      <c r="AE597" s="643" t="n"/>
      <c r="AI597" s="643" t="n"/>
      <c r="AM597" s="643" t="n"/>
      <c r="AQ597" s="643" t="n"/>
      <c r="AU597" s="643" t="n"/>
      <c r="AY597" s="643" t="n"/>
      <c r="BC597" s="643" t="n"/>
      <c r="BG597" s="643" t="n"/>
    </row>
    <row r="598" s="1168" customFormat="1" ht="12.75" customHeight="1">
      <c r="F598" s="643" t="n"/>
      <c r="K598" s="643" t="n"/>
      <c r="O598" s="643" t="n"/>
      <c r="S598" s="643" t="n"/>
      <c r="W598" s="643" t="n"/>
      <c r="AA598" s="643" t="n"/>
      <c r="AE598" s="643" t="n"/>
      <c r="AI598" s="643" t="n"/>
      <c r="AM598" s="643" t="n"/>
      <c r="AQ598" s="643" t="n"/>
      <c r="AU598" s="643" t="n"/>
      <c r="AY598" s="643" t="n"/>
      <c r="BC598" s="643" t="n"/>
      <c r="BG598" s="643" t="n"/>
    </row>
    <row r="599" s="1168" customFormat="1" ht="12.75" customHeight="1">
      <c r="F599" s="643" t="n"/>
      <c r="K599" s="643" t="n"/>
      <c r="O599" s="643" t="n"/>
      <c r="S599" s="643" t="n"/>
      <c r="W599" s="643" t="n"/>
      <c r="AA599" s="643" t="n"/>
      <c r="AE599" s="643" t="n"/>
      <c r="AI599" s="643" t="n"/>
      <c r="AM599" s="643" t="n"/>
      <c r="AQ599" s="643" t="n"/>
      <c r="AU599" s="643" t="n"/>
      <c r="AY599" s="643" t="n"/>
      <c r="BC599" s="643" t="n"/>
      <c r="BG599" s="643" t="n"/>
    </row>
    <row r="600" s="1168" customFormat="1" ht="12.75" customHeight="1">
      <c r="F600" s="643" t="n"/>
      <c r="K600" s="643" t="n"/>
      <c r="O600" s="643" t="n"/>
      <c r="S600" s="643" t="n"/>
      <c r="W600" s="643" t="n"/>
      <c r="AA600" s="643" t="n"/>
      <c r="AE600" s="643" t="n"/>
      <c r="AI600" s="643" t="n"/>
      <c r="AM600" s="643" t="n"/>
      <c r="AQ600" s="643" t="n"/>
      <c r="AU600" s="643" t="n"/>
      <c r="AY600" s="643" t="n"/>
      <c r="BC600" s="643" t="n"/>
      <c r="BG600" s="643" t="n"/>
    </row>
    <row r="601" s="1168" customFormat="1" ht="12.75" customHeight="1">
      <c r="F601" s="643" t="n"/>
      <c r="K601" s="643" t="n"/>
      <c r="O601" s="643" t="n"/>
      <c r="S601" s="643" t="n"/>
      <c r="W601" s="643" t="n"/>
      <c r="AA601" s="643" t="n"/>
      <c r="AE601" s="643" t="n"/>
      <c r="AI601" s="643" t="n"/>
      <c r="AM601" s="643" t="n"/>
      <c r="AQ601" s="643" t="n"/>
      <c r="AU601" s="643" t="n"/>
      <c r="AY601" s="643" t="n"/>
      <c r="BC601" s="643" t="n"/>
      <c r="BG601" s="643" t="n"/>
    </row>
    <row r="602" s="1168" customFormat="1" ht="12.75" customHeight="1">
      <c r="F602" s="643" t="n"/>
      <c r="K602" s="643" t="n"/>
      <c r="O602" s="643" t="n"/>
      <c r="S602" s="643" t="n"/>
      <c r="W602" s="643" t="n"/>
      <c r="AA602" s="643" t="n"/>
      <c r="AE602" s="643" t="n"/>
      <c r="AI602" s="643" t="n"/>
      <c r="AM602" s="643" t="n"/>
      <c r="AQ602" s="643" t="n"/>
      <c r="AU602" s="643" t="n"/>
      <c r="AY602" s="643" t="n"/>
      <c r="BC602" s="643" t="n"/>
      <c r="BG602" s="643" t="n"/>
    </row>
    <row r="603" s="1168" customFormat="1" ht="12.75" customHeight="1">
      <c r="F603" s="643" t="n"/>
      <c r="K603" s="643" t="n"/>
      <c r="O603" s="643" t="n"/>
      <c r="S603" s="643" t="n"/>
      <c r="W603" s="643" t="n"/>
      <c r="AA603" s="643" t="n"/>
      <c r="AE603" s="643" t="n"/>
      <c r="AI603" s="643" t="n"/>
      <c r="AM603" s="643" t="n"/>
      <c r="AQ603" s="643" t="n"/>
      <c r="AU603" s="643" t="n"/>
      <c r="AY603" s="643" t="n"/>
      <c r="BC603" s="643" t="n"/>
      <c r="BG603" s="643" t="n"/>
    </row>
    <row r="604" s="1168" customFormat="1" ht="12.75" customHeight="1">
      <c r="F604" s="643" t="n"/>
      <c r="K604" s="643" t="n"/>
      <c r="O604" s="643" t="n"/>
      <c r="S604" s="643" t="n"/>
      <c r="W604" s="643" t="n"/>
      <c r="AA604" s="643" t="n"/>
      <c r="AE604" s="643" t="n"/>
      <c r="AI604" s="643" t="n"/>
      <c r="AM604" s="643" t="n"/>
      <c r="AQ604" s="643" t="n"/>
      <c r="AU604" s="643" t="n"/>
      <c r="AY604" s="643" t="n"/>
      <c r="BC604" s="643" t="n"/>
      <c r="BG604" s="643" t="n"/>
    </row>
    <row r="605" s="1168" customFormat="1" ht="12.75" customHeight="1">
      <c r="F605" s="643" t="n"/>
      <c r="K605" s="643" t="n"/>
      <c r="O605" s="643" t="n"/>
      <c r="S605" s="643" t="n"/>
      <c r="W605" s="643" t="n"/>
      <c r="AA605" s="643" t="n"/>
      <c r="AE605" s="643" t="n"/>
      <c r="AI605" s="643" t="n"/>
      <c r="AM605" s="643" t="n"/>
      <c r="AQ605" s="643" t="n"/>
      <c r="AU605" s="643" t="n"/>
      <c r="AY605" s="643" t="n"/>
      <c r="BC605" s="643" t="n"/>
      <c r="BG605" s="643" t="n"/>
    </row>
    <row r="606" s="1168" customFormat="1" ht="12.75" customHeight="1">
      <c r="F606" s="643" t="n"/>
      <c r="K606" s="643" t="n"/>
      <c r="O606" s="643" t="n"/>
      <c r="S606" s="643" t="n"/>
      <c r="W606" s="643" t="n"/>
      <c r="AA606" s="643" t="n"/>
      <c r="AE606" s="643" t="n"/>
      <c r="AI606" s="643" t="n"/>
      <c r="AM606" s="643" t="n"/>
      <c r="AQ606" s="643" t="n"/>
      <c r="AU606" s="643" t="n"/>
      <c r="AY606" s="643" t="n"/>
      <c r="BC606" s="643" t="n"/>
      <c r="BG606" s="643" t="n"/>
    </row>
    <row r="607" s="1168" customFormat="1" ht="12.75" customHeight="1">
      <c r="F607" s="643" t="n"/>
      <c r="K607" s="643" t="n"/>
      <c r="O607" s="643" t="n"/>
      <c r="S607" s="643" t="n"/>
      <c r="W607" s="643" t="n"/>
      <c r="AA607" s="643" t="n"/>
      <c r="AE607" s="643" t="n"/>
      <c r="AI607" s="643" t="n"/>
      <c r="AM607" s="643" t="n"/>
      <c r="AQ607" s="643" t="n"/>
      <c r="AU607" s="643" t="n"/>
      <c r="AY607" s="643" t="n"/>
      <c r="BC607" s="643" t="n"/>
      <c r="BG607" s="643" t="n"/>
    </row>
    <row r="608" s="1168" customFormat="1" ht="12.75" customHeight="1">
      <c r="F608" s="643" t="n"/>
      <c r="K608" s="643" t="n"/>
      <c r="O608" s="643" t="n"/>
      <c r="S608" s="643" t="n"/>
      <c r="W608" s="643" t="n"/>
      <c r="AA608" s="643" t="n"/>
      <c r="AE608" s="643" t="n"/>
      <c r="AI608" s="643" t="n"/>
      <c r="AM608" s="643" t="n"/>
      <c r="AQ608" s="643" t="n"/>
      <c r="AU608" s="643" t="n"/>
      <c r="AY608" s="643" t="n"/>
      <c r="BC608" s="643" t="n"/>
      <c r="BG608" s="643" t="n"/>
    </row>
    <row r="609" s="1168" customFormat="1" ht="12.75" customHeight="1">
      <c r="F609" s="643" t="n"/>
      <c r="K609" s="643" t="n"/>
      <c r="O609" s="643" t="n"/>
      <c r="S609" s="643" t="n"/>
      <c r="W609" s="643" t="n"/>
      <c r="AA609" s="643" t="n"/>
      <c r="AE609" s="643" t="n"/>
      <c r="AI609" s="643" t="n"/>
      <c r="AM609" s="643" t="n"/>
      <c r="AQ609" s="643" t="n"/>
      <c r="AU609" s="643" t="n"/>
      <c r="AY609" s="643" t="n"/>
      <c r="BC609" s="643" t="n"/>
      <c r="BG609" s="643" t="n"/>
    </row>
    <row r="610" s="1168" customFormat="1" ht="12.75" customHeight="1">
      <c r="F610" s="643" t="n"/>
      <c r="K610" s="643" t="n"/>
      <c r="O610" s="643" t="n"/>
      <c r="S610" s="643" t="n"/>
      <c r="W610" s="643" t="n"/>
      <c r="AA610" s="643" t="n"/>
      <c r="AE610" s="643" t="n"/>
      <c r="AI610" s="643" t="n"/>
      <c r="AM610" s="643" t="n"/>
      <c r="AQ610" s="643" t="n"/>
      <c r="AU610" s="643" t="n"/>
      <c r="AY610" s="643" t="n"/>
      <c r="BC610" s="643" t="n"/>
      <c r="BG610" s="643" t="n"/>
    </row>
    <row r="611" s="1168" customFormat="1" ht="12.75" customHeight="1">
      <c r="F611" s="643" t="n"/>
      <c r="K611" s="643" t="n"/>
      <c r="O611" s="643" t="n"/>
      <c r="S611" s="643" t="n"/>
      <c r="W611" s="643" t="n"/>
      <c r="AA611" s="643" t="n"/>
      <c r="AE611" s="643" t="n"/>
      <c r="AI611" s="643" t="n"/>
      <c r="AM611" s="643" t="n"/>
      <c r="AQ611" s="643" t="n"/>
      <c r="AU611" s="643" t="n"/>
      <c r="AY611" s="643" t="n"/>
      <c r="BC611" s="643" t="n"/>
      <c r="BG611" s="643" t="n"/>
    </row>
    <row r="612" s="1168" customFormat="1" ht="12.75" customHeight="1">
      <c r="F612" s="643" t="n"/>
      <c r="K612" s="643" t="n"/>
      <c r="O612" s="643" t="n"/>
      <c r="S612" s="643" t="n"/>
      <c r="W612" s="643" t="n"/>
      <c r="AA612" s="643" t="n"/>
      <c r="AE612" s="643" t="n"/>
      <c r="AI612" s="643" t="n"/>
      <c r="AM612" s="643" t="n"/>
      <c r="AQ612" s="643" t="n"/>
      <c r="AU612" s="643" t="n"/>
      <c r="AY612" s="643" t="n"/>
      <c r="BC612" s="643" t="n"/>
      <c r="BG612" s="643" t="n"/>
    </row>
    <row r="613" s="1168" customFormat="1" ht="12.75" customHeight="1">
      <c r="F613" s="643" t="n"/>
      <c r="K613" s="643" t="n"/>
      <c r="O613" s="643" t="n"/>
      <c r="S613" s="643" t="n"/>
      <c r="W613" s="643" t="n"/>
      <c r="AA613" s="643" t="n"/>
      <c r="AE613" s="643" t="n"/>
      <c r="AI613" s="643" t="n"/>
      <c r="AM613" s="643" t="n"/>
      <c r="AQ613" s="643" t="n"/>
      <c r="AU613" s="643" t="n"/>
      <c r="AY613" s="643" t="n"/>
      <c r="BC613" s="643" t="n"/>
      <c r="BG613" s="643" t="n"/>
    </row>
    <row r="614" s="1168" customFormat="1" ht="12.75" customHeight="1">
      <c r="F614" s="643" t="n"/>
      <c r="K614" s="643" t="n"/>
      <c r="O614" s="643" t="n"/>
      <c r="S614" s="643" t="n"/>
      <c r="W614" s="643" t="n"/>
      <c r="AA614" s="643" t="n"/>
      <c r="AE614" s="643" t="n"/>
      <c r="AI614" s="643" t="n"/>
      <c r="AM614" s="643" t="n"/>
      <c r="AQ614" s="643" t="n"/>
      <c r="AU614" s="643" t="n"/>
      <c r="AY614" s="643" t="n"/>
      <c r="BC614" s="643" t="n"/>
      <c r="BG614" s="643" t="n"/>
    </row>
    <row r="615" s="1168" customFormat="1" ht="12.75" customHeight="1">
      <c r="F615" s="643" t="n"/>
      <c r="K615" s="643" t="n"/>
      <c r="O615" s="643" t="n"/>
      <c r="S615" s="643" t="n"/>
      <c r="W615" s="643" t="n"/>
      <c r="AA615" s="643" t="n"/>
      <c r="AE615" s="643" t="n"/>
      <c r="AI615" s="643" t="n"/>
      <c r="AM615" s="643" t="n"/>
      <c r="AQ615" s="643" t="n"/>
      <c r="AU615" s="643" t="n"/>
      <c r="AY615" s="643" t="n"/>
      <c r="BC615" s="643" t="n"/>
      <c r="BG615" s="643" t="n"/>
    </row>
    <row r="616" s="1168" customFormat="1" ht="12.75" customHeight="1">
      <c r="F616" s="643" t="n"/>
      <c r="K616" s="643" t="n"/>
      <c r="O616" s="643" t="n"/>
      <c r="S616" s="643" t="n"/>
      <c r="W616" s="643" t="n"/>
      <c r="AA616" s="643" t="n"/>
      <c r="AE616" s="643" t="n"/>
      <c r="AI616" s="643" t="n"/>
      <c r="AM616" s="643" t="n"/>
      <c r="AQ616" s="643" t="n"/>
      <c r="AU616" s="643" t="n"/>
      <c r="AY616" s="643" t="n"/>
      <c r="BC616" s="643" t="n"/>
      <c r="BG616" s="643" t="n"/>
    </row>
    <row r="617" s="1168" customFormat="1" ht="12.75" customHeight="1">
      <c r="F617" s="643" t="n"/>
      <c r="K617" s="643" t="n"/>
      <c r="O617" s="643" t="n"/>
      <c r="S617" s="643" t="n"/>
      <c r="W617" s="643" t="n"/>
      <c r="AA617" s="643" t="n"/>
      <c r="AE617" s="643" t="n"/>
      <c r="AI617" s="643" t="n"/>
      <c r="AM617" s="643" t="n"/>
      <c r="AQ617" s="643" t="n"/>
      <c r="AU617" s="643" t="n"/>
      <c r="AY617" s="643" t="n"/>
      <c r="BC617" s="643" t="n"/>
      <c r="BG617" s="643" t="n"/>
    </row>
    <row r="618" s="1168" customFormat="1" ht="12.75" customHeight="1">
      <c r="F618" s="643" t="n"/>
      <c r="K618" s="643" t="n"/>
      <c r="O618" s="643" t="n"/>
      <c r="S618" s="643" t="n"/>
      <c r="W618" s="643" t="n"/>
      <c r="AA618" s="643" t="n"/>
      <c r="AE618" s="643" t="n"/>
      <c r="AI618" s="643" t="n"/>
      <c r="AM618" s="643" t="n"/>
      <c r="AQ618" s="643" t="n"/>
      <c r="AU618" s="643" t="n"/>
      <c r="AY618" s="643" t="n"/>
      <c r="BC618" s="643" t="n"/>
      <c r="BG618" s="643" t="n"/>
    </row>
    <row r="619" s="1168" customFormat="1" ht="12.75" customHeight="1">
      <c r="F619" s="643" t="n"/>
      <c r="K619" s="643" t="n"/>
      <c r="O619" s="643" t="n"/>
      <c r="S619" s="643" t="n"/>
      <c r="W619" s="643" t="n"/>
      <c r="AA619" s="643" t="n"/>
      <c r="AE619" s="643" t="n"/>
      <c r="AI619" s="643" t="n"/>
      <c r="AM619" s="643" t="n"/>
      <c r="AQ619" s="643" t="n"/>
      <c r="AU619" s="643" t="n"/>
      <c r="AY619" s="643" t="n"/>
      <c r="BC619" s="643" t="n"/>
      <c r="BG619" s="643" t="n"/>
    </row>
    <row r="620" s="1168" customFormat="1" ht="12.75" customHeight="1">
      <c r="F620" s="643" t="n"/>
      <c r="K620" s="643" t="n"/>
      <c r="O620" s="643" t="n"/>
      <c r="S620" s="643" t="n"/>
      <c r="W620" s="643" t="n"/>
      <c r="AA620" s="643" t="n"/>
      <c r="AE620" s="643" t="n"/>
      <c r="AI620" s="643" t="n"/>
      <c r="AM620" s="643" t="n"/>
      <c r="AQ620" s="643" t="n"/>
      <c r="AU620" s="643" t="n"/>
      <c r="AY620" s="643" t="n"/>
      <c r="BC620" s="643" t="n"/>
      <c r="BG620" s="643" t="n"/>
    </row>
    <row r="621" s="1168" customFormat="1" ht="12.75" customHeight="1">
      <c r="F621" s="643" t="n"/>
      <c r="K621" s="643" t="n"/>
      <c r="O621" s="643" t="n"/>
      <c r="S621" s="643" t="n"/>
      <c r="W621" s="643" t="n"/>
      <c r="AA621" s="643" t="n"/>
      <c r="AE621" s="643" t="n"/>
      <c r="AI621" s="643" t="n"/>
      <c r="AM621" s="643" t="n"/>
      <c r="AQ621" s="643" t="n"/>
      <c r="AU621" s="643" t="n"/>
      <c r="AY621" s="643" t="n"/>
      <c r="BC621" s="643" t="n"/>
      <c r="BG621" s="643" t="n"/>
    </row>
    <row r="622" s="1168" customFormat="1" ht="12.75" customHeight="1">
      <c r="F622" s="643" t="n"/>
      <c r="K622" s="643" t="n"/>
      <c r="O622" s="643" t="n"/>
      <c r="S622" s="643" t="n"/>
      <c r="W622" s="643" t="n"/>
      <c r="AA622" s="643" t="n"/>
      <c r="AE622" s="643" t="n"/>
      <c r="AI622" s="643" t="n"/>
      <c r="AM622" s="643" t="n"/>
      <c r="AQ622" s="643" t="n"/>
      <c r="AU622" s="643" t="n"/>
      <c r="AY622" s="643" t="n"/>
      <c r="BC622" s="643" t="n"/>
      <c r="BG622" s="643" t="n"/>
    </row>
    <row r="623" s="1168" customFormat="1" ht="12.75" customHeight="1">
      <c r="F623" s="643" t="n"/>
      <c r="K623" s="643" t="n"/>
      <c r="O623" s="643" t="n"/>
      <c r="S623" s="643" t="n"/>
      <c r="W623" s="643" t="n"/>
      <c r="AA623" s="643" t="n"/>
      <c r="AE623" s="643" t="n"/>
      <c r="AI623" s="643" t="n"/>
      <c r="AM623" s="643" t="n"/>
      <c r="AQ623" s="643" t="n"/>
      <c r="AU623" s="643" t="n"/>
      <c r="AY623" s="643" t="n"/>
      <c r="BC623" s="643" t="n"/>
      <c r="BG623" s="643" t="n"/>
    </row>
    <row r="624" s="1168" customFormat="1" ht="12.75" customHeight="1">
      <c r="F624" s="643" t="n"/>
      <c r="K624" s="643" t="n"/>
      <c r="O624" s="643" t="n"/>
      <c r="S624" s="643" t="n"/>
      <c r="W624" s="643" t="n"/>
      <c r="AA624" s="643" t="n"/>
      <c r="AE624" s="643" t="n"/>
      <c r="AI624" s="643" t="n"/>
      <c r="AM624" s="643" t="n"/>
      <c r="AQ624" s="643" t="n"/>
      <c r="AU624" s="643" t="n"/>
      <c r="AY624" s="643" t="n"/>
      <c r="BC624" s="643" t="n"/>
      <c r="BG624" s="643" t="n"/>
    </row>
    <row r="625" s="1168" customFormat="1" ht="12.75" customHeight="1">
      <c r="F625" s="643" t="n"/>
      <c r="K625" s="643" t="n"/>
      <c r="O625" s="643" t="n"/>
      <c r="S625" s="643" t="n"/>
      <c r="W625" s="643" t="n"/>
      <c r="AA625" s="643" t="n"/>
      <c r="AE625" s="643" t="n"/>
      <c r="AI625" s="643" t="n"/>
      <c r="AM625" s="643" t="n"/>
      <c r="AQ625" s="643" t="n"/>
      <c r="AU625" s="643" t="n"/>
      <c r="AY625" s="643" t="n"/>
      <c r="BC625" s="643" t="n"/>
      <c r="BG625" s="643" t="n"/>
    </row>
    <row r="626" s="1168" customFormat="1" ht="12.75" customHeight="1">
      <c r="F626" s="643" t="n"/>
      <c r="K626" s="643" t="n"/>
      <c r="O626" s="643" t="n"/>
      <c r="S626" s="643" t="n"/>
      <c r="W626" s="643" t="n"/>
      <c r="AA626" s="643" t="n"/>
      <c r="AE626" s="643" t="n"/>
      <c r="AI626" s="643" t="n"/>
      <c r="AM626" s="643" t="n"/>
      <c r="AQ626" s="643" t="n"/>
      <c r="AU626" s="643" t="n"/>
      <c r="AY626" s="643" t="n"/>
      <c r="BC626" s="643" t="n"/>
      <c r="BG626" s="643" t="n"/>
    </row>
    <row r="627" s="1168" customFormat="1" ht="12.75" customHeight="1">
      <c r="F627" s="643" t="n"/>
      <c r="K627" s="643" t="n"/>
      <c r="O627" s="643" t="n"/>
      <c r="S627" s="643" t="n"/>
      <c r="W627" s="643" t="n"/>
      <c r="AA627" s="643" t="n"/>
      <c r="AE627" s="643" t="n"/>
      <c r="AI627" s="643" t="n"/>
      <c r="AM627" s="643" t="n"/>
      <c r="AQ627" s="643" t="n"/>
      <c r="AU627" s="643" t="n"/>
      <c r="AY627" s="643" t="n"/>
      <c r="BC627" s="643" t="n"/>
      <c r="BG627" s="643" t="n"/>
    </row>
    <row r="628" s="1168" customFormat="1" ht="12.75" customHeight="1">
      <c r="F628" s="643" t="n"/>
      <c r="K628" s="643" t="n"/>
      <c r="O628" s="643" t="n"/>
      <c r="S628" s="643" t="n"/>
      <c r="W628" s="643" t="n"/>
      <c r="AA628" s="643" t="n"/>
      <c r="AE628" s="643" t="n"/>
      <c r="AI628" s="643" t="n"/>
      <c r="AM628" s="643" t="n"/>
      <c r="AQ628" s="643" t="n"/>
      <c r="AU628" s="643" t="n"/>
      <c r="AY628" s="643" t="n"/>
      <c r="BC628" s="643" t="n"/>
      <c r="BG628" s="643" t="n"/>
    </row>
    <row r="629" s="1168" customFormat="1" ht="12.75" customHeight="1">
      <c r="F629" s="643" t="n"/>
      <c r="K629" s="643" t="n"/>
      <c r="O629" s="643" t="n"/>
      <c r="S629" s="643" t="n"/>
      <c r="W629" s="643" t="n"/>
      <c r="AA629" s="643" t="n"/>
      <c r="AE629" s="643" t="n"/>
      <c r="AI629" s="643" t="n"/>
      <c r="AM629" s="643" t="n"/>
      <c r="AQ629" s="643" t="n"/>
      <c r="AU629" s="643" t="n"/>
      <c r="AY629" s="643" t="n"/>
      <c r="BC629" s="643" t="n"/>
      <c r="BG629" s="643" t="n"/>
    </row>
    <row r="630" s="1168" customFormat="1" ht="12.75" customHeight="1">
      <c r="F630" s="643" t="n"/>
      <c r="K630" s="643" t="n"/>
      <c r="O630" s="643" t="n"/>
      <c r="S630" s="643" t="n"/>
      <c r="W630" s="643" t="n"/>
      <c r="AA630" s="643" t="n"/>
      <c r="AE630" s="643" t="n"/>
      <c r="AI630" s="643" t="n"/>
      <c r="AM630" s="643" t="n"/>
      <c r="AQ630" s="643" t="n"/>
      <c r="AU630" s="643" t="n"/>
      <c r="AY630" s="643" t="n"/>
      <c r="BC630" s="643" t="n"/>
      <c r="BG630" s="643" t="n"/>
    </row>
    <row r="631" s="1168" customFormat="1" ht="12.75" customHeight="1">
      <c r="F631" s="643" t="n"/>
      <c r="K631" s="643" t="n"/>
      <c r="O631" s="643" t="n"/>
      <c r="S631" s="643" t="n"/>
      <c r="W631" s="643" t="n"/>
      <c r="AA631" s="643" t="n"/>
      <c r="AE631" s="643" t="n"/>
      <c r="AI631" s="643" t="n"/>
      <c r="AM631" s="643" t="n"/>
      <c r="AQ631" s="643" t="n"/>
      <c r="AU631" s="643" t="n"/>
      <c r="AY631" s="643" t="n"/>
      <c r="BC631" s="643" t="n"/>
      <c r="BG631" s="643" t="n"/>
    </row>
    <row r="632" s="1168" customFormat="1" ht="12.75" customHeight="1">
      <c r="F632" s="643" t="n"/>
      <c r="K632" s="643" t="n"/>
      <c r="O632" s="643" t="n"/>
      <c r="S632" s="643" t="n"/>
      <c r="W632" s="643" t="n"/>
      <c r="AA632" s="643" t="n"/>
      <c r="AE632" s="643" t="n"/>
      <c r="AI632" s="643" t="n"/>
      <c r="AM632" s="643" t="n"/>
      <c r="AQ632" s="643" t="n"/>
      <c r="AU632" s="643" t="n"/>
      <c r="AY632" s="643" t="n"/>
      <c r="BC632" s="643" t="n"/>
      <c r="BG632" s="643" t="n"/>
    </row>
    <row r="633" s="1168" customFormat="1" ht="12.75" customHeight="1">
      <c r="F633" s="643" t="n"/>
      <c r="K633" s="643" t="n"/>
      <c r="O633" s="643" t="n"/>
      <c r="S633" s="643" t="n"/>
      <c r="W633" s="643" t="n"/>
      <c r="AA633" s="643" t="n"/>
      <c r="AE633" s="643" t="n"/>
      <c r="AI633" s="643" t="n"/>
      <c r="AM633" s="643" t="n"/>
      <c r="AQ633" s="643" t="n"/>
      <c r="AU633" s="643" t="n"/>
      <c r="AY633" s="643" t="n"/>
      <c r="BC633" s="643" t="n"/>
      <c r="BG633" s="643" t="n"/>
    </row>
    <row r="634" s="1168" customFormat="1" ht="12.75" customHeight="1">
      <c r="F634" s="643" t="n"/>
      <c r="K634" s="643" t="n"/>
      <c r="O634" s="643" t="n"/>
      <c r="S634" s="643" t="n"/>
      <c r="W634" s="643" t="n"/>
      <c r="AA634" s="643" t="n"/>
      <c r="AE634" s="643" t="n"/>
      <c r="AI634" s="643" t="n"/>
      <c r="AM634" s="643" t="n"/>
      <c r="AQ634" s="643" t="n"/>
      <c r="AU634" s="643" t="n"/>
      <c r="AY634" s="643" t="n"/>
      <c r="BC634" s="643" t="n"/>
      <c r="BG634" s="643" t="n"/>
    </row>
    <row r="635" s="1168" customFormat="1" ht="12.75" customHeight="1">
      <c r="F635" s="643" t="n"/>
      <c r="K635" s="643" t="n"/>
      <c r="O635" s="643" t="n"/>
      <c r="S635" s="643" t="n"/>
      <c r="W635" s="643" t="n"/>
      <c r="AA635" s="643" t="n"/>
      <c r="AE635" s="643" t="n"/>
      <c r="AI635" s="643" t="n"/>
      <c r="AM635" s="643" t="n"/>
      <c r="AQ635" s="643" t="n"/>
      <c r="AU635" s="643" t="n"/>
      <c r="AY635" s="643" t="n"/>
      <c r="BC635" s="643" t="n"/>
      <c r="BG635" s="643" t="n"/>
    </row>
    <row r="636" s="1168" customFormat="1" ht="12.75" customHeight="1">
      <c r="F636" s="643" t="n"/>
      <c r="K636" s="643" t="n"/>
      <c r="O636" s="643" t="n"/>
      <c r="S636" s="643" t="n"/>
      <c r="W636" s="643" t="n"/>
      <c r="AA636" s="643" t="n"/>
      <c r="AE636" s="643" t="n"/>
      <c r="AI636" s="643" t="n"/>
      <c r="AM636" s="643" t="n"/>
      <c r="AQ636" s="643" t="n"/>
      <c r="AU636" s="643" t="n"/>
      <c r="AY636" s="643" t="n"/>
      <c r="BC636" s="643" t="n"/>
      <c r="BG636" s="643" t="n"/>
    </row>
    <row r="637" s="1168" customFormat="1" ht="12.75" customHeight="1">
      <c r="F637" s="643" t="n"/>
      <c r="K637" s="643" t="n"/>
      <c r="O637" s="643" t="n"/>
      <c r="S637" s="643" t="n"/>
      <c r="W637" s="643" t="n"/>
      <c r="AA637" s="643" t="n"/>
      <c r="AE637" s="643" t="n"/>
      <c r="AI637" s="643" t="n"/>
      <c r="AM637" s="643" t="n"/>
      <c r="AQ637" s="643" t="n"/>
      <c r="AU637" s="643" t="n"/>
      <c r="AY637" s="643" t="n"/>
      <c r="BC637" s="643" t="n"/>
      <c r="BG637" s="643" t="n"/>
    </row>
    <row r="638" s="1168" customFormat="1" ht="12.75" customHeight="1">
      <c r="F638" s="643" t="n"/>
      <c r="K638" s="643" t="n"/>
      <c r="O638" s="643" t="n"/>
      <c r="S638" s="643" t="n"/>
      <c r="W638" s="643" t="n"/>
      <c r="AA638" s="643" t="n"/>
      <c r="AE638" s="643" t="n"/>
      <c r="AI638" s="643" t="n"/>
      <c r="AM638" s="643" t="n"/>
      <c r="AQ638" s="643" t="n"/>
      <c r="AU638" s="643" t="n"/>
      <c r="AY638" s="643" t="n"/>
      <c r="BC638" s="643" t="n"/>
      <c r="BG638" s="643" t="n"/>
    </row>
    <row r="639" s="1168" customFormat="1" ht="12.75" customHeight="1">
      <c r="F639" s="643" t="n"/>
      <c r="K639" s="643" t="n"/>
      <c r="O639" s="643" t="n"/>
      <c r="S639" s="643" t="n"/>
      <c r="W639" s="643" t="n"/>
      <c r="AA639" s="643" t="n"/>
      <c r="AE639" s="643" t="n"/>
      <c r="AI639" s="643" t="n"/>
      <c r="AM639" s="643" t="n"/>
      <c r="AQ639" s="643" t="n"/>
      <c r="AU639" s="643" t="n"/>
      <c r="AY639" s="643" t="n"/>
      <c r="BC639" s="643" t="n"/>
      <c r="BG639" s="643" t="n"/>
    </row>
    <row r="640" s="1168" customFormat="1" ht="12.75" customHeight="1">
      <c r="F640" s="643" t="n"/>
      <c r="K640" s="643" t="n"/>
      <c r="O640" s="643" t="n"/>
      <c r="S640" s="643" t="n"/>
      <c r="W640" s="643" t="n"/>
      <c r="AA640" s="643" t="n"/>
      <c r="AE640" s="643" t="n"/>
      <c r="AI640" s="643" t="n"/>
      <c r="AM640" s="643" t="n"/>
      <c r="AQ640" s="643" t="n"/>
      <c r="AU640" s="643" t="n"/>
      <c r="AY640" s="643" t="n"/>
      <c r="BC640" s="643" t="n"/>
      <c r="BG640" s="643" t="n"/>
    </row>
    <row r="641" s="1168" customFormat="1" ht="12.75" customHeight="1">
      <c r="F641" s="643" t="n"/>
      <c r="K641" s="643" t="n"/>
      <c r="O641" s="643" t="n"/>
      <c r="S641" s="643" t="n"/>
      <c r="W641" s="643" t="n"/>
      <c r="AA641" s="643" t="n"/>
      <c r="AE641" s="643" t="n"/>
      <c r="AI641" s="643" t="n"/>
      <c r="AM641" s="643" t="n"/>
      <c r="AQ641" s="643" t="n"/>
      <c r="AU641" s="643" t="n"/>
      <c r="AY641" s="643" t="n"/>
      <c r="BC641" s="643" t="n"/>
      <c r="BG641" s="643" t="n"/>
    </row>
    <row r="642" s="1168" customFormat="1" ht="12.75" customHeight="1">
      <c r="F642" s="643" t="n"/>
      <c r="K642" s="643" t="n"/>
      <c r="O642" s="643" t="n"/>
      <c r="S642" s="643" t="n"/>
      <c r="W642" s="643" t="n"/>
      <c r="AA642" s="643" t="n"/>
      <c r="AE642" s="643" t="n"/>
      <c r="AI642" s="643" t="n"/>
      <c r="AM642" s="643" t="n"/>
      <c r="AQ642" s="643" t="n"/>
      <c r="AU642" s="643" t="n"/>
      <c r="AY642" s="643" t="n"/>
      <c r="BC642" s="643" t="n"/>
      <c r="BG642" s="643" t="n"/>
    </row>
    <row r="643" s="1168" customFormat="1" ht="12.75" customHeight="1">
      <c r="F643" s="643" t="n"/>
      <c r="K643" s="643" t="n"/>
      <c r="O643" s="643" t="n"/>
      <c r="S643" s="643" t="n"/>
      <c r="W643" s="643" t="n"/>
      <c r="AA643" s="643" t="n"/>
      <c r="AE643" s="643" t="n"/>
      <c r="AI643" s="643" t="n"/>
      <c r="AM643" s="643" t="n"/>
      <c r="AQ643" s="643" t="n"/>
      <c r="AU643" s="643" t="n"/>
      <c r="AY643" s="643" t="n"/>
      <c r="BC643" s="643" t="n"/>
      <c r="BG643" s="643" t="n"/>
    </row>
    <row r="644" s="1168" customFormat="1" ht="12.75" customHeight="1">
      <c r="F644" s="643" t="n"/>
      <c r="K644" s="643" t="n"/>
      <c r="O644" s="643" t="n"/>
      <c r="S644" s="643" t="n"/>
      <c r="W644" s="643" t="n"/>
      <c r="AA644" s="643" t="n"/>
      <c r="AE644" s="643" t="n"/>
      <c r="AI644" s="643" t="n"/>
      <c r="AM644" s="643" t="n"/>
      <c r="AQ644" s="643" t="n"/>
      <c r="AU644" s="643" t="n"/>
      <c r="AY644" s="643" t="n"/>
      <c r="BC644" s="643" t="n"/>
      <c r="BG644" s="643" t="n"/>
    </row>
    <row r="645" s="1168" customFormat="1" ht="12.75" customHeight="1">
      <c r="F645" s="643" t="n"/>
      <c r="K645" s="643" t="n"/>
      <c r="O645" s="643" t="n"/>
      <c r="S645" s="643" t="n"/>
      <c r="W645" s="643" t="n"/>
      <c r="AA645" s="643" t="n"/>
      <c r="AE645" s="643" t="n"/>
      <c r="AI645" s="643" t="n"/>
      <c r="AM645" s="643" t="n"/>
      <c r="AQ645" s="643" t="n"/>
      <c r="AU645" s="643" t="n"/>
      <c r="AY645" s="643" t="n"/>
      <c r="BC645" s="643" t="n"/>
      <c r="BG645" s="643" t="n"/>
    </row>
    <row r="646" s="1168" customFormat="1" ht="12.75" customHeight="1">
      <c r="F646" s="643" t="n"/>
      <c r="K646" s="643" t="n"/>
      <c r="O646" s="643" t="n"/>
      <c r="S646" s="643" t="n"/>
      <c r="W646" s="643" t="n"/>
      <c r="AA646" s="643" t="n"/>
      <c r="AE646" s="643" t="n"/>
      <c r="AI646" s="643" t="n"/>
      <c r="AM646" s="643" t="n"/>
      <c r="AQ646" s="643" t="n"/>
      <c r="AU646" s="643" t="n"/>
      <c r="AY646" s="643" t="n"/>
      <c r="BC646" s="643" t="n"/>
      <c r="BG646" s="643" t="n"/>
    </row>
    <row r="647" s="1168" customFormat="1" ht="12.75" customHeight="1">
      <c r="F647" s="643" t="n"/>
      <c r="K647" s="643" t="n"/>
      <c r="O647" s="643" t="n"/>
      <c r="S647" s="643" t="n"/>
      <c r="W647" s="643" t="n"/>
      <c r="AA647" s="643" t="n"/>
      <c r="AE647" s="643" t="n"/>
      <c r="AI647" s="643" t="n"/>
      <c r="AM647" s="643" t="n"/>
      <c r="AQ647" s="643" t="n"/>
      <c r="AU647" s="643" t="n"/>
      <c r="AY647" s="643" t="n"/>
      <c r="BC647" s="643" t="n"/>
      <c r="BG647" s="643" t="n"/>
    </row>
    <row r="648" s="1168" customFormat="1" ht="12.75" customHeight="1">
      <c r="F648" s="643" t="n"/>
      <c r="K648" s="643" t="n"/>
      <c r="O648" s="643" t="n"/>
      <c r="S648" s="643" t="n"/>
      <c r="W648" s="643" t="n"/>
      <c r="AA648" s="643" t="n"/>
      <c r="AE648" s="643" t="n"/>
      <c r="AI648" s="643" t="n"/>
      <c r="AM648" s="643" t="n"/>
      <c r="AQ648" s="643" t="n"/>
      <c r="AU648" s="643" t="n"/>
      <c r="AY648" s="643" t="n"/>
      <c r="BC648" s="643" t="n"/>
      <c r="BG648" s="643" t="n"/>
    </row>
    <row r="649" s="1168" customFormat="1" ht="12.75" customHeight="1">
      <c r="F649" s="643" t="n"/>
      <c r="K649" s="643" t="n"/>
      <c r="O649" s="643" t="n"/>
      <c r="S649" s="643" t="n"/>
      <c r="W649" s="643" t="n"/>
      <c r="AA649" s="643" t="n"/>
      <c r="AE649" s="643" t="n"/>
      <c r="AI649" s="643" t="n"/>
      <c r="AM649" s="643" t="n"/>
      <c r="AQ649" s="643" t="n"/>
      <c r="AU649" s="643" t="n"/>
      <c r="AY649" s="643" t="n"/>
      <c r="BC649" s="643" t="n"/>
      <c r="BG649" s="643" t="n"/>
    </row>
    <row r="650" s="1168" customFormat="1" ht="12.75" customHeight="1">
      <c r="F650" s="643" t="n"/>
      <c r="K650" s="643" t="n"/>
      <c r="O650" s="643" t="n"/>
      <c r="S650" s="643" t="n"/>
      <c r="W650" s="643" t="n"/>
      <c r="AA650" s="643" t="n"/>
      <c r="AE650" s="643" t="n"/>
      <c r="AI650" s="643" t="n"/>
      <c r="AM650" s="643" t="n"/>
      <c r="AQ650" s="643" t="n"/>
      <c r="AU650" s="643" t="n"/>
      <c r="AY650" s="643" t="n"/>
      <c r="BC650" s="643" t="n"/>
      <c r="BG650" s="643" t="n"/>
    </row>
    <row r="651" s="1168" customFormat="1" ht="12.75" customHeight="1">
      <c r="F651" s="643" t="n"/>
      <c r="K651" s="643" t="n"/>
      <c r="O651" s="643" t="n"/>
      <c r="S651" s="643" t="n"/>
      <c r="W651" s="643" t="n"/>
      <c r="AA651" s="643" t="n"/>
      <c r="AE651" s="643" t="n"/>
      <c r="AI651" s="643" t="n"/>
      <c r="AM651" s="643" t="n"/>
      <c r="AQ651" s="643" t="n"/>
      <c r="AU651" s="643" t="n"/>
      <c r="AY651" s="643" t="n"/>
      <c r="BC651" s="643" t="n"/>
      <c r="BG651" s="643" t="n"/>
    </row>
    <row r="652" s="1168" customFormat="1" ht="12.75" customHeight="1">
      <c r="F652" s="643" t="n"/>
      <c r="K652" s="643" t="n"/>
      <c r="O652" s="643" t="n"/>
      <c r="S652" s="643" t="n"/>
      <c r="W652" s="643" t="n"/>
      <c r="AA652" s="643" t="n"/>
      <c r="AE652" s="643" t="n"/>
      <c r="AI652" s="643" t="n"/>
      <c r="AM652" s="643" t="n"/>
      <c r="AQ652" s="643" t="n"/>
      <c r="AU652" s="643" t="n"/>
      <c r="AY652" s="643" t="n"/>
      <c r="BC652" s="643" t="n"/>
      <c r="BG652" s="643" t="n"/>
    </row>
    <row r="653" s="1168" customFormat="1" ht="12.75" customHeight="1">
      <c r="F653" s="643" t="n"/>
      <c r="K653" s="643" t="n"/>
      <c r="O653" s="643" t="n"/>
      <c r="S653" s="643" t="n"/>
      <c r="W653" s="643" t="n"/>
      <c r="AA653" s="643" t="n"/>
      <c r="AE653" s="643" t="n"/>
      <c r="AI653" s="643" t="n"/>
      <c r="AM653" s="643" t="n"/>
      <c r="AQ653" s="643" t="n"/>
      <c r="AU653" s="643" t="n"/>
      <c r="AY653" s="643" t="n"/>
      <c r="BC653" s="643" t="n"/>
      <c r="BG653" s="643" t="n"/>
    </row>
    <row r="654" s="1168" customFormat="1" ht="12.75" customHeight="1">
      <c r="F654" s="643" t="n"/>
      <c r="K654" s="643" t="n"/>
      <c r="O654" s="643" t="n"/>
      <c r="S654" s="643" t="n"/>
      <c r="W654" s="643" t="n"/>
      <c r="AA654" s="643" t="n"/>
      <c r="AE654" s="643" t="n"/>
      <c r="AI654" s="643" t="n"/>
      <c r="AM654" s="643" t="n"/>
      <c r="AQ654" s="643" t="n"/>
      <c r="AU654" s="643" t="n"/>
      <c r="AY654" s="643" t="n"/>
      <c r="BC654" s="643" t="n"/>
      <c r="BG654" s="643" t="n"/>
    </row>
    <row r="655" s="1168" customFormat="1" ht="12.75" customHeight="1">
      <c r="F655" s="643" t="n"/>
      <c r="K655" s="643" t="n"/>
      <c r="O655" s="643" t="n"/>
      <c r="S655" s="643" t="n"/>
      <c r="W655" s="643" t="n"/>
      <c r="AA655" s="643" t="n"/>
      <c r="AE655" s="643" t="n"/>
      <c r="AI655" s="643" t="n"/>
      <c r="AM655" s="643" t="n"/>
      <c r="AQ655" s="643" t="n"/>
      <c r="AU655" s="643" t="n"/>
      <c r="AY655" s="643" t="n"/>
      <c r="BC655" s="643" t="n"/>
      <c r="BG655" s="643" t="n"/>
    </row>
    <row r="656" s="1168" customFormat="1" ht="12.75" customHeight="1">
      <c r="F656" s="643" t="n"/>
      <c r="K656" s="643" t="n"/>
      <c r="O656" s="643" t="n"/>
      <c r="S656" s="643" t="n"/>
      <c r="W656" s="643" t="n"/>
      <c r="AA656" s="643" t="n"/>
      <c r="AE656" s="643" t="n"/>
      <c r="AI656" s="643" t="n"/>
      <c r="AM656" s="643" t="n"/>
      <c r="AQ656" s="643" t="n"/>
      <c r="AU656" s="643" t="n"/>
      <c r="AY656" s="643" t="n"/>
      <c r="BC656" s="643" t="n"/>
      <c r="BG656" s="643" t="n"/>
    </row>
    <row r="657" s="1168" customFormat="1" ht="12.75" customHeight="1">
      <c r="F657" s="643" t="n"/>
      <c r="K657" s="643" t="n"/>
      <c r="O657" s="643" t="n"/>
      <c r="S657" s="643" t="n"/>
      <c r="W657" s="643" t="n"/>
      <c r="AA657" s="643" t="n"/>
      <c r="AE657" s="643" t="n"/>
      <c r="AI657" s="643" t="n"/>
      <c r="AM657" s="643" t="n"/>
      <c r="AQ657" s="643" t="n"/>
      <c r="AU657" s="643" t="n"/>
      <c r="AY657" s="643" t="n"/>
      <c r="BC657" s="643" t="n"/>
      <c r="BG657" s="643" t="n"/>
    </row>
    <row r="658" s="1168" customFormat="1" ht="12.75" customHeight="1">
      <c r="F658" s="643" t="n"/>
      <c r="K658" s="643" t="n"/>
      <c r="O658" s="643" t="n"/>
      <c r="S658" s="643" t="n"/>
      <c r="W658" s="643" t="n"/>
      <c r="AA658" s="643" t="n"/>
      <c r="AE658" s="643" t="n"/>
      <c r="AI658" s="643" t="n"/>
      <c r="AM658" s="643" t="n"/>
      <c r="AQ658" s="643" t="n"/>
      <c r="AU658" s="643" t="n"/>
      <c r="AY658" s="643" t="n"/>
      <c r="BC658" s="643" t="n"/>
      <c r="BG658" s="643" t="n"/>
    </row>
    <row r="659" s="1168" customFormat="1" ht="12.75" customHeight="1">
      <c r="F659" s="643" t="n"/>
      <c r="K659" s="643" t="n"/>
      <c r="O659" s="643" t="n"/>
      <c r="S659" s="643" t="n"/>
      <c r="W659" s="643" t="n"/>
      <c r="AA659" s="643" t="n"/>
      <c r="AE659" s="643" t="n"/>
      <c r="AI659" s="643" t="n"/>
      <c r="AM659" s="643" t="n"/>
      <c r="AQ659" s="643" t="n"/>
      <c r="AU659" s="643" t="n"/>
      <c r="AY659" s="643" t="n"/>
      <c r="BC659" s="643" t="n"/>
      <c r="BG659" s="643" t="n"/>
    </row>
    <row r="660" s="1168" customFormat="1" ht="12.75" customHeight="1">
      <c r="F660" s="643" t="n"/>
      <c r="K660" s="643" t="n"/>
      <c r="O660" s="643" t="n"/>
      <c r="S660" s="643" t="n"/>
      <c r="W660" s="643" t="n"/>
      <c r="AA660" s="643" t="n"/>
      <c r="AE660" s="643" t="n"/>
      <c r="AI660" s="643" t="n"/>
      <c r="AM660" s="643" t="n"/>
      <c r="AQ660" s="643" t="n"/>
      <c r="AU660" s="643" t="n"/>
      <c r="AY660" s="643" t="n"/>
      <c r="BC660" s="643" t="n"/>
      <c r="BG660" s="643" t="n"/>
    </row>
    <row r="661" s="1168" customFormat="1" ht="12.75" customHeight="1">
      <c r="F661" s="643" t="n"/>
      <c r="K661" s="643" t="n"/>
      <c r="O661" s="643" t="n"/>
      <c r="S661" s="643" t="n"/>
      <c r="W661" s="643" t="n"/>
      <c r="AA661" s="643" t="n"/>
      <c r="AE661" s="643" t="n"/>
      <c r="AI661" s="643" t="n"/>
      <c r="AM661" s="643" t="n"/>
      <c r="AQ661" s="643" t="n"/>
      <c r="AU661" s="643" t="n"/>
      <c r="AY661" s="643" t="n"/>
      <c r="BC661" s="643" t="n"/>
      <c r="BG661" s="643" t="n"/>
    </row>
    <row r="662" s="1168" customFormat="1" ht="12.75" customHeight="1">
      <c r="F662" s="643" t="n"/>
      <c r="K662" s="643" t="n"/>
      <c r="O662" s="643" t="n"/>
      <c r="S662" s="643" t="n"/>
      <c r="W662" s="643" t="n"/>
      <c r="AA662" s="643" t="n"/>
      <c r="AE662" s="643" t="n"/>
      <c r="AI662" s="643" t="n"/>
      <c r="AM662" s="643" t="n"/>
      <c r="AQ662" s="643" t="n"/>
      <c r="AU662" s="643" t="n"/>
      <c r="AY662" s="643" t="n"/>
      <c r="BC662" s="643" t="n"/>
      <c r="BG662" s="643" t="n"/>
    </row>
    <row r="663" s="1168" customFormat="1" ht="12.75" customHeight="1">
      <c r="F663" s="643" t="n"/>
      <c r="K663" s="643" t="n"/>
      <c r="O663" s="643" t="n"/>
      <c r="S663" s="643" t="n"/>
      <c r="W663" s="643" t="n"/>
      <c r="AA663" s="643" t="n"/>
      <c r="AE663" s="643" t="n"/>
      <c r="AI663" s="643" t="n"/>
      <c r="AM663" s="643" t="n"/>
      <c r="AQ663" s="643" t="n"/>
      <c r="AU663" s="643" t="n"/>
      <c r="AY663" s="643" t="n"/>
      <c r="BC663" s="643" t="n"/>
      <c r="BG663" s="643" t="n"/>
    </row>
    <row r="664" s="1168" customFormat="1" ht="12.75" customHeight="1">
      <c r="F664" s="643" t="n"/>
      <c r="K664" s="643" t="n"/>
      <c r="O664" s="643" t="n"/>
      <c r="S664" s="643" t="n"/>
      <c r="W664" s="643" t="n"/>
      <c r="AA664" s="643" t="n"/>
      <c r="AE664" s="643" t="n"/>
      <c r="AI664" s="643" t="n"/>
      <c r="AM664" s="643" t="n"/>
      <c r="AQ664" s="643" t="n"/>
      <c r="AU664" s="643" t="n"/>
      <c r="AY664" s="643" t="n"/>
      <c r="BC664" s="643" t="n"/>
      <c r="BG664" s="643" t="n"/>
    </row>
    <row r="665" s="1168" customFormat="1" ht="12.75" customHeight="1">
      <c r="F665" s="643" t="n"/>
      <c r="K665" s="643" t="n"/>
      <c r="O665" s="643" t="n"/>
      <c r="S665" s="643" t="n"/>
      <c r="W665" s="643" t="n"/>
      <c r="AA665" s="643" t="n"/>
      <c r="AE665" s="643" t="n"/>
      <c r="AI665" s="643" t="n"/>
      <c r="AM665" s="643" t="n"/>
      <c r="AQ665" s="643" t="n"/>
      <c r="AU665" s="643" t="n"/>
      <c r="AY665" s="643" t="n"/>
      <c r="BC665" s="643" t="n"/>
      <c r="BG665" s="643" t="n"/>
    </row>
    <row r="666" s="1168" customFormat="1" ht="12.75" customHeight="1">
      <c r="F666" s="643" t="n"/>
      <c r="K666" s="643" t="n"/>
      <c r="O666" s="643" t="n"/>
      <c r="S666" s="643" t="n"/>
      <c r="W666" s="643" t="n"/>
      <c r="AA666" s="643" t="n"/>
      <c r="AE666" s="643" t="n"/>
      <c r="AI666" s="643" t="n"/>
      <c r="AM666" s="643" t="n"/>
      <c r="AQ666" s="643" t="n"/>
      <c r="AU666" s="643" t="n"/>
      <c r="AY666" s="643" t="n"/>
      <c r="BC666" s="643" t="n"/>
      <c r="BG666" s="643" t="n"/>
    </row>
    <row r="667" s="1168" customFormat="1" ht="12.75" customHeight="1">
      <c r="F667" s="643" t="n"/>
      <c r="K667" s="643" t="n"/>
      <c r="O667" s="643" t="n"/>
      <c r="S667" s="643" t="n"/>
      <c r="W667" s="643" t="n"/>
      <c r="AA667" s="643" t="n"/>
      <c r="AE667" s="643" t="n"/>
      <c r="AI667" s="643" t="n"/>
      <c r="AM667" s="643" t="n"/>
      <c r="AQ667" s="643" t="n"/>
      <c r="AU667" s="643" t="n"/>
      <c r="AY667" s="643" t="n"/>
      <c r="BC667" s="643" t="n"/>
      <c r="BG667" s="643" t="n"/>
    </row>
    <row r="668" s="1168" customFormat="1" ht="12.75" customHeight="1">
      <c r="F668" s="643" t="n"/>
      <c r="K668" s="643" t="n"/>
      <c r="O668" s="643" t="n"/>
      <c r="S668" s="643" t="n"/>
      <c r="W668" s="643" t="n"/>
      <c r="AA668" s="643" t="n"/>
      <c r="AE668" s="643" t="n"/>
      <c r="AI668" s="643" t="n"/>
      <c r="AM668" s="643" t="n"/>
      <c r="AQ668" s="643" t="n"/>
      <c r="AU668" s="643" t="n"/>
      <c r="AY668" s="643" t="n"/>
      <c r="BC668" s="643" t="n"/>
      <c r="BG668" s="643" t="n"/>
    </row>
    <row r="669" s="1168" customFormat="1" ht="12.75" customHeight="1">
      <c r="F669" s="643" t="n"/>
      <c r="K669" s="643" t="n"/>
      <c r="O669" s="643" t="n"/>
      <c r="S669" s="643" t="n"/>
      <c r="W669" s="643" t="n"/>
      <c r="AA669" s="643" t="n"/>
      <c r="AE669" s="643" t="n"/>
      <c r="AI669" s="643" t="n"/>
      <c r="AM669" s="643" t="n"/>
      <c r="AQ669" s="643" t="n"/>
      <c r="AU669" s="643" t="n"/>
      <c r="AY669" s="643" t="n"/>
      <c r="BC669" s="643" t="n"/>
      <c r="BG669" s="643" t="n"/>
    </row>
    <row r="670" s="1168" customFormat="1" ht="12.75" customHeight="1">
      <c r="F670" s="643" t="n"/>
      <c r="K670" s="643" t="n"/>
      <c r="O670" s="643" t="n"/>
      <c r="S670" s="643" t="n"/>
      <c r="W670" s="643" t="n"/>
      <c r="AA670" s="643" t="n"/>
      <c r="AE670" s="643" t="n"/>
      <c r="AI670" s="643" t="n"/>
      <c r="AM670" s="643" t="n"/>
      <c r="AQ670" s="643" t="n"/>
      <c r="AU670" s="643" t="n"/>
      <c r="AY670" s="643" t="n"/>
      <c r="BC670" s="643" t="n"/>
      <c r="BG670" s="643" t="n"/>
    </row>
    <row r="671" s="1168" customFormat="1" ht="12.75" customHeight="1">
      <c r="F671" s="643" t="n"/>
      <c r="K671" s="643" t="n"/>
      <c r="O671" s="643" t="n"/>
      <c r="S671" s="643" t="n"/>
      <c r="W671" s="643" t="n"/>
      <c r="AA671" s="643" t="n"/>
      <c r="AE671" s="643" t="n"/>
      <c r="AI671" s="643" t="n"/>
      <c r="AM671" s="643" t="n"/>
      <c r="AQ671" s="643" t="n"/>
      <c r="AU671" s="643" t="n"/>
      <c r="AY671" s="643" t="n"/>
      <c r="BC671" s="643" t="n"/>
      <c r="BG671" s="643" t="n"/>
    </row>
    <row r="672" s="1168" customFormat="1" ht="12.75" customHeight="1">
      <c r="F672" s="643" t="n"/>
      <c r="K672" s="643" t="n"/>
      <c r="O672" s="643" t="n"/>
      <c r="S672" s="643" t="n"/>
      <c r="W672" s="643" t="n"/>
      <c r="AA672" s="643" t="n"/>
      <c r="AE672" s="643" t="n"/>
      <c r="AI672" s="643" t="n"/>
      <c r="AM672" s="643" t="n"/>
      <c r="AQ672" s="643" t="n"/>
      <c r="AU672" s="643" t="n"/>
      <c r="AY672" s="643" t="n"/>
      <c r="BC672" s="643" t="n"/>
      <c r="BG672" s="643" t="n"/>
    </row>
    <row r="673" s="1168" customFormat="1" ht="12.75" customHeight="1">
      <c r="F673" s="643" t="n"/>
      <c r="K673" s="643" t="n"/>
      <c r="O673" s="643" t="n"/>
      <c r="S673" s="643" t="n"/>
      <c r="W673" s="643" t="n"/>
      <c r="AA673" s="643" t="n"/>
      <c r="AE673" s="643" t="n"/>
      <c r="AI673" s="643" t="n"/>
      <c r="AM673" s="643" t="n"/>
      <c r="AQ673" s="643" t="n"/>
      <c r="AU673" s="643" t="n"/>
      <c r="AY673" s="643" t="n"/>
      <c r="BC673" s="643" t="n"/>
      <c r="BG673" s="643" t="n"/>
    </row>
    <row r="674" s="1168" customFormat="1" ht="12.75" customHeight="1">
      <c r="F674" s="643" t="n"/>
      <c r="K674" s="643" t="n"/>
      <c r="O674" s="643" t="n"/>
      <c r="S674" s="643" t="n"/>
      <c r="W674" s="643" t="n"/>
      <c r="AA674" s="643" t="n"/>
      <c r="AE674" s="643" t="n"/>
      <c r="AI674" s="643" t="n"/>
      <c r="AM674" s="643" t="n"/>
      <c r="AQ674" s="643" t="n"/>
      <c r="AU674" s="643" t="n"/>
      <c r="AY674" s="643" t="n"/>
      <c r="BC674" s="643" t="n"/>
      <c r="BG674" s="643" t="n"/>
    </row>
    <row r="675" s="1168" customFormat="1" ht="12.75" customHeight="1">
      <c r="F675" s="643" t="n"/>
      <c r="K675" s="643" t="n"/>
      <c r="O675" s="643" t="n"/>
      <c r="S675" s="643" t="n"/>
      <c r="W675" s="643" t="n"/>
      <c r="AA675" s="643" t="n"/>
      <c r="AE675" s="643" t="n"/>
      <c r="AI675" s="643" t="n"/>
      <c r="AM675" s="643" t="n"/>
      <c r="AQ675" s="643" t="n"/>
      <c r="AU675" s="643" t="n"/>
      <c r="AY675" s="643" t="n"/>
      <c r="BC675" s="643" t="n"/>
      <c r="BG675" s="643" t="n"/>
    </row>
    <row r="676" s="1168" customFormat="1" ht="12.75" customHeight="1">
      <c r="F676" s="643" t="n"/>
      <c r="K676" s="643" t="n"/>
      <c r="O676" s="643" t="n"/>
      <c r="S676" s="643" t="n"/>
      <c r="W676" s="643" t="n"/>
      <c r="AA676" s="643" t="n"/>
      <c r="AE676" s="643" t="n"/>
      <c r="AI676" s="643" t="n"/>
      <c r="AM676" s="643" t="n"/>
      <c r="AQ676" s="643" t="n"/>
      <c r="AU676" s="643" t="n"/>
      <c r="AY676" s="643" t="n"/>
      <c r="BC676" s="643" t="n"/>
      <c r="BG676" s="643" t="n"/>
    </row>
    <row r="677" s="1168" customFormat="1" ht="12.75" customHeight="1">
      <c r="F677" s="643" t="n"/>
      <c r="K677" s="643" t="n"/>
      <c r="O677" s="643" t="n"/>
      <c r="S677" s="643" t="n"/>
      <c r="W677" s="643" t="n"/>
      <c r="AA677" s="643" t="n"/>
      <c r="AE677" s="643" t="n"/>
      <c r="AI677" s="643" t="n"/>
      <c r="AM677" s="643" t="n"/>
      <c r="AQ677" s="643" t="n"/>
      <c r="AU677" s="643" t="n"/>
      <c r="AY677" s="643" t="n"/>
      <c r="BC677" s="643" t="n"/>
      <c r="BG677" s="643" t="n"/>
    </row>
    <row r="678" s="1168" customFormat="1" ht="12.75" customHeight="1">
      <c r="F678" s="643" t="n"/>
      <c r="K678" s="643" t="n"/>
      <c r="O678" s="643" t="n"/>
      <c r="S678" s="643" t="n"/>
      <c r="W678" s="643" t="n"/>
      <c r="AA678" s="643" t="n"/>
      <c r="AE678" s="643" t="n"/>
      <c r="AI678" s="643" t="n"/>
      <c r="AM678" s="643" t="n"/>
      <c r="AQ678" s="643" t="n"/>
      <c r="AU678" s="643" t="n"/>
      <c r="AY678" s="643" t="n"/>
      <c r="BC678" s="643" t="n"/>
      <c r="BG678" s="643" t="n"/>
    </row>
    <row r="679" s="1168" customFormat="1" ht="12.75" customHeight="1">
      <c r="F679" s="643" t="n"/>
      <c r="K679" s="643" t="n"/>
      <c r="O679" s="643" t="n"/>
      <c r="S679" s="643" t="n"/>
      <c r="W679" s="643" t="n"/>
      <c r="AA679" s="643" t="n"/>
      <c r="AE679" s="643" t="n"/>
      <c r="AI679" s="643" t="n"/>
      <c r="AM679" s="643" t="n"/>
      <c r="AQ679" s="643" t="n"/>
      <c r="AU679" s="643" t="n"/>
      <c r="AY679" s="643" t="n"/>
      <c r="BC679" s="643" t="n"/>
      <c r="BG679" s="643" t="n"/>
    </row>
    <row r="680" s="1168" customFormat="1" ht="12.75" customHeight="1">
      <c r="F680" s="643" t="n"/>
      <c r="K680" s="643" t="n"/>
      <c r="O680" s="643" t="n"/>
      <c r="S680" s="643" t="n"/>
      <c r="W680" s="643" t="n"/>
      <c r="AA680" s="643" t="n"/>
      <c r="AE680" s="643" t="n"/>
      <c r="AI680" s="643" t="n"/>
      <c r="AM680" s="643" t="n"/>
      <c r="AQ680" s="643" t="n"/>
      <c r="AU680" s="643" t="n"/>
      <c r="AY680" s="643" t="n"/>
      <c r="BC680" s="643" t="n"/>
      <c r="BG680" s="643" t="n"/>
    </row>
    <row r="681" s="1168" customFormat="1" ht="12.75" customHeight="1">
      <c r="F681" s="643" t="n"/>
      <c r="K681" s="643" t="n"/>
      <c r="O681" s="643" t="n"/>
      <c r="S681" s="643" t="n"/>
      <c r="W681" s="643" t="n"/>
      <c r="AA681" s="643" t="n"/>
      <c r="AE681" s="643" t="n"/>
      <c r="AI681" s="643" t="n"/>
      <c r="AM681" s="643" t="n"/>
      <c r="AQ681" s="643" t="n"/>
      <c r="AU681" s="643" t="n"/>
      <c r="AY681" s="643" t="n"/>
      <c r="BC681" s="643" t="n"/>
      <c r="BG681" s="643" t="n"/>
    </row>
    <row r="682" s="1168" customFormat="1" ht="12.75" customHeight="1">
      <c r="F682" s="643" t="n"/>
      <c r="K682" s="643" t="n"/>
      <c r="O682" s="643" t="n"/>
      <c r="S682" s="643" t="n"/>
      <c r="W682" s="643" t="n"/>
      <c r="AA682" s="643" t="n"/>
      <c r="AE682" s="643" t="n"/>
      <c r="AI682" s="643" t="n"/>
      <c r="AM682" s="643" t="n"/>
      <c r="AQ682" s="643" t="n"/>
      <c r="AU682" s="643" t="n"/>
      <c r="AY682" s="643" t="n"/>
      <c r="BC682" s="643" t="n"/>
      <c r="BG682" s="643" t="n"/>
    </row>
    <row r="683" s="1168" customFormat="1" ht="12.75" customHeight="1">
      <c r="F683" s="643" t="n"/>
      <c r="K683" s="643" t="n"/>
      <c r="O683" s="643" t="n"/>
      <c r="S683" s="643" t="n"/>
      <c r="W683" s="643" t="n"/>
      <c r="AA683" s="643" t="n"/>
      <c r="AE683" s="643" t="n"/>
      <c r="AI683" s="643" t="n"/>
      <c r="AM683" s="643" t="n"/>
      <c r="AQ683" s="643" t="n"/>
      <c r="AU683" s="643" t="n"/>
      <c r="AY683" s="643" t="n"/>
      <c r="BC683" s="643" t="n"/>
      <c r="BG683" s="643" t="n"/>
    </row>
    <row r="684" s="1168" customFormat="1" ht="12.75" customHeight="1">
      <c r="F684" s="643" t="n"/>
      <c r="K684" s="643" t="n"/>
      <c r="O684" s="643" t="n"/>
      <c r="S684" s="643" t="n"/>
      <c r="W684" s="643" t="n"/>
      <c r="AA684" s="643" t="n"/>
      <c r="AE684" s="643" t="n"/>
      <c r="AI684" s="643" t="n"/>
      <c r="AM684" s="643" t="n"/>
      <c r="AQ684" s="643" t="n"/>
      <c r="AU684" s="643" t="n"/>
      <c r="AY684" s="643" t="n"/>
      <c r="BC684" s="643" t="n"/>
      <c r="BG684" s="643" t="n"/>
    </row>
    <row r="685" s="1168" customFormat="1" ht="12.75" customHeight="1">
      <c r="F685" s="643" t="n"/>
      <c r="K685" s="643" t="n"/>
      <c r="O685" s="643" t="n"/>
      <c r="S685" s="643" t="n"/>
      <c r="W685" s="643" t="n"/>
      <c r="AA685" s="643" t="n"/>
      <c r="AE685" s="643" t="n"/>
      <c r="AI685" s="643" t="n"/>
      <c r="AM685" s="643" t="n"/>
      <c r="AQ685" s="643" t="n"/>
      <c r="AU685" s="643" t="n"/>
      <c r="AY685" s="643" t="n"/>
      <c r="BC685" s="643" t="n"/>
      <c r="BG685" s="643" t="n"/>
    </row>
    <row r="686" s="1168" customFormat="1" ht="12.75" customHeight="1">
      <c r="F686" s="643" t="n"/>
      <c r="K686" s="643" t="n"/>
      <c r="O686" s="643" t="n"/>
      <c r="S686" s="643" t="n"/>
      <c r="W686" s="643" t="n"/>
      <c r="AA686" s="643" t="n"/>
      <c r="AE686" s="643" t="n"/>
      <c r="AI686" s="643" t="n"/>
      <c r="AM686" s="643" t="n"/>
      <c r="AQ686" s="643" t="n"/>
      <c r="AU686" s="643" t="n"/>
      <c r="AY686" s="643" t="n"/>
      <c r="BC686" s="643" t="n"/>
      <c r="BG686" s="643" t="n"/>
    </row>
    <row r="687" s="1168" customFormat="1" ht="12.75" customHeight="1">
      <c r="F687" s="643" t="n"/>
      <c r="K687" s="643" t="n"/>
      <c r="O687" s="643" t="n"/>
      <c r="S687" s="643" t="n"/>
      <c r="W687" s="643" t="n"/>
      <c r="AA687" s="643" t="n"/>
      <c r="AE687" s="643" t="n"/>
      <c r="AI687" s="643" t="n"/>
      <c r="AM687" s="643" t="n"/>
      <c r="AQ687" s="643" t="n"/>
      <c r="AU687" s="643" t="n"/>
      <c r="AY687" s="643" t="n"/>
      <c r="BC687" s="643" t="n"/>
      <c r="BG687" s="643" t="n"/>
    </row>
    <row r="688" s="1168" customFormat="1" ht="12.75" customHeight="1">
      <c r="F688" s="643" t="n"/>
      <c r="K688" s="643" t="n"/>
      <c r="O688" s="643" t="n"/>
      <c r="S688" s="643" t="n"/>
      <c r="W688" s="643" t="n"/>
      <c r="AA688" s="643" t="n"/>
      <c r="AE688" s="643" t="n"/>
      <c r="AI688" s="643" t="n"/>
      <c r="AM688" s="643" t="n"/>
      <c r="AQ688" s="643" t="n"/>
      <c r="AU688" s="643" t="n"/>
      <c r="AY688" s="643" t="n"/>
      <c r="BC688" s="643" t="n"/>
      <c r="BG688" s="643" t="n"/>
    </row>
    <row r="689" s="1168" customFormat="1" ht="12.75" customHeight="1">
      <c r="F689" s="643" t="n"/>
      <c r="K689" s="643" t="n"/>
      <c r="O689" s="643" t="n"/>
      <c r="S689" s="643" t="n"/>
      <c r="W689" s="643" t="n"/>
      <c r="AA689" s="643" t="n"/>
      <c r="AE689" s="643" t="n"/>
      <c r="AI689" s="643" t="n"/>
      <c r="AM689" s="643" t="n"/>
      <c r="AQ689" s="643" t="n"/>
      <c r="AU689" s="643" t="n"/>
      <c r="AY689" s="643" t="n"/>
      <c r="BC689" s="643" t="n"/>
      <c r="BG689" s="643" t="n"/>
    </row>
    <row r="690" s="1168" customFormat="1" ht="12.75" customHeight="1">
      <c r="F690" s="643" t="n"/>
      <c r="K690" s="643" t="n"/>
      <c r="O690" s="643" t="n"/>
      <c r="S690" s="643" t="n"/>
      <c r="W690" s="643" t="n"/>
      <c r="AA690" s="643" t="n"/>
      <c r="AE690" s="643" t="n"/>
      <c r="AI690" s="643" t="n"/>
      <c r="AM690" s="643" t="n"/>
      <c r="AQ690" s="643" t="n"/>
      <c r="AU690" s="643" t="n"/>
      <c r="AY690" s="643" t="n"/>
      <c r="BC690" s="643" t="n"/>
      <c r="BG690" s="643" t="n"/>
    </row>
    <row r="691" s="1168" customFormat="1" ht="12.75" customHeight="1">
      <c r="F691" s="643" t="n"/>
      <c r="K691" s="643" t="n"/>
      <c r="O691" s="643" t="n"/>
      <c r="S691" s="643" t="n"/>
      <c r="W691" s="643" t="n"/>
      <c r="AA691" s="643" t="n"/>
      <c r="AE691" s="643" t="n"/>
      <c r="AI691" s="643" t="n"/>
      <c r="AM691" s="643" t="n"/>
      <c r="AQ691" s="643" t="n"/>
      <c r="AU691" s="643" t="n"/>
      <c r="AY691" s="643" t="n"/>
      <c r="BC691" s="643" t="n"/>
      <c r="BG691" s="643" t="n"/>
    </row>
    <row r="692" s="1168" customFormat="1" ht="12.75" customHeight="1">
      <c r="F692" s="643" t="n"/>
      <c r="K692" s="643" t="n"/>
      <c r="O692" s="643" t="n"/>
      <c r="S692" s="643" t="n"/>
      <c r="W692" s="643" t="n"/>
      <c r="AA692" s="643" t="n"/>
      <c r="AE692" s="643" t="n"/>
      <c r="AI692" s="643" t="n"/>
      <c r="AM692" s="643" t="n"/>
      <c r="AQ692" s="643" t="n"/>
      <c r="AU692" s="643" t="n"/>
      <c r="AY692" s="643" t="n"/>
      <c r="BC692" s="643" t="n"/>
      <c r="BG692" s="643" t="n"/>
    </row>
    <row r="693" s="1168" customFormat="1" ht="12.75" customHeight="1">
      <c r="F693" s="643" t="n"/>
      <c r="K693" s="643" t="n"/>
      <c r="O693" s="643" t="n"/>
      <c r="S693" s="643" t="n"/>
      <c r="W693" s="643" t="n"/>
      <c r="AA693" s="643" t="n"/>
      <c r="AE693" s="643" t="n"/>
      <c r="AI693" s="643" t="n"/>
      <c r="AM693" s="643" t="n"/>
      <c r="AQ693" s="643" t="n"/>
      <c r="AU693" s="643" t="n"/>
      <c r="AY693" s="643" t="n"/>
      <c r="BC693" s="643" t="n"/>
      <c r="BG693" s="643" t="n"/>
    </row>
    <row r="694" s="1168" customFormat="1" ht="12.75" customHeight="1">
      <c r="F694" s="643" t="n"/>
      <c r="K694" s="643" t="n"/>
      <c r="O694" s="643" t="n"/>
      <c r="S694" s="643" t="n"/>
      <c r="W694" s="643" t="n"/>
      <c r="AA694" s="643" t="n"/>
      <c r="AE694" s="643" t="n"/>
      <c r="AI694" s="643" t="n"/>
      <c r="AM694" s="643" t="n"/>
      <c r="AQ694" s="643" t="n"/>
      <c r="AU694" s="643" t="n"/>
      <c r="AY694" s="643" t="n"/>
      <c r="BC694" s="643" t="n"/>
      <c r="BG694" s="643" t="n"/>
    </row>
    <row r="695" s="1168" customFormat="1" ht="12.75" customHeight="1">
      <c r="F695" s="643" t="n"/>
      <c r="K695" s="643" t="n"/>
      <c r="O695" s="643" t="n"/>
      <c r="S695" s="643" t="n"/>
      <c r="W695" s="643" t="n"/>
      <c r="AA695" s="643" t="n"/>
      <c r="AE695" s="643" t="n"/>
      <c r="AI695" s="643" t="n"/>
      <c r="AM695" s="643" t="n"/>
      <c r="AQ695" s="643" t="n"/>
      <c r="AU695" s="643" t="n"/>
      <c r="AY695" s="643" t="n"/>
      <c r="BC695" s="643" t="n"/>
      <c r="BG695" s="643" t="n"/>
    </row>
    <row r="696" s="1168" customFormat="1" ht="12.75" customHeight="1">
      <c r="F696" s="643" t="n"/>
      <c r="K696" s="643" t="n"/>
      <c r="O696" s="643" t="n"/>
      <c r="S696" s="643" t="n"/>
      <c r="W696" s="643" t="n"/>
      <c r="AA696" s="643" t="n"/>
      <c r="AE696" s="643" t="n"/>
      <c r="AI696" s="643" t="n"/>
      <c r="AM696" s="643" t="n"/>
      <c r="AQ696" s="643" t="n"/>
      <c r="AU696" s="643" t="n"/>
      <c r="AY696" s="643" t="n"/>
      <c r="BC696" s="643" t="n"/>
      <c r="BG696" s="643" t="n"/>
    </row>
    <row r="697" s="1168" customFormat="1" ht="12.75" customHeight="1">
      <c r="F697" s="643" t="n"/>
      <c r="K697" s="643" t="n"/>
      <c r="O697" s="643" t="n"/>
      <c r="S697" s="643" t="n"/>
      <c r="W697" s="643" t="n"/>
      <c r="AA697" s="643" t="n"/>
      <c r="AE697" s="643" t="n"/>
      <c r="AI697" s="643" t="n"/>
      <c r="AM697" s="643" t="n"/>
      <c r="AQ697" s="643" t="n"/>
      <c r="AU697" s="643" t="n"/>
      <c r="AY697" s="643" t="n"/>
      <c r="BC697" s="643" t="n"/>
      <c r="BG697" s="643" t="n"/>
    </row>
    <row r="698" s="1168" customFormat="1" ht="12.75" customHeight="1">
      <c r="F698" s="643" t="n"/>
      <c r="K698" s="643" t="n"/>
      <c r="O698" s="643" t="n"/>
      <c r="S698" s="643" t="n"/>
      <c r="W698" s="643" t="n"/>
      <c r="AA698" s="643" t="n"/>
      <c r="AE698" s="643" t="n"/>
      <c r="AI698" s="643" t="n"/>
      <c r="AM698" s="643" t="n"/>
      <c r="AQ698" s="643" t="n"/>
      <c r="AU698" s="643" t="n"/>
      <c r="AY698" s="643" t="n"/>
      <c r="BC698" s="643" t="n"/>
      <c r="BG698" s="643" t="n"/>
    </row>
    <row r="699" s="1168" customFormat="1" ht="12.75" customHeight="1">
      <c r="F699" s="643" t="n"/>
      <c r="K699" s="643" t="n"/>
      <c r="O699" s="643" t="n"/>
      <c r="S699" s="643" t="n"/>
      <c r="W699" s="643" t="n"/>
      <c r="AA699" s="643" t="n"/>
      <c r="AE699" s="643" t="n"/>
      <c r="AI699" s="643" t="n"/>
      <c r="AM699" s="643" t="n"/>
      <c r="AQ699" s="643" t="n"/>
      <c r="AU699" s="643" t="n"/>
      <c r="AY699" s="643" t="n"/>
      <c r="BC699" s="643" t="n"/>
      <c r="BG699" s="643" t="n"/>
    </row>
    <row r="700" s="1168" customFormat="1" ht="12.75" customHeight="1">
      <c r="F700" s="643" t="n"/>
      <c r="K700" s="643" t="n"/>
      <c r="O700" s="643" t="n"/>
      <c r="S700" s="643" t="n"/>
      <c r="W700" s="643" t="n"/>
      <c r="AA700" s="643" t="n"/>
      <c r="AE700" s="643" t="n"/>
      <c r="AI700" s="643" t="n"/>
      <c r="AM700" s="643" t="n"/>
      <c r="AQ700" s="643" t="n"/>
      <c r="AU700" s="643" t="n"/>
      <c r="AY700" s="643" t="n"/>
      <c r="BC700" s="643" t="n"/>
      <c r="BG700" s="643" t="n"/>
    </row>
    <row r="701" s="1168" customFormat="1" ht="12.75" customHeight="1">
      <c r="F701" s="643" t="n"/>
      <c r="K701" s="643" t="n"/>
      <c r="O701" s="643" t="n"/>
      <c r="S701" s="643" t="n"/>
      <c r="W701" s="643" t="n"/>
      <c r="AA701" s="643" t="n"/>
      <c r="AE701" s="643" t="n"/>
      <c r="AI701" s="643" t="n"/>
      <c r="AM701" s="643" t="n"/>
      <c r="AQ701" s="643" t="n"/>
      <c r="AU701" s="643" t="n"/>
      <c r="AY701" s="643" t="n"/>
      <c r="BC701" s="643" t="n"/>
      <c r="BG701" s="643" t="n"/>
    </row>
    <row r="702" s="1168" customFormat="1" ht="12.75" customHeight="1">
      <c r="F702" s="643" t="n"/>
      <c r="K702" s="643" t="n"/>
      <c r="O702" s="643" t="n"/>
      <c r="S702" s="643" t="n"/>
      <c r="W702" s="643" t="n"/>
      <c r="AA702" s="643" t="n"/>
      <c r="AE702" s="643" t="n"/>
      <c r="AI702" s="643" t="n"/>
      <c r="AM702" s="643" t="n"/>
      <c r="AQ702" s="643" t="n"/>
      <c r="AU702" s="643" t="n"/>
      <c r="AY702" s="643" t="n"/>
      <c r="BC702" s="643" t="n"/>
      <c r="BG702" s="643" t="n"/>
    </row>
    <row r="703" s="1168" customFormat="1" ht="12.75" customHeight="1">
      <c r="F703" s="643" t="n"/>
      <c r="K703" s="643" t="n"/>
      <c r="O703" s="643" t="n"/>
      <c r="S703" s="643" t="n"/>
      <c r="W703" s="643" t="n"/>
      <c r="AA703" s="643" t="n"/>
      <c r="AE703" s="643" t="n"/>
      <c r="AI703" s="643" t="n"/>
      <c r="AM703" s="643" t="n"/>
      <c r="AQ703" s="643" t="n"/>
      <c r="AU703" s="643" t="n"/>
      <c r="AY703" s="643" t="n"/>
      <c r="BC703" s="643" t="n"/>
      <c r="BG703" s="643" t="n"/>
    </row>
    <row r="704" s="1168" customFormat="1" ht="12.75" customHeight="1">
      <c r="F704" s="643" t="n"/>
      <c r="K704" s="643" t="n"/>
      <c r="O704" s="643" t="n"/>
      <c r="S704" s="643" t="n"/>
      <c r="W704" s="643" t="n"/>
      <c r="AA704" s="643" t="n"/>
      <c r="AE704" s="643" t="n"/>
      <c r="AI704" s="643" t="n"/>
      <c r="AM704" s="643" t="n"/>
      <c r="AQ704" s="643" t="n"/>
      <c r="AU704" s="643" t="n"/>
      <c r="AY704" s="643" t="n"/>
      <c r="BC704" s="643" t="n"/>
      <c r="BG704" s="643" t="n"/>
    </row>
    <row r="705" s="1168" customFormat="1" ht="12.75" customHeight="1">
      <c r="F705" s="643" t="n"/>
      <c r="K705" s="643" t="n"/>
      <c r="O705" s="643" t="n"/>
      <c r="S705" s="643" t="n"/>
      <c r="W705" s="643" t="n"/>
      <c r="AA705" s="643" t="n"/>
      <c r="AE705" s="643" t="n"/>
      <c r="AI705" s="643" t="n"/>
      <c r="AM705" s="643" t="n"/>
      <c r="AQ705" s="643" t="n"/>
      <c r="AU705" s="643" t="n"/>
      <c r="AY705" s="643" t="n"/>
      <c r="BC705" s="643" t="n"/>
      <c r="BG705" s="643" t="n"/>
    </row>
    <row r="706" s="1168" customFormat="1" ht="12.75" customHeight="1">
      <c r="F706" s="643" t="n"/>
      <c r="K706" s="643" t="n"/>
      <c r="O706" s="643" t="n"/>
      <c r="S706" s="643" t="n"/>
      <c r="W706" s="643" t="n"/>
      <c r="AA706" s="643" t="n"/>
      <c r="AE706" s="643" t="n"/>
      <c r="AI706" s="643" t="n"/>
      <c r="AM706" s="643" t="n"/>
      <c r="AQ706" s="643" t="n"/>
      <c r="AU706" s="643" t="n"/>
      <c r="AY706" s="643" t="n"/>
      <c r="BC706" s="643" t="n"/>
      <c r="BG706" s="643" t="n"/>
    </row>
    <row r="707" s="1168" customFormat="1" ht="12.75" customHeight="1">
      <c r="F707" s="643" t="n"/>
      <c r="K707" s="643" t="n"/>
      <c r="O707" s="643" t="n"/>
      <c r="S707" s="643" t="n"/>
      <c r="W707" s="643" t="n"/>
      <c r="AA707" s="643" t="n"/>
      <c r="AE707" s="643" t="n"/>
      <c r="AI707" s="643" t="n"/>
      <c r="AM707" s="643" t="n"/>
      <c r="AQ707" s="643" t="n"/>
      <c r="AU707" s="643" t="n"/>
      <c r="AY707" s="643" t="n"/>
      <c r="BC707" s="643" t="n"/>
      <c r="BG707" s="643" t="n"/>
    </row>
    <row r="708" s="1168" customFormat="1" ht="12.75" customHeight="1">
      <c r="F708" s="643" t="n"/>
      <c r="K708" s="643" t="n"/>
      <c r="O708" s="643" t="n"/>
      <c r="S708" s="643" t="n"/>
      <c r="W708" s="643" t="n"/>
      <c r="AA708" s="643" t="n"/>
      <c r="AE708" s="643" t="n"/>
      <c r="AI708" s="643" t="n"/>
      <c r="AM708" s="643" t="n"/>
      <c r="AQ708" s="643" t="n"/>
      <c r="AU708" s="643" t="n"/>
      <c r="AY708" s="643" t="n"/>
      <c r="BC708" s="643" t="n"/>
      <c r="BG708" s="643" t="n"/>
    </row>
    <row r="709" s="1168" customFormat="1" ht="12.75" customHeight="1">
      <c r="F709" s="643" t="n"/>
      <c r="K709" s="643" t="n"/>
      <c r="O709" s="643" t="n"/>
      <c r="S709" s="643" t="n"/>
      <c r="W709" s="643" t="n"/>
      <c r="AA709" s="643" t="n"/>
      <c r="AE709" s="643" t="n"/>
      <c r="AI709" s="643" t="n"/>
      <c r="AM709" s="643" t="n"/>
      <c r="AQ709" s="643" t="n"/>
      <c r="AU709" s="643" t="n"/>
      <c r="AY709" s="643" t="n"/>
      <c r="BC709" s="643" t="n"/>
      <c r="BG709" s="643" t="n"/>
    </row>
    <row r="710" s="1168" customFormat="1" ht="12.75" customHeight="1">
      <c r="F710" s="643" t="n"/>
      <c r="K710" s="643" t="n"/>
      <c r="O710" s="643" t="n"/>
      <c r="S710" s="643" t="n"/>
      <c r="W710" s="643" t="n"/>
      <c r="AA710" s="643" t="n"/>
      <c r="AE710" s="643" t="n"/>
      <c r="AI710" s="643" t="n"/>
      <c r="AM710" s="643" t="n"/>
      <c r="AQ710" s="643" t="n"/>
      <c r="AU710" s="643" t="n"/>
      <c r="AY710" s="643" t="n"/>
      <c r="BC710" s="643" t="n"/>
      <c r="BG710" s="643" t="n"/>
    </row>
    <row r="711" s="1168" customFormat="1" ht="12.75" customHeight="1">
      <c r="F711" s="643" t="n"/>
      <c r="K711" s="643" t="n"/>
      <c r="O711" s="643" t="n"/>
      <c r="S711" s="643" t="n"/>
      <c r="W711" s="643" t="n"/>
      <c r="AA711" s="643" t="n"/>
      <c r="AE711" s="643" t="n"/>
      <c r="AI711" s="643" t="n"/>
      <c r="AM711" s="643" t="n"/>
      <c r="AQ711" s="643" t="n"/>
      <c r="AU711" s="643" t="n"/>
      <c r="AY711" s="643" t="n"/>
      <c r="BC711" s="643" t="n"/>
      <c r="BG711" s="643" t="n"/>
    </row>
    <row r="712" s="1168" customFormat="1" ht="12.75" customHeight="1">
      <c r="F712" s="643" t="n"/>
      <c r="K712" s="643" t="n"/>
      <c r="O712" s="643" t="n"/>
      <c r="S712" s="643" t="n"/>
      <c r="W712" s="643" t="n"/>
      <c r="AA712" s="643" t="n"/>
      <c r="AE712" s="643" t="n"/>
      <c r="AI712" s="643" t="n"/>
      <c r="AM712" s="643" t="n"/>
      <c r="AQ712" s="643" t="n"/>
      <c r="AU712" s="643" t="n"/>
      <c r="AY712" s="643" t="n"/>
      <c r="BC712" s="643" t="n"/>
      <c r="BG712" s="643" t="n"/>
    </row>
    <row r="713" s="1168" customFormat="1" ht="12.75" customHeight="1">
      <c r="F713" s="643" t="n"/>
      <c r="K713" s="643" t="n"/>
      <c r="O713" s="643" t="n"/>
      <c r="S713" s="643" t="n"/>
      <c r="W713" s="643" t="n"/>
      <c r="AA713" s="643" t="n"/>
      <c r="AE713" s="643" t="n"/>
      <c r="AI713" s="643" t="n"/>
      <c r="AM713" s="643" t="n"/>
      <c r="AQ713" s="643" t="n"/>
      <c r="AU713" s="643" t="n"/>
      <c r="AY713" s="643" t="n"/>
      <c r="BC713" s="643" t="n"/>
      <c r="BG713" s="643" t="n"/>
    </row>
    <row r="714" s="1168" customFormat="1" ht="12.75" customHeight="1">
      <c r="F714" s="643" t="n"/>
      <c r="K714" s="643" t="n"/>
      <c r="O714" s="643" t="n"/>
      <c r="S714" s="643" t="n"/>
      <c r="W714" s="643" t="n"/>
      <c r="AA714" s="643" t="n"/>
      <c r="AE714" s="643" t="n"/>
      <c r="AI714" s="643" t="n"/>
      <c r="AM714" s="643" t="n"/>
      <c r="AQ714" s="643" t="n"/>
      <c r="AU714" s="643" t="n"/>
      <c r="AY714" s="643" t="n"/>
      <c r="BC714" s="643" t="n"/>
      <c r="BG714" s="643" t="n"/>
    </row>
    <row r="715" s="1168" customFormat="1" ht="12.75" customHeight="1">
      <c r="F715" s="643" t="n"/>
      <c r="K715" s="643" t="n"/>
      <c r="O715" s="643" t="n"/>
      <c r="S715" s="643" t="n"/>
      <c r="W715" s="643" t="n"/>
      <c r="AA715" s="643" t="n"/>
      <c r="AE715" s="643" t="n"/>
      <c r="AI715" s="643" t="n"/>
      <c r="AM715" s="643" t="n"/>
      <c r="AQ715" s="643" t="n"/>
      <c r="AU715" s="643" t="n"/>
      <c r="AY715" s="643" t="n"/>
      <c r="BC715" s="643" t="n"/>
      <c r="BG715" s="643" t="n"/>
    </row>
    <row r="716" s="1168" customFormat="1" ht="12.75" customHeight="1">
      <c r="F716" s="643" t="n"/>
      <c r="K716" s="643" t="n"/>
      <c r="O716" s="643" t="n"/>
      <c r="S716" s="643" t="n"/>
      <c r="W716" s="643" t="n"/>
      <c r="AA716" s="643" t="n"/>
      <c r="AE716" s="643" t="n"/>
      <c r="AI716" s="643" t="n"/>
      <c r="AM716" s="643" t="n"/>
      <c r="AQ716" s="643" t="n"/>
      <c r="AU716" s="643" t="n"/>
      <c r="AY716" s="643" t="n"/>
      <c r="BC716" s="643" t="n"/>
      <c r="BG716" s="643" t="n"/>
    </row>
    <row r="717" s="1168" customFormat="1" ht="12.75" customHeight="1">
      <c r="F717" s="643" t="n"/>
      <c r="K717" s="643" t="n"/>
      <c r="O717" s="643" t="n"/>
      <c r="S717" s="643" t="n"/>
      <c r="W717" s="643" t="n"/>
      <c r="AA717" s="643" t="n"/>
      <c r="AE717" s="643" t="n"/>
      <c r="AI717" s="643" t="n"/>
      <c r="AM717" s="643" t="n"/>
      <c r="AQ717" s="643" t="n"/>
      <c r="AU717" s="643" t="n"/>
      <c r="AY717" s="643" t="n"/>
      <c r="BC717" s="643" t="n"/>
      <c r="BG717" s="643" t="n"/>
    </row>
    <row r="718" s="1168" customFormat="1" ht="12.75" customHeight="1">
      <c r="F718" s="643" t="n"/>
      <c r="K718" s="643" t="n"/>
      <c r="O718" s="643" t="n"/>
      <c r="S718" s="643" t="n"/>
      <c r="W718" s="643" t="n"/>
      <c r="AA718" s="643" t="n"/>
      <c r="AE718" s="643" t="n"/>
      <c r="AI718" s="643" t="n"/>
      <c r="AM718" s="643" t="n"/>
      <c r="AQ718" s="643" t="n"/>
      <c r="AU718" s="643" t="n"/>
      <c r="AY718" s="643" t="n"/>
      <c r="BC718" s="643" t="n"/>
      <c r="BG718" s="643" t="n"/>
    </row>
    <row r="719" s="1168" customFormat="1" ht="12.75" customHeight="1">
      <c r="F719" s="643" t="n"/>
      <c r="K719" s="643" t="n"/>
      <c r="O719" s="643" t="n"/>
      <c r="S719" s="643" t="n"/>
      <c r="W719" s="643" t="n"/>
      <c r="AA719" s="643" t="n"/>
      <c r="AE719" s="643" t="n"/>
      <c r="AI719" s="643" t="n"/>
      <c r="AM719" s="643" t="n"/>
      <c r="AQ719" s="643" t="n"/>
      <c r="AU719" s="643" t="n"/>
      <c r="AY719" s="643" t="n"/>
      <c r="BC719" s="643" t="n"/>
      <c r="BG719" s="643" t="n"/>
    </row>
    <row r="720" s="1168" customFormat="1" ht="12.75" customHeight="1">
      <c r="F720" s="643" t="n"/>
      <c r="K720" s="643" t="n"/>
      <c r="O720" s="643" t="n"/>
      <c r="S720" s="643" t="n"/>
      <c r="W720" s="643" t="n"/>
      <c r="AA720" s="643" t="n"/>
      <c r="AE720" s="643" t="n"/>
      <c r="AI720" s="643" t="n"/>
      <c r="AM720" s="643" t="n"/>
      <c r="AQ720" s="643" t="n"/>
      <c r="AU720" s="643" t="n"/>
      <c r="AY720" s="643" t="n"/>
      <c r="BC720" s="643" t="n"/>
      <c r="BG720" s="643" t="n"/>
    </row>
    <row r="721" s="1168" customFormat="1" ht="12.75" customHeight="1">
      <c r="F721" s="643" t="n"/>
      <c r="K721" s="643" t="n"/>
      <c r="O721" s="643" t="n"/>
      <c r="S721" s="643" t="n"/>
      <c r="W721" s="643" t="n"/>
      <c r="AA721" s="643" t="n"/>
      <c r="AE721" s="643" t="n"/>
      <c r="AI721" s="643" t="n"/>
      <c r="AM721" s="643" t="n"/>
      <c r="AQ721" s="643" t="n"/>
      <c r="AU721" s="643" t="n"/>
      <c r="AY721" s="643" t="n"/>
      <c r="BC721" s="643" t="n"/>
      <c r="BG721" s="643" t="n"/>
    </row>
    <row r="722" s="1168" customFormat="1" ht="12.75" customHeight="1">
      <c r="F722" s="643" t="n"/>
      <c r="K722" s="643" t="n"/>
      <c r="O722" s="643" t="n"/>
      <c r="S722" s="643" t="n"/>
      <c r="W722" s="643" t="n"/>
      <c r="AA722" s="643" t="n"/>
      <c r="AE722" s="643" t="n"/>
      <c r="AI722" s="643" t="n"/>
      <c r="AM722" s="643" t="n"/>
      <c r="AQ722" s="643" t="n"/>
      <c r="AU722" s="643" t="n"/>
      <c r="AY722" s="643" t="n"/>
      <c r="BC722" s="643" t="n"/>
      <c r="BG722" s="643" t="n"/>
    </row>
    <row r="723" s="1168" customFormat="1" ht="12.75" customHeight="1">
      <c r="F723" s="643" t="n"/>
      <c r="K723" s="643" t="n"/>
      <c r="O723" s="643" t="n"/>
      <c r="S723" s="643" t="n"/>
      <c r="W723" s="643" t="n"/>
      <c r="AA723" s="643" t="n"/>
      <c r="AE723" s="643" t="n"/>
      <c r="AI723" s="643" t="n"/>
      <c r="AM723" s="643" t="n"/>
      <c r="AQ723" s="643" t="n"/>
      <c r="AU723" s="643" t="n"/>
      <c r="AY723" s="643" t="n"/>
      <c r="BC723" s="643" t="n"/>
      <c r="BG723" s="643" t="n"/>
    </row>
    <row r="724" s="1168" customFormat="1" ht="12.75" customHeight="1">
      <c r="F724" s="643" t="n"/>
      <c r="K724" s="643" t="n"/>
      <c r="O724" s="643" t="n"/>
      <c r="S724" s="643" t="n"/>
      <c r="W724" s="643" t="n"/>
      <c r="AA724" s="643" t="n"/>
      <c r="AE724" s="643" t="n"/>
      <c r="AI724" s="643" t="n"/>
      <c r="AM724" s="643" t="n"/>
      <c r="AQ724" s="643" t="n"/>
      <c r="AU724" s="643" t="n"/>
      <c r="AY724" s="643" t="n"/>
      <c r="BC724" s="643" t="n"/>
      <c r="BG724" s="643" t="n"/>
    </row>
    <row r="725" s="1168" customFormat="1" ht="12.75" customHeight="1">
      <c r="F725" s="643" t="n"/>
      <c r="K725" s="643" t="n"/>
      <c r="O725" s="643" t="n"/>
      <c r="S725" s="643" t="n"/>
      <c r="W725" s="643" t="n"/>
      <c r="AA725" s="643" t="n"/>
      <c r="AE725" s="643" t="n"/>
      <c r="AI725" s="643" t="n"/>
      <c r="AM725" s="643" t="n"/>
      <c r="AQ725" s="643" t="n"/>
      <c r="AU725" s="643" t="n"/>
      <c r="AY725" s="643" t="n"/>
      <c r="BC725" s="643" t="n"/>
      <c r="BG725" s="643" t="n"/>
    </row>
    <row r="726" s="1168" customFormat="1" ht="12.75" customHeight="1">
      <c r="F726" s="643" t="n"/>
      <c r="K726" s="643" t="n"/>
      <c r="O726" s="643" t="n"/>
      <c r="S726" s="643" t="n"/>
      <c r="W726" s="643" t="n"/>
      <c r="AA726" s="643" t="n"/>
      <c r="AE726" s="643" t="n"/>
      <c r="AI726" s="643" t="n"/>
      <c r="AM726" s="643" t="n"/>
      <c r="AQ726" s="643" t="n"/>
      <c r="AU726" s="643" t="n"/>
      <c r="AY726" s="643" t="n"/>
      <c r="BC726" s="643" t="n"/>
      <c r="BG726" s="643" t="n"/>
    </row>
    <row r="727" s="1168" customFormat="1" ht="12.75" customHeight="1">
      <c r="F727" s="643" t="n"/>
      <c r="K727" s="643" t="n"/>
      <c r="O727" s="643" t="n"/>
      <c r="S727" s="643" t="n"/>
      <c r="W727" s="643" t="n"/>
      <c r="AA727" s="643" t="n"/>
      <c r="AE727" s="643" t="n"/>
      <c r="AI727" s="643" t="n"/>
      <c r="AM727" s="643" t="n"/>
      <c r="AQ727" s="643" t="n"/>
      <c r="AU727" s="643" t="n"/>
      <c r="AY727" s="643" t="n"/>
      <c r="BC727" s="643" t="n"/>
      <c r="BG727" s="643" t="n"/>
    </row>
    <row r="728" s="1168" customFormat="1" ht="12.75" customHeight="1">
      <c r="F728" s="643" t="n"/>
      <c r="K728" s="643" t="n"/>
      <c r="O728" s="643" t="n"/>
      <c r="S728" s="643" t="n"/>
      <c r="W728" s="643" t="n"/>
      <c r="AA728" s="643" t="n"/>
      <c r="AE728" s="643" t="n"/>
      <c r="AI728" s="643" t="n"/>
      <c r="AM728" s="643" t="n"/>
      <c r="AQ728" s="643" t="n"/>
      <c r="AU728" s="643" t="n"/>
      <c r="AY728" s="643" t="n"/>
      <c r="BC728" s="643" t="n"/>
      <c r="BG728" s="643" t="n"/>
    </row>
    <row r="729" s="1168" customFormat="1" ht="12.75" customHeight="1">
      <c r="F729" s="643" t="n"/>
      <c r="K729" s="643" t="n"/>
      <c r="O729" s="643" t="n"/>
      <c r="S729" s="643" t="n"/>
      <c r="W729" s="643" t="n"/>
      <c r="AA729" s="643" t="n"/>
      <c r="AE729" s="643" t="n"/>
      <c r="AI729" s="643" t="n"/>
      <c r="AM729" s="643" t="n"/>
      <c r="AQ729" s="643" t="n"/>
      <c r="AU729" s="643" t="n"/>
      <c r="AY729" s="643" t="n"/>
      <c r="BC729" s="643" t="n"/>
      <c r="BG729" s="643" t="n"/>
    </row>
    <row r="730" s="1168" customFormat="1" ht="12.75" customHeight="1">
      <c r="F730" s="643" t="n"/>
      <c r="K730" s="643" t="n"/>
      <c r="O730" s="643" t="n"/>
      <c r="S730" s="643" t="n"/>
      <c r="W730" s="643" t="n"/>
      <c r="AA730" s="643" t="n"/>
      <c r="AE730" s="643" t="n"/>
      <c r="AI730" s="643" t="n"/>
      <c r="AM730" s="643" t="n"/>
      <c r="AQ730" s="643" t="n"/>
      <c r="AU730" s="643" t="n"/>
      <c r="AY730" s="643" t="n"/>
      <c r="BC730" s="643" t="n"/>
      <c r="BG730" s="643" t="n"/>
    </row>
    <row r="731" s="1168" customFormat="1" ht="12.75" customHeight="1">
      <c r="F731" s="643" t="n"/>
      <c r="K731" s="643" t="n"/>
      <c r="O731" s="643" t="n"/>
      <c r="S731" s="643" t="n"/>
      <c r="W731" s="643" t="n"/>
      <c r="AA731" s="643" t="n"/>
      <c r="AE731" s="643" t="n"/>
      <c r="AI731" s="643" t="n"/>
      <c r="AM731" s="643" t="n"/>
      <c r="AQ731" s="643" t="n"/>
      <c r="AU731" s="643" t="n"/>
      <c r="AY731" s="643" t="n"/>
      <c r="BC731" s="643" t="n"/>
      <c r="BG731" s="643" t="n"/>
    </row>
    <row r="732" s="1168" customFormat="1" ht="12.75" customHeight="1">
      <c r="F732" s="643" t="n"/>
      <c r="K732" s="643" t="n"/>
      <c r="O732" s="643" t="n"/>
      <c r="S732" s="643" t="n"/>
      <c r="W732" s="643" t="n"/>
      <c r="AA732" s="643" t="n"/>
      <c r="AE732" s="643" t="n"/>
      <c r="AI732" s="643" t="n"/>
      <c r="AM732" s="643" t="n"/>
      <c r="AQ732" s="643" t="n"/>
      <c r="AU732" s="643" t="n"/>
      <c r="AY732" s="643" t="n"/>
      <c r="BC732" s="643" t="n"/>
      <c r="BG732" s="643" t="n"/>
    </row>
    <row r="733" s="1168" customFormat="1" ht="12.75" customHeight="1">
      <c r="F733" s="643" t="n"/>
      <c r="K733" s="643" t="n"/>
      <c r="O733" s="643" t="n"/>
      <c r="S733" s="643" t="n"/>
      <c r="W733" s="643" t="n"/>
      <c r="AA733" s="643" t="n"/>
      <c r="AE733" s="643" t="n"/>
      <c r="AI733" s="643" t="n"/>
      <c r="AM733" s="643" t="n"/>
      <c r="AQ733" s="643" t="n"/>
      <c r="AU733" s="643" t="n"/>
      <c r="AY733" s="643" t="n"/>
      <c r="BC733" s="643" t="n"/>
      <c r="BG733" s="643" t="n"/>
    </row>
    <row r="734" s="1168" customFormat="1" ht="12.75" customHeight="1">
      <c r="F734" s="643" t="n"/>
      <c r="K734" s="643" t="n"/>
      <c r="O734" s="643" t="n"/>
      <c r="S734" s="643" t="n"/>
      <c r="W734" s="643" t="n"/>
      <c r="AA734" s="643" t="n"/>
      <c r="AE734" s="643" t="n"/>
      <c r="AI734" s="643" t="n"/>
      <c r="AM734" s="643" t="n"/>
      <c r="AQ734" s="643" t="n"/>
      <c r="AU734" s="643" t="n"/>
      <c r="AY734" s="643" t="n"/>
      <c r="BC734" s="643" t="n"/>
      <c r="BG734" s="643" t="n"/>
    </row>
    <row r="735" s="1168" customFormat="1" ht="12.75" customHeight="1">
      <c r="F735" s="643" t="n"/>
      <c r="K735" s="643" t="n"/>
      <c r="O735" s="643" t="n"/>
      <c r="S735" s="643" t="n"/>
      <c r="W735" s="643" t="n"/>
      <c r="AA735" s="643" t="n"/>
      <c r="AE735" s="643" t="n"/>
      <c r="AI735" s="643" t="n"/>
      <c r="AM735" s="643" t="n"/>
      <c r="AQ735" s="643" t="n"/>
      <c r="AU735" s="643" t="n"/>
      <c r="AY735" s="643" t="n"/>
      <c r="BC735" s="643" t="n"/>
      <c r="BG735" s="643" t="n"/>
    </row>
    <row r="736" s="1168" customFormat="1" ht="12.75" customHeight="1">
      <c r="F736" s="643" t="n"/>
      <c r="K736" s="643" t="n"/>
      <c r="O736" s="643" t="n"/>
      <c r="S736" s="643" t="n"/>
      <c r="W736" s="643" t="n"/>
      <c r="AA736" s="643" t="n"/>
      <c r="AE736" s="643" t="n"/>
      <c r="AI736" s="643" t="n"/>
      <c r="AM736" s="643" t="n"/>
      <c r="AQ736" s="643" t="n"/>
      <c r="AU736" s="643" t="n"/>
      <c r="AY736" s="643" t="n"/>
      <c r="BC736" s="643" t="n"/>
      <c r="BG736" s="643" t="n"/>
    </row>
    <row r="737" s="1168" customFormat="1" ht="12.75" customHeight="1">
      <c r="F737" s="643" t="n"/>
      <c r="K737" s="643" t="n"/>
      <c r="O737" s="643" t="n"/>
      <c r="S737" s="643" t="n"/>
      <c r="W737" s="643" t="n"/>
      <c r="AA737" s="643" t="n"/>
      <c r="AE737" s="643" t="n"/>
      <c r="AI737" s="643" t="n"/>
      <c r="AM737" s="643" t="n"/>
      <c r="AQ737" s="643" t="n"/>
      <c r="AU737" s="643" t="n"/>
      <c r="AY737" s="643" t="n"/>
      <c r="BC737" s="643" t="n"/>
      <c r="BG737" s="643" t="n"/>
    </row>
    <row r="738" s="1168" customFormat="1" ht="12.75" customHeight="1">
      <c r="F738" s="643" t="n"/>
      <c r="K738" s="643" t="n"/>
      <c r="O738" s="643" t="n"/>
      <c r="S738" s="643" t="n"/>
      <c r="W738" s="643" t="n"/>
      <c r="AA738" s="643" t="n"/>
      <c r="AE738" s="643" t="n"/>
      <c r="AI738" s="643" t="n"/>
      <c r="AM738" s="643" t="n"/>
      <c r="AQ738" s="643" t="n"/>
      <c r="AU738" s="643" t="n"/>
      <c r="AY738" s="643" t="n"/>
      <c r="BC738" s="643" t="n"/>
      <c r="BG738" s="643" t="n"/>
    </row>
    <row r="739" s="1168" customFormat="1" ht="12.75" customHeight="1">
      <c r="F739" s="643" t="n"/>
      <c r="K739" s="643" t="n"/>
      <c r="O739" s="643" t="n"/>
      <c r="S739" s="643" t="n"/>
      <c r="W739" s="643" t="n"/>
      <c r="AA739" s="643" t="n"/>
      <c r="AE739" s="643" t="n"/>
      <c r="AI739" s="643" t="n"/>
      <c r="AM739" s="643" t="n"/>
      <c r="AQ739" s="643" t="n"/>
      <c r="AU739" s="643" t="n"/>
      <c r="AY739" s="643" t="n"/>
      <c r="BC739" s="643" t="n"/>
      <c r="BG739" s="643" t="n"/>
    </row>
    <row r="740" s="1168" customFormat="1" ht="12.75" customHeight="1">
      <c r="F740" s="643" t="n"/>
      <c r="K740" s="643" t="n"/>
      <c r="O740" s="643" t="n"/>
      <c r="S740" s="643" t="n"/>
      <c r="W740" s="643" t="n"/>
      <c r="AA740" s="643" t="n"/>
      <c r="AE740" s="643" t="n"/>
      <c r="AI740" s="643" t="n"/>
      <c r="AM740" s="643" t="n"/>
      <c r="AQ740" s="643" t="n"/>
      <c r="AU740" s="643" t="n"/>
      <c r="AY740" s="643" t="n"/>
      <c r="BC740" s="643" t="n"/>
      <c r="BG740" s="643" t="n"/>
    </row>
    <row r="741" s="1168" customFormat="1" ht="12.75" customHeight="1">
      <c r="F741" s="643" t="n"/>
      <c r="K741" s="643" t="n"/>
      <c r="O741" s="643" t="n"/>
      <c r="S741" s="643" t="n"/>
      <c r="W741" s="643" t="n"/>
      <c r="AA741" s="643" t="n"/>
      <c r="AE741" s="643" t="n"/>
      <c r="AI741" s="643" t="n"/>
      <c r="AM741" s="643" t="n"/>
      <c r="AQ741" s="643" t="n"/>
      <c r="AU741" s="643" t="n"/>
      <c r="AY741" s="643" t="n"/>
      <c r="BC741" s="643" t="n"/>
      <c r="BG741" s="643" t="n"/>
    </row>
    <row r="742" s="1168" customFormat="1" ht="12.75" customHeight="1">
      <c r="F742" s="643" t="n"/>
      <c r="K742" s="643" t="n"/>
      <c r="O742" s="643" t="n"/>
      <c r="S742" s="643" t="n"/>
      <c r="W742" s="643" t="n"/>
      <c r="AA742" s="643" t="n"/>
      <c r="AE742" s="643" t="n"/>
      <c r="AI742" s="643" t="n"/>
      <c r="AM742" s="643" t="n"/>
      <c r="AQ742" s="643" t="n"/>
      <c r="AU742" s="643" t="n"/>
      <c r="AY742" s="643" t="n"/>
      <c r="BC742" s="643" t="n"/>
      <c r="BG742" s="643" t="n"/>
    </row>
    <row r="743" s="1168" customFormat="1" ht="12.75" customHeight="1">
      <c r="F743" s="643" t="n"/>
      <c r="K743" s="643" t="n"/>
      <c r="O743" s="643" t="n"/>
      <c r="S743" s="643" t="n"/>
      <c r="W743" s="643" t="n"/>
      <c r="AA743" s="643" t="n"/>
      <c r="AE743" s="643" t="n"/>
      <c r="AI743" s="643" t="n"/>
      <c r="AM743" s="643" t="n"/>
      <c r="AQ743" s="643" t="n"/>
      <c r="AU743" s="643" t="n"/>
      <c r="AY743" s="643" t="n"/>
      <c r="BC743" s="643" t="n"/>
      <c r="BG743" s="643" t="n"/>
    </row>
    <row r="744" s="1168" customFormat="1" ht="12.75" customHeight="1">
      <c r="F744" s="643" t="n"/>
      <c r="K744" s="643" t="n"/>
      <c r="O744" s="643" t="n"/>
      <c r="S744" s="643" t="n"/>
      <c r="W744" s="643" t="n"/>
      <c r="AA744" s="643" t="n"/>
      <c r="AE744" s="643" t="n"/>
      <c r="AI744" s="643" t="n"/>
      <c r="AM744" s="643" t="n"/>
      <c r="AQ744" s="643" t="n"/>
      <c r="AU744" s="643" t="n"/>
      <c r="AY744" s="643" t="n"/>
      <c r="BC744" s="643" t="n"/>
      <c r="BG744" s="643" t="n"/>
    </row>
    <row r="745" s="1168" customFormat="1" ht="12.75" customHeight="1">
      <c r="F745" s="643" t="n"/>
      <c r="K745" s="643" t="n"/>
      <c r="O745" s="643" t="n"/>
      <c r="S745" s="643" t="n"/>
      <c r="W745" s="643" t="n"/>
      <c r="AA745" s="643" t="n"/>
      <c r="AE745" s="643" t="n"/>
      <c r="AI745" s="643" t="n"/>
      <c r="AM745" s="643" t="n"/>
      <c r="AQ745" s="643" t="n"/>
      <c r="AU745" s="643" t="n"/>
      <c r="AY745" s="643" t="n"/>
      <c r="BC745" s="643" t="n"/>
      <c r="BG745" s="643" t="n"/>
    </row>
    <row r="746" s="1168" customFormat="1" ht="12.75" customHeight="1">
      <c r="F746" s="643" t="n"/>
      <c r="K746" s="643" t="n"/>
      <c r="O746" s="643" t="n"/>
      <c r="S746" s="643" t="n"/>
      <c r="W746" s="643" t="n"/>
      <c r="AA746" s="643" t="n"/>
      <c r="AE746" s="643" t="n"/>
      <c r="AI746" s="643" t="n"/>
      <c r="AM746" s="643" t="n"/>
      <c r="AQ746" s="643" t="n"/>
      <c r="AU746" s="643" t="n"/>
      <c r="AY746" s="643" t="n"/>
      <c r="BC746" s="643" t="n"/>
      <c r="BG746" s="643" t="n"/>
    </row>
    <row r="747" s="1168" customFormat="1" ht="12.75" customHeight="1">
      <c r="F747" s="643" t="n"/>
      <c r="K747" s="643" t="n"/>
      <c r="O747" s="643" t="n"/>
      <c r="S747" s="643" t="n"/>
      <c r="W747" s="643" t="n"/>
      <c r="AA747" s="643" t="n"/>
      <c r="AE747" s="643" t="n"/>
      <c r="AI747" s="643" t="n"/>
      <c r="AM747" s="643" t="n"/>
      <c r="AQ747" s="643" t="n"/>
      <c r="AU747" s="643" t="n"/>
      <c r="AY747" s="643" t="n"/>
      <c r="BC747" s="643" t="n"/>
      <c r="BG747" s="643" t="n"/>
    </row>
    <row r="748" s="1168" customFormat="1" ht="12.75" customHeight="1">
      <c r="F748" s="643" t="n"/>
      <c r="K748" s="643" t="n"/>
      <c r="O748" s="643" t="n"/>
      <c r="S748" s="643" t="n"/>
      <c r="W748" s="643" t="n"/>
      <c r="AA748" s="643" t="n"/>
      <c r="AE748" s="643" t="n"/>
      <c r="AI748" s="643" t="n"/>
      <c r="AM748" s="643" t="n"/>
      <c r="AQ748" s="643" t="n"/>
      <c r="AU748" s="643" t="n"/>
      <c r="AY748" s="643" t="n"/>
      <c r="BC748" s="643" t="n"/>
      <c r="BG748" s="643" t="n"/>
    </row>
    <row r="749" s="1168" customFormat="1" ht="12.75" customHeight="1">
      <c r="F749" s="643" t="n"/>
      <c r="K749" s="643" t="n"/>
      <c r="O749" s="643" t="n"/>
      <c r="S749" s="643" t="n"/>
      <c r="W749" s="643" t="n"/>
      <c r="AA749" s="643" t="n"/>
      <c r="AE749" s="643" t="n"/>
      <c r="AI749" s="643" t="n"/>
      <c r="AM749" s="643" t="n"/>
      <c r="AQ749" s="643" t="n"/>
      <c r="AU749" s="643" t="n"/>
      <c r="AY749" s="643" t="n"/>
      <c r="BC749" s="643" t="n"/>
      <c r="BG749" s="643" t="n"/>
    </row>
    <row r="750" s="1168" customFormat="1" ht="12.75" customHeight="1">
      <c r="F750" s="643" t="n"/>
      <c r="K750" s="643" t="n"/>
      <c r="O750" s="643" t="n"/>
      <c r="S750" s="643" t="n"/>
      <c r="W750" s="643" t="n"/>
      <c r="AA750" s="643" t="n"/>
      <c r="AE750" s="643" t="n"/>
      <c r="AI750" s="643" t="n"/>
      <c r="AM750" s="643" t="n"/>
      <c r="AQ750" s="643" t="n"/>
      <c r="AU750" s="643" t="n"/>
      <c r="AY750" s="643" t="n"/>
      <c r="BC750" s="643" t="n"/>
      <c r="BG750" s="643" t="n"/>
    </row>
    <row r="751" s="1168" customFormat="1" ht="12.75" customHeight="1">
      <c r="F751" s="643" t="n"/>
      <c r="K751" s="643" t="n"/>
      <c r="O751" s="643" t="n"/>
      <c r="S751" s="643" t="n"/>
      <c r="W751" s="643" t="n"/>
      <c r="AA751" s="643" t="n"/>
      <c r="AE751" s="643" t="n"/>
      <c r="AI751" s="643" t="n"/>
      <c r="AM751" s="643" t="n"/>
      <c r="AQ751" s="643" t="n"/>
      <c r="AU751" s="643" t="n"/>
      <c r="AY751" s="643" t="n"/>
      <c r="BC751" s="643" t="n"/>
      <c r="BG751" s="643" t="n"/>
    </row>
    <row r="752" s="1168" customFormat="1" ht="12.75" customHeight="1">
      <c r="F752" s="643" t="n"/>
      <c r="K752" s="643" t="n"/>
      <c r="O752" s="643" t="n"/>
      <c r="S752" s="643" t="n"/>
      <c r="W752" s="643" t="n"/>
      <c r="AA752" s="643" t="n"/>
      <c r="AE752" s="643" t="n"/>
      <c r="AI752" s="643" t="n"/>
      <c r="AM752" s="643" t="n"/>
      <c r="AQ752" s="643" t="n"/>
      <c r="AU752" s="643" t="n"/>
      <c r="AY752" s="643" t="n"/>
      <c r="BC752" s="643" t="n"/>
      <c r="BG752" s="643" t="n"/>
    </row>
    <row r="753" s="1168" customFormat="1" ht="12.75" customHeight="1">
      <c r="F753" s="643" t="n"/>
      <c r="K753" s="643" t="n"/>
      <c r="O753" s="643" t="n"/>
      <c r="S753" s="643" t="n"/>
      <c r="W753" s="643" t="n"/>
      <c r="AA753" s="643" t="n"/>
      <c r="AE753" s="643" t="n"/>
      <c r="AI753" s="643" t="n"/>
      <c r="AM753" s="643" t="n"/>
      <c r="AQ753" s="643" t="n"/>
      <c r="AU753" s="643" t="n"/>
      <c r="AY753" s="643" t="n"/>
      <c r="BC753" s="643" t="n"/>
      <c r="BG753" s="643" t="n"/>
    </row>
    <row r="754" s="1168" customFormat="1" ht="12.75" customHeight="1">
      <c r="F754" s="643" t="n"/>
      <c r="K754" s="643" t="n"/>
      <c r="O754" s="643" t="n"/>
      <c r="S754" s="643" t="n"/>
      <c r="W754" s="643" t="n"/>
      <c r="AA754" s="643" t="n"/>
      <c r="AE754" s="643" t="n"/>
      <c r="AI754" s="643" t="n"/>
      <c r="AM754" s="643" t="n"/>
      <c r="AQ754" s="643" t="n"/>
      <c r="AU754" s="643" t="n"/>
      <c r="AY754" s="643" t="n"/>
      <c r="BC754" s="643" t="n"/>
      <c r="BG754" s="643" t="n"/>
    </row>
    <row r="755" s="1168" customFormat="1" ht="12.75" customHeight="1">
      <c r="F755" s="643" t="n"/>
      <c r="K755" s="643" t="n"/>
      <c r="O755" s="643" t="n"/>
      <c r="S755" s="643" t="n"/>
      <c r="W755" s="643" t="n"/>
      <c r="AA755" s="643" t="n"/>
      <c r="AE755" s="643" t="n"/>
      <c r="AI755" s="643" t="n"/>
      <c r="AM755" s="643" t="n"/>
      <c r="AQ755" s="643" t="n"/>
      <c r="AU755" s="643" t="n"/>
      <c r="AY755" s="643" t="n"/>
      <c r="BC755" s="643" t="n"/>
      <c r="BG755" s="643" t="n"/>
    </row>
    <row r="756" s="1168" customFormat="1" ht="12.75" customHeight="1">
      <c r="F756" s="643" t="n"/>
      <c r="K756" s="643" t="n"/>
      <c r="O756" s="643" t="n"/>
      <c r="S756" s="643" t="n"/>
      <c r="W756" s="643" t="n"/>
      <c r="AA756" s="643" t="n"/>
      <c r="AE756" s="643" t="n"/>
      <c r="AI756" s="643" t="n"/>
      <c r="AM756" s="643" t="n"/>
      <c r="AQ756" s="643" t="n"/>
      <c r="AU756" s="643" t="n"/>
      <c r="AY756" s="643" t="n"/>
      <c r="BC756" s="643" t="n"/>
      <c r="BG756" s="643" t="n"/>
    </row>
    <row r="757" s="1168" customFormat="1" ht="12.75" customHeight="1">
      <c r="F757" s="643" t="n"/>
      <c r="K757" s="643" t="n"/>
      <c r="O757" s="643" t="n"/>
      <c r="S757" s="643" t="n"/>
      <c r="W757" s="643" t="n"/>
      <c r="AA757" s="643" t="n"/>
      <c r="AE757" s="643" t="n"/>
      <c r="AI757" s="643" t="n"/>
      <c r="AM757" s="643" t="n"/>
      <c r="AQ757" s="643" t="n"/>
      <c r="AU757" s="643" t="n"/>
      <c r="AY757" s="643" t="n"/>
      <c r="BC757" s="643" t="n"/>
      <c r="BG757" s="643" t="n"/>
    </row>
    <row r="758" s="1168" customFormat="1" ht="12.75" customHeight="1">
      <c r="F758" s="643" t="n"/>
      <c r="K758" s="643" t="n"/>
      <c r="O758" s="643" t="n"/>
      <c r="S758" s="643" t="n"/>
      <c r="W758" s="643" t="n"/>
      <c r="AA758" s="643" t="n"/>
      <c r="AE758" s="643" t="n"/>
      <c r="AI758" s="643" t="n"/>
      <c r="AM758" s="643" t="n"/>
      <c r="AQ758" s="643" t="n"/>
      <c r="AU758" s="643" t="n"/>
      <c r="AY758" s="643" t="n"/>
      <c r="BC758" s="643" t="n"/>
      <c r="BG758" s="643" t="n"/>
    </row>
    <row r="759" s="1168" customFormat="1" ht="12.75" customHeight="1">
      <c r="F759" s="643" t="n"/>
      <c r="K759" s="643" t="n"/>
      <c r="O759" s="643" t="n"/>
      <c r="S759" s="643" t="n"/>
      <c r="W759" s="643" t="n"/>
      <c r="AA759" s="643" t="n"/>
      <c r="AE759" s="643" t="n"/>
      <c r="AI759" s="643" t="n"/>
      <c r="AM759" s="643" t="n"/>
      <c r="AQ759" s="643" t="n"/>
      <c r="AU759" s="643" t="n"/>
      <c r="AY759" s="643" t="n"/>
      <c r="BC759" s="643" t="n"/>
      <c r="BG759" s="643" t="n"/>
    </row>
    <row r="760" s="1168" customFormat="1" ht="12.75" customHeight="1">
      <c r="F760" s="643" t="n"/>
      <c r="K760" s="643" t="n"/>
      <c r="O760" s="643" t="n"/>
      <c r="S760" s="643" t="n"/>
      <c r="W760" s="643" t="n"/>
      <c r="AA760" s="643" t="n"/>
      <c r="AE760" s="643" t="n"/>
      <c r="AI760" s="643" t="n"/>
      <c r="AM760" s="643" t="n"/>
      <c r="AQ760" s="643" t="n"/>
      <c r="AU760" s="643" t="n"/>
      <c r="AY760" s="643" t="n"/>
      <c r="BC760" s="643" t="n"/>
      <c r="BG760" s="643" t="n"/>
    </row>
    <row r="761" s="1168" customFormat="1" ht="12.75" customHeight="1">
      <c r="F761" s="643" t="n"/>
      <c r="K761" s="643" t="n"/>
      <c r="O761" s="643" t="n"/>
      <c r="S761" s="643" t="n"/>
      <c r="W761" s="643" t="n"/>
      <c r="AA761" s="643" t="n"/>
      <c r="AE761" s="643" t="n"/>
      <c r="AI761" s="643" t="n"/>
      <c r="AM761" s="643" t="n"/>
      <c r="AQ761" s="643" t="n"/>
      <c r="AU761" s="643" t="n"/>
      <c r="AY761" s="643" t="n"/>
      <c r="BC761" s="643" t="n"/>
      <c r="BG761" s="643" t="n"/>
    </row>
    <row r="762" s="1168" customFormat="1" ht="12.75" customHeight="1">
      <c r="F762" s="643" t="n"/>
      <c r="K762" s="643" t="n"/>
      <c r="O762" s="643" t="n"/>
      <c r="S762" s="643" t="n"/>
      <c r="W762" s="643" t="n"/>
      <c r="AA762" s="643" t="n"/>
      <c r="AE762" s="643" t="n"/>
      <c r="AI762" s="643" t="n"/>
      <c r="AM762" s="643" t="n"/>
      <c r="AQ762" s="643" t="n"/>
      <c r="AU762" s="643" t="n"/>
      <c r="AY762" s="643" t="n"/>
      <c r="BC762" s="643" t="n"/>
      <c r="BG762" s="643" t="n"/>
    </row>
    <row r="763" s="1168" customFormat="1" ht="12.75" customHeight="1">
      <c r="F763" s="643" t="n"/>
      <c r="K763" s="643" t="n"/>
      <c r="O763" s="643" t="n"/>
      <c r="S763" s="643" t="n"/>
      <c r="W763" s="643" t="n"/>
      <c r="AA763" s="643" t="n"/>
      <c r="AE763" s="643" t="n"/>
      <c r="AI763" s="643" t="n"/>
      <c r="AM763" s="643" t="n"/>
      <c r="AQ763" s="643" t="n"/>
      <c r="AU763" s="643" t="n"/>
      <c r="AY763" s="643" t="n"/>
      <c r="BC763" s="643" t="n"/>
      <c r="BG763" s="643" t="n"/>
    </row>
    <row r="764" s="1168" customFormat="1" ht="12.75" customHeight="1">
      <c r="F764" s="643" t="n"/>
      <c r="K764" s="643" t="n"/>
      <c r="O764" s="643" t="n"/>
      <c r="S764" s="643" t="n"/>
      <c r="W764" s="643" t="n"/>
      <c r="AA764" s="643" t="n"/>
      <c r="AE764" s="643" t="n"/>
      <c r="AI764" s="643" t="n"/>
      <c r="AM764" s="643" t="n"/>
      <c r="AQ764" s="643" t="n"/>
      <c r="AU764" s="643" t="n"/>
      <c r="AY764" s="643" t="n"/>
      <c r="BC764" s="643" t="n"/>
      <c r="BG764" s="643" t="n"/>
    </row>
    <row r="765" s="1168" customFormat="1" ht="12.75" customHeight="1">
      <c r="F765" s="643" t="n"/>
      <c r="K765" s="643" t="n"/>
      <c r="O765" s="643" t="n"/>
      <c r="S765" s="643" t="n"/>
      <c r="W765" s="643" t="n"/>
      <c r="AA765" s="643" t="n"/>
      <c r="AE765" s="643" t="n"/>
      <c r="AI765" s="643" t="n"/>
      <c r="AM765" s="643" t="n"/>
      <c r="AQ765" s="643" t="n"/>
      <c r="AU765" s="643" t="n"/>
      <c r="AY765" s="643" t="n"/>
      <c r="BC765" s="643" t="n"/>
      <c r="BG765" s="643" t="n"/>
    </row>
    <row r="766" s="1168" customFormat="1" ht="12.75" customHeight="1">
      <c r="F766" s="643" t="n"/>
      <c r="K766" s="643" t="n"/>
      <c r="O766" s="643" t="n"/>
      <c r="S766" s="643" t="n"/>
      <c r="W766" s="643" t="n"/>
      <c r="AA766" s="643" t="n"/>
      <c r="AE766" s="643" t="n"/>
      <c r="AI766" s="643" t="n"/>
      <c r="AM766" s="643" t="n"/>
      <c r="AQ766" s="643" t="n"/>
      <c r="AU766" s="643" t="n"/>
      <c r="AY766" s="643" t="n"/>
      <c r="BC766" s="643" t="n"/>
      <c r="BG766" s="643" t="n"/>
    </row>
    <row r="767" s="1168" customFormat="1" ht="12.75" customHeight="1">
      <c r="F767" s="643" t="n"/>
      <c r="K767" s="643" t="n"/>
      <c r="O767" s="643" t="n"/>
      <c r="S767" s="643" t="n"/>
      <c r="W767" s="643" t="n"/>
      <c r="AA767" s="643" t="n"/>
      <c r="AE767" s="643" t="n"/>
      <c r="AI767" s="643" t="n"/>
      <c r="AM767" s="643" t="n"/>
      <c r="AQ767" s="643" t="n"/>
      <c r="AU767" s="643" t="n"/>
      <c r="AY767" s="643" t="n"/>
      <c r="BC767" s="643" t="n"/>
      <c r="BG767" s="643" t="n"/>
    </row>
    <row r="768" s="1168" customFormat="1" ht="12.75" customHeight="1">
      <c r="F768" s="643" t="n"/>
      <c r="K768" s="643" t="n"/>
      <c r="O768" s="643" t="n"/>
      <c r="S768" s="643" t="n"/>
      <c r="W768" s="643" t="n"/>
      <c r="AA768" s="643" t="n"/>
      <c r="AE768" s="643" t="n"/>
      <c r="AI768" s="643" t="n"/>
      <c r="AM768" s="643" t="n"/>
      <c r="AQ768" s="643" t="n"/>
      <c r="AU768" s="643" t="n"/>
      <c r="AY768" s="643" t="n"/>
      <c r="BC768" s="643" t="n"/>
      <c r="BG768" s="643" t="n"/>
    </row>
    <row r="769" s="1168" customFormat="1" ht="12.75" customHeight="1">
      <c r="F769" s="643" t="n"/>
      <c r="K769" s="643" t="n"/>
      <c r="O769" s="643" t="n"/>
      <c r="S769" s="643" t="n"/>
      <c r="W769" s="643" t="n"/>
      <c r="AA769" s="643" t="n"/>
      <c r="AE769" s="643" t="n"/>
      <c r="AI769" s="643" t="n"/>
      <c r="AM769" s="643" t="n"/>
      <c r="AQ769" s="643" t="n"/>
      <c r="AU769" s="643" t="n"/>
      <c r="AY769" s="643" t="n"/>
      <c r="BC769" s="643" t="n"/>
      <c r="BG769" s="643" t="n"/>
    </row>
    <row r="770" s="1168" customFormat="1" ht="12.75" customHeight="1">
      <c r="F770" s="643" t="n"/>
      <c r="K770" s="643" t="n"/>
      <c r="O770" s="643" t="n"/>
      <c r="S770" s="643" t="n"/>
      <c r="W770" s="643" t="n"/>
      <c r="AA770" s="643" t="n"/>
      <c r="AE770" s="643" t="n"/>
      <c r="AI770" s="643" t="n"/>
      <c r="AM770" s="643" t="n"/>
      <c r="AQ770" s="643" t="n"/>
      <c r="AU770" s="643" t="n"/>
      <c r="AY770" s="643" t="n"/>
      <c r="BC770" s="643" t="n"/>
      <c r="BG770" s="643" t="n"/>
    </row>
    <row r="771" s="1168" customFormat="1" ht="12.75" customHeight="1">
      <c r="F771" s="643" t="n"/>
      <c r="K771" s="643" t="n"/>
      <c r="O771" s="643" t="n"/>
      <c r="S771" s="643" t="n"/>
      <c r="W771" s="643" t="n"/>
      <c r="AA771" s="643" t="n"/>
      <c r="AE771" s="643" t="n"/>
      <c r="AI771" s="643" t="n"/>
      <c r="AM771" s="643" t="n"/>
      <c r="AQ771" s="643" t="n"/>
      <c r="AU771" s="643" t="n"/>
      <c r="AY771" s="643" t="n"/>
      <c r="BC771" s="643" t="n"/>
      <c r="BG771" s="643" t="n"/>
    </row>
    <row r="772" s="1168" customFormat="1" ht="12.75" customHeight="1">
      <c r="F772" s="643" t="n"/>
      <c r="K772" s="643" t="n"/>
      <c r="O772" s="643" t="n"/>
      <c r="S772" s="643" t="n"/>
      <c r="W772" s="643" t="n"/>
      <c r="AA772" s="643" t="n"/>
      <c r="AE772" s="643" t="n"/>
      <c r="AI772" s="643" t="n"/>
      <c r="AM772" s="643" t="n"/>
      <c r="AQ772" s="643" t="n"/>
      <c r="AU772" s="643" t="n"/>
      <c r="AY772" s="643" t="n"/>
      <c r="BC772" s="643" t="n"/>
      <c r="BG772" s="643" t="n"/>
    </row>
    <row r="773" s="1168" customFormat="1" ht="12.75" customHeight="1">
      <c r="F773" s="643" t="n"/>
      <c r="K773" s="643" t="n"/>
      <c r="O773" s="643" t="n"/>
      <c r="S773" s="643" t="n"/>
      <c r="W773" s="643" t="n"/>
      <c r="AA773" s="643" t="n"/>
      <c r="AE773" s="643" t="n"/>
      <c r="AI773" s="643" t="n"/>
      <c r="AM773" s="643" t="n"/>
      <c r="AQ773" s="643" t="n"/>
      <c r="AU773" s="643" t="n"/>
      <c r="AY773" s="643" t="n"/>
      <c r="BC773" s="643" t="n"/>
      <c r="BG773" s="643" t="n"/>
    </row>
    <row r="774" s="1168" customFormat="1" ht="12.75" customHeight="1">
      <c r="F774" s="643" t="n"/>
      <c r="K774" s="643" t="n"/>
      <c r="O774" s="643" t="n"/>
      <c r="S774" s="643" t="n"/>
      <c r="W774" s="643" t="n"/>
      <c r="AA774" s="643" t="n"/>
      <c r="AE774" s="643" t="n"/>
      <c r="AI774" s="643" t="n"/>
      <c r="AM774" s="643" t="n"/>
      <c r="AQ774" s="643" t="n"/>
      <c r="AU774" s="643" t="n"/>
      <c r="AY774" s="643" t="n"/>
      <c r="BC774" s="643" t="n"/>
      <c r="BG774" s="643" t="n"/>
    </row>
    <row r="775" s="1168" customFormat="1" ht="12.75" customHeight="1">
      <c r="F775" s="643" t="n"/>
      <c r="K775" s="643" t="n"/>
      <c r="O775" s="643" t="n"/>
      <c r="S775" s="643" t="n"/>
      <c r="W775" s="643" t="n"/>
      <c r="AA775" s="643" t="n"/>
      <c r="AE775" s="643" t="n"/>
      <c r="AI775" s="643" t="n"/>
      <c r="AM775" s="643" t="n"/>
      <c r="AQ775" s="643" t="n"/>
      <c r="AU775" s="643" t="n"/>
      <c r="AY775" s="643" t="n"/>
      <c r="BC775" s="643" t="n"/>
      <c r="BG775" s="643" t="n"/>
    </row>
    <row r="776" s="1168" customFormat="1" ht="12.75" customHeight="1">
      <c r="F776" s="643" t="n"/>
      <c r="K776" s="643" t="n"/>
      <c r="O776" s="643" t="n"/>
      <c r="S776" s="643" t="n"/>
      <c r="W776" s="643" t="n"/>
      <c r="AA776" s="643" t="n"/>
      <c r="AE776" s="643" t="n"/>
      <c r="AI776" s="643" t="n"/>
      <c r="AM776" s="643" t="n"/>
      <c r="AQ776" s="643" t="n"/>
      <c r="AU776" s="643" t="n"/>
      <c r="AY776" s="643" t="n"/>
      <c r="BC776" s="643" t="n"/>
      <c r="BG776" s="643" t="n"/>
    </row>
    <row r="777" s="1168" customFormat="1" ht="12.75" customHeight="1">
      <c r="F777" s="643" t="n"/>
      <c r="K777" s="643" t="n"/>
      <c r="O777" s="643" t="n"/>
      <c r="S777" s="643" t="n"/>
      <c r="W777" s="643" t="n"/>
      <c r="AA777" s="643" t="n"/>
      <c r="AE777" s="643" t="n"/>
      <c r="AI777" s="643" t="n"/>
      <c r="AM777" s="643" t="n"/>
      <c r="AQ777" s="643" t="n"/>
      <c r="AU777" s="643" t="n"/>
      <c r="AY777" s="643" t="n"/>
      <c r="BC777" s="643" t="n"/>
      <c r="BG777" s="643" t="n"/>
    </row>
    <row r="778" s="1168" customFormat="1" ht="12.75" customHeight="1">
      <c r="F778" s="643" t="n"/>
      <c r="K778" s="643" t="n"/>
      <c r="O778" s="643" t="n"/>
      <c r="S778" s="643" t="n"/>
      <c r="W778" s="643" t="n"/>
      <c r="AA778" s="643" t="n"/>
      <c r="AE778" s="643" t="n"/>
      <c r="AI778" s="643" t="n"/>
      <c r="AM778" s="643" t="n"/>
      <c r="AQ778" s="643" t="n"/>
      <c r="AU778" s="643" t="n"/>
      <c r="AY778" s="643" t="n"/>
      <c r="BC778" s="643" t="n"/>
      <c r="BG778" s="643" t="n"/>
    </row>
    <row r="779" s="1168" customFormat="1" ht="12.75" customHeight="1">
      <c r="F779" s="643" t="n"/>
      <c r="K779" s="643" t="n"/>
      <c r="O779" s="643" t="n"/>
      <c r="S779" s="643" t="n"/>
      <c r="W779" s="643" t="n"/>
      <c r="AA779" s="643" t="n"/>
      <c r="AE779" s="643" t="n"/>
      <c r="AI779" s="643" t="n"/>
      <c r="AM779" s="643" t="n"/>
      <c r="AQ779" s="643" t="n"/>
      <c r="AU779" s="643" t="n"/>
      <c r="AY779" s="643" t="n"/>
      <c r="BC779" s="643" t="n"/>
      <c r="BG779" s="643" t="n"/>
    </row>
    <row r="780" s="1168" customFormat="1" ht="12.75" customHeight="1">
      <c r="F780" s="643" t="n"/>
      <c r="K780" s="643" t="n"/>
      <c r="O780" s="643" t="n"/>
      <c r="S780" s="643" t="n"/>
      <c r="W780" s="643" t="n"/>
      <c r="AA780" s="643" t="n"/>
      <c r="AE780" s="643" t="n"/>
      <c r="AI780" s="643" t="n"/>
      <c r="AM780" s="643" t="n"/>
      <c r="AQ780" s="643" t="n"/>
      <c r="AU780" s="643" t="n"/>
      <c r="AY780" s="643" t="n"/>
      <c r="BC780" s="643" t="n"/>
      <c r="BG780" s="643" t="n"/>
    </row>
    <row r="781" s="1168" customFormat="1" ht="12.75" customHeight="1">
      <c r="F781" s="643" t="n"/>
      <c r="K781" s="643" t="n"/>
      <c r="O781" s="643" t="n"/>
      <c r="S781" s="643" t="n"/>
      <c r="W781" s="643" t="n"/>
      <c r="AA781" s="643" t="n"/>
      <c r="AE781" s="643" t="n"/>
      <c r="AI781" s="643" t="n"/>
      <c r="AM781" s="643" t="n"/>
      <c r="AQ781" s="643" t="n"/>
      <c r="AU781" s="643" t="n"/>
      <c r="AY781" s="643" t="n"/>
      <c r="BC781" s="643" t="n"/>
      <c r="BG781" s="643" t="n"/>
    </row>
    <row r="782" s="1168" customFormat="1" ht="12.75" customHeight="1">
      <c r="F782" s="643" t="n"/>
      <c r="K782" s="643" t="n"/>
      <c r="O782" s="643" t="n"/>
      <c r="S782" s="643" t="n"/>
      <c r="W782" s="643" t="n"/>
      <c r="AA782" s="643" t="n"/>
      <c r="AE782" s="643" t="n"/>
      <c r="AI782" s="643" t="n"/>
      <c r="AM782" s="643" t="n"/>
      <c r="AQ782" s="643" t="n"/>
      <c r="AU782" s="643" t="n"/>
      <c r="AY782" s="643" t="n"/>
      <c r="BC782" s="643" t="n"/>
      <c r="BG782" s="643" t="n"/>
    </row>
    <row r="783" s="1168" customFormat="1" ht="12.75" customHeight="1">
      <c r="F783" s="643" t="n"/>
      <c r="K783" s="643" t="n"/>
      <c r="O783" s="643" t="n"/>
      <c r="S783" s="643" t="n"/>
      <c r="W783" s="643" t="n"/>
      <c r="AA783" s="643" t="n"/>
      <c r="AE783" s="643" t="n"/>
      <c r="AI783" s="643" t="n"/>
      <c r="AM783" s="643" t="n"/>
      <c r="AQ783" s="643" t="n"/>
      <c r="AU783" s="643" t="n"/>
      <c r="AY783" s="643" t="n"/>
      <c r="BC783" s="643" t="n"/>
      <c r="BG783" s="643" t="n"/>
    </row>
    <row r="784" s="1168" customFormat="1" ht="12.75" customHeight="1">
      <c r="F784" s="643" t="n"/>
      <c r="K784" s="643" t="n"/>
      <c r="O784" s="643" t="n"/>
      <c r="S784" s="643" t="n"/>
      <c r="W784" s="643" t="n"/>
      <c r="AA784" s="643" t="n"/>
      <c r="AE784" s="643" t="n"/>
      <c r="AI784" s="643" t="n"/>
      <c r="AM784" s="643" t="n"/>
      <c r="AQ784" s="643" t="n"/>
      <c r="AU784" s="643" t="n"/>
      <c r="AY784" s="643" t="n"/>
      <c r="BC784" s="643" t="n"/>
      <c r="BG784" s="643" t="n"/>
    </row>
    <row r="785" s="1168" customFormat="1" ht="12.75" customHeight="1">
      <c r="F785" s="643" t="n"/>
      <c r="K785" s="643" t="n"/>
      <c r="O785" s="643" t="n"/>
      <c r="S785" s="643" t="n"/>
      <c r="W785" s="643" t="n"/>
      <c r="AA785" s="643" t="n"/>
      <c r="AE785" s="643" t="n"/>
      <c r="AI785" s="643" t="n"/>
      <c r="AM785" s="643" t="n"/>
      <c r="AQ785" s="643" t="n"/>
      <c r="AU785" s="643" t="n"/>
      <c r="AY785" s="643" t="n"/>
      <c r="BC785" s="643" t="n"/>
      <c r="BG785" s="643" t="n"/>
    </row>
    <row r="786" s="1168" customFormat="1" ht="12.75" customHeight="1">
      <c r="F786" s="643" t="n"/>
      <c r="K786" s="643" t="n"/>
      <c r="O786" s="643" t="n"/>
      <c r="S786" s="643" t="n"/>
      <c r="W786" s="643" t="n"/>
      <c r="AA786" s="643" t="n"/>
      <c r="AE786" s="643" t="n"/>
      <c r="AI786" s="643" t="n"/>
      <c r="AM786" s="643" t="n"/>
      <c r="AQ786" s="643" t="n"/>
      <c r="AU786" s="643" t="n"/>
      <c r="AY786" s="643" t="n"/>
      <c r="BC786" s="643" t="n"/>
      <c r="BG786" s="643" t="n"/>
    </row>
    <row r="787" s="1168" customFormat="1" ht="12.75" customHeight="1">
      <c r="F787" s="643" t="n"/>
      <c r="K787" s="643" t="n"/>
      <c r="O787" s="643" t="n"/>
      <c r="S787" s="643" t="n"/>
      <c r="W787" s="643" t="n"/>
      <c r="AA787" s="643" t="n"/>
      <c r="AE787" s="643" t="n"/>
      <c r="AI787" s="643" t="n"/>
      <c r="AM787" s="643" t="n"/>
      <c r="AQ787" s="643" t="n"/>
      <c r="AU787" s="643" t="n"/>
      <c r="AY787" s="643" t="n"/>
      <c r="BC787" s="643" t="n"/>
      <c r="BG787" s="643" t="n"/>
    </row>
    <row r="788" s="1168" customFormat="1" ht="12.75" customHeight="1">
      <c r="F788" s="643" t="n"/>
      <c r="K788" s="643" t="n"/>
      <c r="O788" s="643" t="n"/>
      <c r="S788" s="643" t="n"/>
      <c r="W788" s="643" t="n"/>
      <c r="AA788" s="643" t="n"/>
      <c r="AE788" s="643" t="n"/>
      <c r="AI788" s="643" t="n"/>
      <c r="AM788" s="643" t="n"/>
      <c r="AQ788" s="643" t="n"/>
      <c r="AU788" s="643" t="n"/>
      <c r="AY788" s="643" t="n"/>
      <c r="BC788" s="643" t="n"/>
      <c r="BG788" s="643" t="n"/>
    </row>
    <row r="789" s="1168" customFormat="1" ht="12.75" customHeight="1">
      <c r="F789" s="643" t="n"/>
      <c r="K789" s="643" t="n"/>
      <c r="O789" s="643" t="n"/>
      <c r="S789" s="643" t="n"/>
      <c r="W789" s="643" t="n"/>
      <c r="AA789" s="643" t="n"/>
      <c r="AE789" s="643" t="n"/>
      <c r="AI789" s="643" t="n"/>
      <c r="AM789" s="643" t="n"/>
      <c r="AQ789" s="643" t="n"/>
      <c r="AU789" s="643" t="n"/>
      <c r="AY789" s="643" t="n"/>
      <c r="BC789" s="643" t="n"/>
      <c r="BG789" s="643" t="n"/>
    </row>
    <row r="790" s="1168" customFormat="1" ht="12.75" customHeight="1">
      <c r="F790" s="643" t="n"/>
      <c r="K790" s="643" t="n"/>
      <c r="O790" s="643" t="n"/>
      <c r="S790" s="643" t="n"/>
      <c r="W790" s="643" t="n"/>
      <c r="AA790" s="643" t="n"/>
      <c r="AE790" s="643" t="n"/>
      <c r="AI790" s="643" t="n"/>
      <c r="AM790" s="643" t="n"/>
      <c r="AQ790" s="643" t="n"/>
      <c r="AU790" s="643" t="n"/>
      <c r="AY790" s="643" t="n"/>
      <c r="BC790" s="643" t="n"/>
      <c r="BG790" s="643" t="n"/>
    </row>
    <row r="791" s="1168" customFormat="1" ht="12.75" customHeight="1">
      <c r="F791" s="643" t="n"/>
      <c r="K791" s="643" t="n"/>
      <c r="O791" s="643" t="n"/>
      <c r="S791" s="643" t="n"/>
      <c r="W791" s="643" t="n"/>
      <c r="AA791" s="643" t="n"/>
      <c r="AE791" s="643" t="n"/>
      <c r="AI791" s="643" t="n"/>
      <c r="AM791" s="643" t="n"/>
      <c r="AQ791" s="643" t="n"/>
      <c r="AU791" s="643" t="n"/>
      <c r="AY791" s="643" t="n"/>
      <c r="BC791" s="643" t="n"/>
      <c r="BG791" s="643" t="n"/>
    </row>
    <row r="792" s="1168" customFormat="1" ht="12.75" customHeight="1">
      <c r="F792" s="643" t="n"/>
      <c r="K792" s="643" t="n"/>
      <c r="O792" s="643" t="n"/>
      <c r="S792" s="643" t="n"/>
      <c r="W792" s="643" t="n"/>
      <c r="AA792" s="643" t="n"/>
      <c r="AE792" s="643" t="n"/>
      <c r="AI792" s="643" t="n"/>
      <c r="AM792" s="643" t="n"/>
      <c r="AQ792" s="643" t="n"/>
      <c r="AU792" s="643" t="n"/>
      <c r="AY792" s="643" t="n"/>
      <c r="BC792" s="643" t="n"/>
      <c r="BG792" s="643" t="n"/>
    </row>
    <row r="793" s="1168" customFormat="1" ht="12.75" customHeight="1">
      <c r="F793" s="643" t="n"/>
      <c r="K793" s="643" t="n"/>
      <c r="O793" s="643" t="n"/>
      <c r="S793" s="643" t="n"/>
      <c r="W793" s="643" t="n"/>
      <c r="AA793" s="643" t="n"/>
      <c r="AE793" s="643" t="n"/>
      <c r="AI793" s="643" t="n"/>
      <c r="AM793" s="643" t="n"/>
      <c r="AQ793" s="643" t="n"/>
      <c r="AU793" s="643" t="n"/>
      <c r="AY793" s="643" t="n"/>
      <c r="BC793" s="643" t="n"/>
      <c r="BG793" s="643" t="n"/>
    </row>
    <row r="794" s="1168" customFormat="1" ht="12.75" customHeight="1">
      <c r="F794" s="643" t="n"/>
      <c r="K794" s="643" t="n"/>
      <c r="O794" s="643" t="n"/>
      <c r="S794" s="643" t="n"/>
      <c r="W794" s="643" t="n"/>
      <c r="AA794" s="643" t="n"/>
      <c r="AE794" s="643" t="n"/>
      <c r="AI794" s="643" t="n"/>
      <c r="AM794" s="643" t="n"/>
      <c r="AQ794" s="643" t="n"/>
      <c r="AU794" s="643" t="n"/>
      <c r="AY794" s="643" t="n"/>
      <c r="BC794" s="643" t="n"/>
      <c r="BG794" s="643" t="n"/>
    </row>
    <row r="795" s="1168" customFormat="1" ht="12.75" customHeight="1">
      <c r="F795" s="643" t="n"/>
      <c r="K795" s="643" t="n"/>
      <c r="O795" s="643" t="n"/>
      <c r="S795" s="643" t="n"/>
      <c r="W795" s="643" t="n"/>
      <c r="AA795" s="643" t="n"/>
      <c r="AE795" s="643" t="n"/>
      <c r="AI795" s="643" t="n"/>
      <c r="AM795" s="643" t="n"/>
      <c r="AQ795" s="643" t="n"/>
      <c r="AU795" s="643" t="n"/>
      <c r="AY795" s="643" t="n"/>
      <c r="BC795" s="643" t="n"/>
      <c r="BG795" s="643" t="n"/>
    </row>
    <row r="796" s="1168" customFormat="1" ht="12.75" customHeight="1">
      <c r="F796" s="643" t="n"/>
      <c r="K796" s="643" t="n"/>
      <c r="O796" s="643" t="n"/>
      <c r="S796" s="643" t="n"/>
      <c r="W796" s="643" t="n"/>
      <c r="AA796" s="643" t="n"/>
      <c r="AE796" s="643" t="n"/>
      <c r="AI796" s="643" t="n"/>
      <c r="AM796" s="643" t="n"/>
      <c r="AQ796" s="643" t="n"/>
      <c r="AU796" s="643" t="n"/>
      <c r="AY796" s="643" t="n"/>
      <c r="BC796" s="643" t="n"/>
      <c r="BG796" s="643" t="n"/>
    </row>
    <row r="797" s="1168" customFormat="1" ht="12.75" customHeight="1">
      <c r="F797" s="643" t="n"/>
      <c r="K797" s="643" t="n"/>
      <c r="O797" s="643" t="n"/>
      <c r="S797" s="643" t="n"/>
      <c r="W797" s="643" t="n"/>
      <c r="AA797" s="643" t="n"/>
      <c r="AE797" s="643" t="n"/>
      <c r="AI797" s="643" t="n"/>
      <c r="AM797" s="643" t="n"/>
      <c r="AQ797" s="643" t="n"/>
      <c r="AU797" s="643" t="n"/>
      <c r="AY797" s="643" t="n"/>
      <c r="BC797" s="643" t="n"/>
      <c r="BG797" s="643" t="n"/>
    </row>
    <row r="798" s="1168" customFormat="1" ht="12.75" customHeight="1">
      <c r="F798" s="643" t="n"/>
      <c r="K798" s="643" t="n"/>
      <c r="O798" s="643" t="n"/>
      <c r="S798" s="643" t="n"/>
      <c r="W798" s="643" t="n"/>
      <c r="AA798" s="643" t="n"/>
      <c r="AE798" s="643" t="n"/>
      <c r="AI798" s="643" t="n"/>
      <c r="AM798" s="643" t="n"/>
      <c r="AQ798" s="643" t="n"/>
      <c r="AU798" s="643" t="n"/>
      <c r="AY798" s="643" t="n"/>
      <c r="BC798" s="643" t="n"/>
      <c r="BG798" s="643" t="n"/>
    </row>
    <row r="799" s="1168" customFormat="1" ht="12.75" customHeight="1">
      <c r="F799" s="643" t="n"/>
      <c r="K799" s="643" t="n"/>
      <c r="O799" s="643" t="n"/>
      <c r="S799" s="643" t="n"/>
      <c r="W799" s="643" t="n"/>
      <c r="AA799" s="643" t="n"/>
      <c r="AE799" s="643" t="n"/>
      <c r="AI799" s="643" t="n"/>
      <c r="AM799" s="643" t="n"/>
      <c r="AQ799" s="643" t="n"/>
      <c r="AU799" s="643" t="n"/>
      <c r="AY799" s="643" t="n"/>
      <c r="BC799" s="643" t="n"/>
      <c r="BG799" s="643" t="n"/>
    </row>
    <row r="800" s="1168" customFormat="1" ht="12.75" customHeight="1">
      <c r="F800" s="643" t="n"/>
      <c r="K800" s="643" t="n"/>
      <c r="O800" s="643" t="n"/>
      <c r="S800" s="643" t="n"/>
      <c r="W800" s="643" t="n"/>
      <c r="AA800" s="643" t="n"/>
      <c r="AE800" s="643" t="n"/>
      <c r="AI800" s="643" t="n"/>
      <c r="AM800" s="643" t="n"/>
      <c r="AQ800" s="643" t="n"/>
      <c r="AU800" s="643" t="n"/>
      <c r="AY800" s="643" t="n"/>
      <c r="BC800" s="643" t="n"/>
      <c r="BG800" s="643" t="n"/>
    </row>
    <row r="801" s="1168" customFormat="1" ht="12.75" customHeight="1">
      <c r="F801" s="643" t="n"/>
      <c r="K801" s="643" t="n"/>
      <c r="O801" s="643" t="n"/>
      <c r="S801" s="643" t="n"/>
      <c r="W801" s="643" t="n"/>
      <c r="AA801" s="643" t="n"/>
      <c r="AE801" s="643" t="n"/>
      <c r="AI801" s="643" t="n"/>
      <c r="AM801" s="643" t="n"/>
      <c r="AQ801" s="643" t="n"/>
      <c r="AU801" s="643" t="n"/>
      <c r="AY801" s="643" t="n"/>
      <c r="BC801" s="643" t="n"/>
      <c r="BG801" s="643" t="n"/>
    </row>
    <row r="802" s="1168" customFormat="1" ht="12.75" customHeight="1">
      <c r="F802" s="643" t="n"/>
      <c r="K802" s="643" t="n"/>
      <c r="O802" s="643" t="n"/>
      <c r="S802" s="643" t="n"/>
      <c r="W802" s="643" t="n"/>
      <c r="AA802" s="643" t="n"/>
      <c r="AE802" s="643" t="n"/>
      <c r="AI802" s="643" t="n"/>
      <c r="AM802" s="643" t="n"/>
      <c r="AQ802" s="643" t="n"/>
      <c r="AU802" s="643" t="n"/>
      <c r="AY802" s="643" t="n"/>
      <c r="BC802" s="643" t="n"/>
      <c r="BG802" s="643" t="n"/>
    </row>
    <row r="803" s="1168" customFormat="1" ht="12.75" customHeight="1">
      <c r="F803" s="643" t="n"/>
      <c r="K803" s="643" t="n"/>
      <c r="O803" s="643" t="n"/>
      <c r="S803" s="643" t="n"/>
      <c r="W803" s="643" t="n"/>
      <c r="AA803" s="643" t="n"/>
      <c r="AE803" s="643" t="n"/>
      <c r="AI803" s="643" t="n"/>
      <c r="AM803" s="643" t="n"/>
      <c r="AQ803" s="643" t="n"/>
      <c r="AU803" s="643" t="n"/>
      <c r="AY803" s="643" t="n"/>
      <c r="BC803" s="643" t="n"/>
      <c r="BG803" s="643" t="n"/>
    </row>
    <row r="804" s="1168" customFormat="1" ht="12.75" customHeight="1">
      <c r="F804" s="643" t="n"/>
      <c r="K804" s="643" t="n"/>
      <c r="O804" s="643" t="n"/>
      <c r="S804" s="643" t="n"/>
      <c r="W804" s="643" t="n"/>
      <c r="AA804" s="643" t="n"/>
      <c r="AE804" s="643" t="n"/>
      <c r="AI804" s="643" t="n"/>
      <c r="AM804" s="643" t="n"/>
      <c r="AQ804" s="643" t="n"/>
      <c r="AU804" s="643" t="n"/>
      <c r="AY804" s="643" t="n"/>
      <c r="BC804" s="643" t="n"/>
      <c r="BG804" s="643" t="n"/>
    </row>
    <row r="805" s="1168" customFormat="1" ht="12.75" customHeight="1">
      <c r="F805" s="643" t="n"/>
      <c r="K805" s="643" t="n"/>
      <c r="O805" s="643" t="n"/>
      <c r="S805" s="643" t="n"/>
      <c r="W805" s="643" t="n"/>
      <c r="AA805" s="643" t="n"/>
      <c r="AE805" s="643" t="n"/>
      <c r="AI805" s="643" t="n"/>
      <c r="AM805" s="643" t="n"/>
      <c r="AQ805" s="643" t="n"/>
      <c r="AU805" s="643" t="n"/>
      <c r="AY805" s="643" t="n"/>
      <c r="BC805" s="643" t="n"/>
      <c r="BG805" s="643" t="n"/>
    </row>
    <row r="806" s="1168" customFormat="1" ht="12.75" customHeight="1">
      <c r="F806" s="643" t="n"/>
      <c r="K806" s="643" t="n"/>
      <c r="O806" s="643" t="n"/>
      <c r="S806" s="643" t="n"/>
      <c r="W806" s="643" t="n"/>
      <c r="AA806" s="643" t="n"/>
      <c r="AE806" s="643" t="n"/>
      <c r="AI806" s="643" t="n"/>
      <c r="AM806" s="643" t="n"/>
      <c r="AQ806" s="643" t="n"/>
      <c r="AU806" s="643" t="n"/>
      <c r="AY806" s="643" t="n"/>
      <c r="BC806" s="643" t="n"/>
      <c r="BG806" s="643" t="n"/>
    </row>
    <row r="807" s="1168" customFormat="1" ht="12.75" customHeight="1">
      <c r="F807" s="643" t="n"/>
      <c r="K807" s="643" t="n"/>
      <c r="O807" s="643" t="n"/>
      <c r="S807" s="643" t="n"/>
      <c r="W807" s="643" t="n"/>
      <c r="AA807" s="643" t="n"/>
      <c r="AE807" s="643" t="n"/>
      <c r="AI807" s="643" t="n"/>
      <c r="AM807" s="643" t="n"/>
      <c r="AQ807" s="643" t="n"/>
      <c r="AU807" s="643" t="n"/>
      <c r="AY807" s="643" t="n"/>
      <c r="BC807" s="643" t="n"/>
      <c r="BG807" s="643" t="n"/>
    </row>
    <row r="808" s="1168" customFormat="1" ht="12.75" customHeight="1">
      <c r="F808" s="643" t="n"/>
      <c r="K808" s="643" t="n"/>
      <c r="O808" s="643" t="n"/>
      <c r="S808" s="643" t="n"/>
      <c r="W808" s="643" t="n"/>
      <c r="AA808" s="643" t="n"/>
      <c r="AE808" s="643" t="n"/>
      <c r="AI808" s="643" t="n"/>
      <c r="AM808" s="643" t="n"/>
      <c r="AQ808" s="643" t="n"/>
      <c r="AU808" s="643" t="n"/>
      <c r="AY808" s="643" t="n"/>
      <c r="BC808" s="643" t="n"/>
      <c r="BG808" s="643" t="n"/>
    </row>
    <row r="809" s="1168" customFormat="1" ht="12.75" customHeight="1">
      <c r="F809" s="643" t="n"/>
      <c r="K809" s="643" t="n"/>
      <c r="O809" s="643" t="n"/>
      <c r="S809" s="643" t="n"/>
      <c r="W809" s="643" t="n"/>
      <c r="AA809" s="643" t="n"/>
      <c r="AE809" s="643" t="n"/>
      <c r="AI809" s="643" t="n"/>
      <c r="AM809" s="643" t="n"/>
      <c r="AQ809" s="643" t="n"/>
      <c r="AU809" s="643" t="n"/>
      <c r="AY809" s="643" t="n"/>
      <c r="BC809" s="643" t="n"/>
      <c r="BG809" s="643" t="n"/>
    </row>
    <row r="810" s="1168" customFormat="1" ht="12.75" customHeight="1">
      <c r="F810" s="643" t="n"/>
      <c r="K810" s="643" t="n"/>
      <c r="O810" s="643" t="n"/>
      <c r="S810" s="643" t="n"/>
      <c r="W810" s="643" t="n"/>
      <c r="AA810" s="643" t="n"/>
      <c r="AE810" s="643" t="n"/>
      <c r="AI810" s="643" t="n"/>
      <c r="AM810" s="643" t="n"/>
      <c r="AQ810" s="643" t="n"/>
      <c r="AU810" s="643" t="n"/>
      <c r="AY810" s="643" t="n"/>
      <c r="BC810" s="643" t="n"/>
      <c r="BG810" s="643" t="n"/>
    </row>
    <row r="811" s="1168" customFormat="1" ht="12.75" customHeight="1">
      <c r="F811" s="643" t="n"/>
      <c r="K811" s="643" t="n"/>
      <c r="O811" s="643" t="n"/>
      <c r="S811" s="643" t="n"/>
      <c r="W811" s="643" t="n"/>
      <c r="AA811" s="643" t="n"/>
      <c r="AE811" s="643" t="n"/>
      <c r="AI811" s="643" t="n"/>
      <c r="AM811" s="643" t="n"/>
      <c r="AQ811" s="643" t="n"/>
      <c r="AU811" s="643" t="n"/>
      <c r="AY811" s="643" t="n"/>
      <c r="BC811" s="643" t="n"/>
      <c r="BG811" s="643" t="n"/>
    </row>
    <row r="812" s="1168" customFormat="1" ht="12.75" customHeight="1">
      <c r="F812" s="643" t="n"/>
      <c r="K812" s="643" t="n"/>
      <c r="O812" s="643" t="n"/>
      <c r="S812" s="643" t="n"/>
      <c r="W812" s="643" t="n"/>
      <c r="AA812" s="643" t="n"/>
      <c r="AE812" s="643" t="n"/>
      <c r="AI812" s="643" t="n"/>
      <c r="AM812" s="643" t="n"/>
      <c r="AQ812" s="643" t="n"/>
      <c r="AU812" s="643" t="n"/>
      <c r="AY812" s="643" t="n"/>
      <c r="BC812" s="643" t="n"/>
      <c r="BG812" s="643" t="n"/>
    </row>
    <row r="813" s="1168" customFormat="1" ht="12.75" customHeight="1">
      <c r="F813" s="643" t="n"/>
      <c r="K813" s="643" t="n"/>
      <c r="O813" s="643" t="n"/>
      <c r="S813" s="643" t="n"/>
      <c r="W813" s="643" t="n"/>
      <c r="AA813" s="643" t="n"/>
      <c r="AE813" s="643" t="n"/>
      <c r="AI813" s="643" t="n"/>
      <c r="AM813" s="643" t="n"/>
      <c r="AQ813" s="643" t="n"/>
      <c r="AU813" s="643" t="n"/>
      <c r="AY813" s="643" t="n"/>
      <c r="BC813" s="643" t="n"/>
      <c r="BG813" s="643" t="n"/>
    </row>
    <row r="814" s="1168" customFormat="1" ht="12.75" customHeight="1">
      <c r="F814" s="643" t="n"/>
      <c r="K814" s="643" t="n"/>
      <c r="O814" s="643" t="n"/>
      <c r="S814" s="643" t="n"/>
      <c r="W814" s="643" t="n"/>
      <c r="AA814" s="643" t="n"/>
      <c r="AE814" s="643" t="n"/>
      <c r="AI814" s="643" t="n"/>
      <c r="AM814" s="643" t="n"/>
      <c r="AQ814" s="643" t="n"/>
      <c r="AU814" s="643" t="n"/>
      <c r="AY814" s="643" t="n"/>
      <c r="BC814" s="643" t="n"/>
      <c r="BG814" s="643" t="n"/>
    </row>
    <row r="815" s="1168" customFormat="1" ht="12.75" customHeight="1">
      <c r="F815" s="643" t="n"/>
      <c r="K815" s="643" t="n"/>
      <c r="O815" s="643" t="n"/>
      <c r="S815" s="643" t="n"/>
      <c r="W815" s="643" t="n"/>
      <c r="AA815" s="643" t="n"/>
      <c r="AE815" s="643" t="n"/>
      <c r="AI815" s="643" t="n"/>
      <c r="AM815" s="643" t="n"/>
      <c r="AQ815" s="643" t="n"/>
      <c r="AU815" s="643" t="n"/>
      <c r="AY815" s="643" t="n"/>
      <c r="BC815" s="643" t="n"/>
      <c r="BG815" s="643" t="n"/>
    </row>
    <row r="816" s="1168" customFormat="1" ht="12.75" customHeight="1">
      <c r="F816" s="643" t="n"/>
      <c r="K816" s="643" t="n"/>
      <c r="O816" s="643" t="n"/>
      <c r="S816" s="643" t="n"/>
      <c r="W816" s="643" t="n"/>
      <c r="AA816" s="643" t="n"/>
      <c r="AE816" s="643" t="n"/>
      <c r="AI816" s="643" t="n"/>
      <c r="AM816" s="643" t="n"/>
      <c r="AQ816" s="643" t="n"/>
      <c r="AU816" s="643" t="n"/>
      <c r="AY816" s="643" t="n"/>
      <c r="BC816" s="643" t="n"/>
      <c r="BG816" s="643" t="n"/>
    </row>
    <row r="817" s="1168" customFormat="1" ht="12.75" customHeight="1">
      <c r="F817" s="643" t="n"/>
      <c r="K817" s="643" t="n"/>
      <c r="O817" s="643" t="n"/>
      <c r="S817" s="643" t="n"/>
      <c r="W817" s="643" t="n"/>
      <c r="AA817" s="643" t="n"/>
      <c r="AE817" s="643" t="n"/>
      <c r="AI817" s="643" t="n"/>
      <c r="AM817" s="643" t="n"/>
      <c r="AQ817" s="643" t="n"/>
      <c r="AU817" s="643" t="n"/>
      <c r="AY817" s="643" t="n"/>
      <c r="BC817" s="643" t="n"/>
      <c r="BG817" s="643" t="n"/>
    </row>
    <row r="818" s="1168" customFormat="1" ht="12.75" customHeight="1">
      <c r="F818" s="643" t="n"/>
      <c r="K818" s="643" t="n"/>
      <c r="O818" s="643" t="n"/>
      <c r="S818" s="643" t="n"/>
      <c r="W818" s="643" t="n"/>
      <c r="AA818" s="643" t="n"/>
      <c r="AE818" s="643" t="n"/>
      <c r="AI818" s="643" t="n"/>
      <c r="AM818" s="643" t="n"/>
      <c r="AQ818" s="643" t="n"/>
      <c r="AU818" s="643" t="n"/>
      <c r="AY818" s="643" t="n"/>
      <c r="BC818" s="643" t="n"/>
      <c r="BG818" s="643" t="n"/>
    </row>
    <row r="819" s="1168" customFormat="1" ht="12.75" customHeight="1">
      <c r="F819" s="643" t="n"/>
      <c r="K819" s="643" t="n"/>
      <c r="O819" s="643" t="n"/>
      <c r="S819" s="643" t="n"/>
      <c r="W819" s="643" t="n"/>
      <c r="AA819" s="643" t="n"/>
      <c r="AE819" s="643" t="n"/>
      <c r="AI819" s="643" t="n"/>
      <c r="AM819" s="643" t="n"/>
      <c r="AQ819" s="643" t="n"/>
      <c r="AU819" s="643" t="n"/>
      <c r="AY819" s="643" t="n"/>
      <c r="BC819" s="643" t="n"/>
      <c r="BG819" s="643" t="n"/>
    </row>
    <row r="820" s="1168" customFormat="1" ht="12.75" customHeight="1">
      <c r="F820" s="643" t="n"/>
      <c r="K820" s="643" t="n"/>
      <c r="O820" s="643" t="n"/>
      <c r="S820" s="643" t="n"/>
      <c r="W820" s="643" t="n"/>
      <c r="AA820" s="643" t="n"/>
      <c r="AE820" s="643" t="n"/>
      <c r="AI820" s="643" t="n"/>
      <c r="AM820" s="643" t="n"/>
      <c r="AQ820" s="643" t="n"/>
      <c r="AU820" s="643" t="n"/>
      <c r="AY820" s="643" t="n"/>
      <c r="BC820" s="643" t="n"/>
      <c r="BG820" s="643" t="n"/>
    </row>
    <row r="821" s="1168" customFormat="1" ht="12.75" customHeight="1">
      <c r="F821" s="643" t="n"/>
      <c r="K821" s="643" t="n"/>
      <c r="O821" s="643" t="n"/>
      <c r="S821" s="643" t="n"/>
      <c r="W821" s="643" t="n"/>
      <c r="AA821" s="643" t="n"/>
      <c r="AE821" s="643" t="n"/>
      <c r="AI821" s="643" t="n"/>
      <c r="AM821" s="643" t="n"/>
      <c r="AQ821" s="643" t="n"/>
      <c r="AU821" s="643" t="n"/>
      <c r="AY821" s="643" t="n"/>
      <c r="BC821" s="643" t="n"/>
      <c r="BG821" s="643" t="n"/>
    </row>
    <row r="822" s="1168" customFormat="1" ht="12.75" customHeight="1">
      <c r="F822" s="643" t="n"/>
      <c r="K822" s="643" t="n"/>
      <c r="O822" s="643" t="n"/>
      <c r="S822" s="643" t="n"/>
      <c r="W822" s="643" t="n"/>
      <c r="AA822" s="643" t="n"/>
      <c r="AE822" s="643" t="n"/>
      <c r="AI822" s="643" t="n"/>
      <c r="AM822" s="643" t="n"/>
      <c r="AQ822" s="643" t="n"/>
      <c r="AU822" s="643" t="n"/>
      <c r="AY822" s="643" t="n"/>
      <c r="BC822" s="643" t="n"/>
      <c r="BG822" s="643" t="n"/>
    </row>
    <row r="823" s="1168" customFormat="1" ht="12.75" customHeight="1">
      <c r="F823" s="643" t="n"/>
      <c r="K823" s="643" t="n"/>
      <c r="O823" s="643" t="n"/>
      <c r="S823" s="643" t="n"/>
      <c r="W823" s="643" t="n"/>
      <c r="AA823" s="643" t="n"/>
      <c r="AE823" s="643" t="n"/>
      <c r="AI823" s="643" t="n"/>
      <c r="AM823" s="643" t="n"/>
      <c r="AQ823" s="643" t="n"/>
      <c r="AU823" s="643" t="n"/>
      <c r="AY823" s="643" t="n"/>
      <c r="BC823" s="643" t="n"/>
      <c r="BG823" s="643" t="n"/>
    </row>
    <row r="824" s="1168" customFormat="1" ht="12.75" customHeight="1">
      <c r="F824" s="643" t="n"/>
      <c r="K824" s="643" t="n"/>
      <c r="O824" s="643" t="n"/>
      <c r="S824" s="643" t="n"/>
      <c r="W824" s="643" t="n"/>
      <c r="AA824" s="643" t="n"/>
      <c r="AE824" s="643" t="n"/>
      <c r="AI824" s="643" t="n"/>
      <c r="AM824" s="643" t="n"/>
      <c r="AQ824" s="643" t="n"/>
      <c r="AU824" s="643" t="n"/>
      <c r="AY824" s="643" t="n"/>
      <c r="BC824" s="643" t="n"/>
      <c r="BG824" s="643" t="n"/>
    </row>
    <row r="825" s="1168" customFormat="1" ht="12.75" customHeight="1">
      <c r="F825" s="643" t="n"/>
      <c r="K825" s="643" t="n"/>
      <c r="O825" s="643" t="n"/>
      <c r="S825" s="643" t="n"/>
      <c r="W825" s="643" t="n"/>
      <c r="AA825" s="643" t="n"/>
      <c r="AE825" s="643" t="n"/>
      <c r="AI825" s="643" t="n"/>
      <c r="AM825" s="643" t="n"/>
      <c r="AQ825" s="643" t="n"/>
      <c r="AU825" s="643" t="n"/>
      <c r="AY825" s="643" t="n"/>
      <c r="BC825" s="643" t="n"/>
      <c r="BG825" s="643" t="n"/>
    </row>
    <row r="826" s="1168" customFormat="1" ht="12.75" customHeight="1">
      <c r="F826" s="643" t="n"/>
      <c r="K826" s="643" t="n"/>
      <c r="O826" s="643" t="n"/>
      <c r="S826" s="643" t="n"/>
      <c r="W826" s="643" t="n"/>
      <c r="AA826" s="643" t="n"/>
      <c r="AE826" s="643" t="n"/>
      <c r="AI826" s="643" t="n"/>
      <c r="AM826" s="643" t="n"/>
      <c r="AQ826" s="643" t="n"/>
      <c r="AU826" s="643" t="n"/>
      <c r="AY826" s="643" t="n"/>
      <c r="BC826" s="643" t="n"/>
      <c r="BG826" s="643" t="n"/>
    </row>
    <row r="827" s="1168" customFormat="1" ht="12.75" customHeight="1">
      <c r="F827" s="643" t="n"/>
      <c r="K827" s="643" t="n"/>
      <c r="O827" s="643" t="n"/>
      <c r="S827" s="643" t="n"/>
      <c r="W827" s="643" t="n"/>
      <c r="AA827" s="643" t="n"/>
      <c r="AE827" s="643" t="n"/>
      <c r="AI827" s="643" t="n"/>
      <c r="AM827" s="643" t="n"/>
      <c r="AQ827" s="643" t="n"/>
      <c r="AU827" s="643" t="n"/>
      <c r="AY827" s="643" t="n"/>
      <c r="BC827" s="643" t="n"/>
      <c r="BG827" s="643" t="n"/>
    </row>
    <row r="828" s="1168" customFormat="1" ht="12.75" customHeight="1">
      <c r="F828" s="643" t="n"/>
      <c r="K828" s="643" t="n"/>
      <c r="O828" s="643" t="n"/>
      <c r="S828" s="643" t="n"/>
      <c r="W828" s="643" t="n"/>
      <c r="AA828" s="643" t="n"/>
      <c r="AE828" s="643" t="n"/>
      <c r="AI828" s="643" t="n"/>
      <c r="AM828" s="643" t="n"/>
      <c r="AQ828" s="643" t="n"/>
      <c r="AU828" s="643" t="n"/>
      <c r="AY828" s="643" t="n"/>
      <c r="BC828" s="643" t="n"/>
      <c r="BG828" s="643" t="n"/>
    </row>
    <row r="829" s="1168" customFormat="1" ht="12.75" customHeight="1">
      <c r="F829" s="643" t="n"/>
      <c r="K829" s="643" t="n"/>
      <c r="O829" s="643" t="n"/>
      <c r="S829" s="643" t="n"/>
      <c r="W829" s="643" t="n"/>
      <c r="AA829" s="643" t="n"/>
      <c r="AE829" s="643" t="n"/>
      <c r="AI829" s="643" t="n"/>
      <c r="AM829" s="643" t="n"/>
      <c r="AQ829" s="643" t="n"/>
      <c r="AU829" s="643" t="n"/>
      <c r="AY829" s="643" t="n"/>
      <c r="BC829" s="643" t="n"/>
      <c r="BG829" s="643" t="n"/>
    </row>
    <row r="830" s="1168" customFormat="1" ht="12.75" customHeight="1">
      <c r="F830" s="643" t="n"/>
      <c r="K830" s="643" t="n"/>
      <c r="O830" s="643" t="n"/>
      <c r="S830" s="643" t="n"/>
      <c r="W830" s="643" t="n"/>
      <c r="AA830" s="643" t="n"/>
      <c r="AE830" s="643" t="n"/>
      <c r="AI830" s="643" t="n"/>
      <c r="AM830" s="643" t="n"/>
      <c r="AQ830" s="643" t="n"/>
      <c r="AU830" s="643" t="n"/>
      <c r="AY830" s="643" t="n"/>
      <c r="BC830" s="643" t="n"/>
      <c r="BG830" s="643" t="n"/>
    </row>
    <row r="831" s="1168" customFormat="1" ht="12.75" customHeight="1">
      <c r="F831" s="643" t="n"/>
      <c r="K831" s="643" t="n"/>
      <c r="O831" s="643" t="n"/>
      <c r="S831" s="643" t="n"/>
      <c r="W831" s="643" t="n"/>
      <c r="AA831" s="643" t="n"/>
      <c r="AE831" s="643" t="n"/>
      <c r="AI831" s="643" t="n"/>
      <c r="AM831" s="643" t="n"/>
      <c r="AQ831" s="643" t="n"/>
      <c r="AU831" s="643" t="n"/>
      <c r="AY831" s="643" t="n"/>
      <c r="BC831" s="643" t="n"/>
      <c r="BG831" s="643" t="n"/>
    </row>
    <row r="832" s="1168" customFormat="1" ht="12.75" customHeight="1">
      <c r="F832" s="643" t="n"/>
      <c r="K832" s="643" t="n"/>
      <c r="O832" s="643" t="n"/>
      <c r="S832" s="643" t="n"/>
      <c r="W832" s="643" t="n"/>
      <c r="AA832" s="643" t="n"/>
      <c r="AE832" s="643" t="n"/>
      <c r="AI832" s="643" t="n"/>
      <c r="AM832" s="643" t="n"/>
      <c r="AQ832" s="643" t="n"/>
      <c r="AU832" s="643" t="n"/>
      <c r="AY832" s="643" t="n"/>
      <c r="BC832" s="643" t="n"/>
      <c r="BG832" s="643" t="n"/>
    </row>
    <row r="833" s="1168" customFormat="1" ht="12.75" customHeight="1">
      <c r="F833" s="643" t="n"/>
      <c r="K833" s="643" t="n"/>
      <c r="O833" s="643" t="n"/>
      <c r="S833" s="643" t="n"/>
      <c r="W833" s="643" t="n"/>
      <c r="AA833" s="643" t="n"/>
      <c r="AE833" s="643" t="n"/>
      <c r="AI833" s="643" t="n"/>
      <c r="AM833" s="643" t="n"/>
      <c r="AQ833" s="643" t="n"/>
      <c r="AU833" s="643" t="n"/>
      <c r="AY833" s="643" t="n"/>
      <c r="BC833" s="643" t="n"/>
      <c r="BG833" s="643" t="n"/>
    </row>
    <row r="834" s="1168" customFormat="1" ht="12.75" customHeight="1">
      <c r="F834" s="643" t="n"/>
      <c r="K834" s="643" t="n"/>
      <c r="O834" s="643" t="n"/>
      <c r="S834" s="643" t="n"/>
      <c r="W834" s="643" t="n"/>
      <c r="AA834" s="643" t="n"/>
      <c r="AE834" s="643" t="n"/>
      <c r="AI834" s="643" t="n"/>
      <c r="AM834" s="643" t="n"/>
      <c r="AQ834" s="643" t="n"/>
      <c r="AU834" s="643" t="n"/>
      <c r="AY834" s="643" t="n"/>
      <c r="BC834" s="643" t="n"/>
      <c r="BG834" s="643" t="n"/>
    </row>
    <row r="835" s="1168" customFormat="1" ht="12.75" customHeight="1">
      <c r="F835" s="643" t="n"/>
      <c r="K835" s="643" t="n"/>
      <c r="O835" s="643" t="n"/>
      <c r="S835" s="643" t="n"/>
      <c r="W835" s="643" t="n"/>
      <c r="AA835" s="643" t="n"/>
      <c r="AE835" s="643" t="n"/>
      <c r="AI835" s="643" t="n"/>
      <c r="AM835" s="643" t="n"/>
      <c r="AQ835" s="643" t="n"/>
      <c r="AU835" s="643" t="n"/>
      <c r="AY835" s="643" t="n"/>
      <c r="BC835" s="643" t="n"/>
      <c r="BG835" s="643" t="n"/>
    </row>
    <row r="836" s="1168" customFormat="1" ht="12.75" customHeight="1">
      <c r="F836" s="643" t="n"/>
      <c r="K836" s="643" t="n"/>
      <c r="O836" s="643" t="n"/>
      <c r="S836" s="643" t="n"/>
      <c r="W836" s="643" t="n"/>
      <c r="AA836" s="643" t="n"/>
      <c r="AE836" s="643" t="n"/>
      <c r="AI836" s="643" t="n"/>
      <c r="AM836" s="643" t="n"/>
      <c r="AQ836" s="643" t="n"/>
      <c r="AU836" s="643" t="n"/>
      <c r="AY836" s="643" t="n"/>
      <c r="BC836" s="643" t="n"/>
      <c r="BG836" s="643" t="n"/>
    </row>
    <row r="837" s="1168" customFormat="1" ht="12.75" customHeight="1">
      <c r="F837" s="643" t="n"/>
      <c r="K837" s="643" t="n"/>
      <c r="O837" s="643" t="n"/>
      <c r="S837" s="643" t="n"/>
      <c r="W837" s="643" t="n"/>
      <c r="AA837" s="643" t="n"/>
      <c r="AE837" s="643" t="n"/>
      <c r="AI837" s="643" t="n"/>
      <c r="AM837" s="643" t="n"/>
      <c r="AQ837" s="643" t="n"/>
      <c r="AU837" s="643" t="n"/>
      <c r="AY837" s="643" t="n"/>
      <c r="BC837" s="643" t="n"/>
      <c r="BG837" s="643" t="n"/>
    </row>
    <row r="838" s="1168" customFormat="1" ht="12.75" customHeight="1">
      <c r="F838" s="643" t="n"/>
      <c r="K838" s="643" t="n"/>
      <c r="O838" s="643" t="n"/>
      <c r="S838" s="643" t="n"/>
      <c r="W838" s="643" t="n"/>
      <c r="AA838" s="643" t="n"/>
      <c r="AE838" s="643" t="n"/>
      <c r="AI838" s="643" t="n"/>
      <c r="AM838" s="643" t="n"/>
      <c r="AQ838" s="643" t="n"/>
      <c r="AU838" s="643" t="n"/>
      <c r="AY838" s="643" t="n"/>
      <c r="BC838" s="643" t="n"/>
      <c r="BG838" s="643" t="n"/>
    </row>
    <row r="839" s="1168" customFormat="1" ht="12.75" customHeight="1">
      <c r="F839" s="643" t="n"/>
      <c r="K839" s="643" t="n"/>
      <c r="O839" s="643" t="n"/>
      <c r="S839" s="643" t="n"/>
      <c r="W839" s="643" t="n"/>
      <c r="AA839" s="643" t="n"/>
      <c r="AE839" s="643" t="n"/>
      <c r="AI839" s="643" t="n"/>
      <c r="AM839" s="643" t="n"/>
      <c r="AQ839" s="643" t="n"/>
      <c r="AU839" s="643" t="n"/>
      <c r="AY839" s="643" t="n"/>
      <c r="BC839" s="643" t="n"/>
      <c r="BG839" s="643" t="n"/>
    </row>
    <row r="840" s="1168" customFormat="1" ht="12.75" customHeight="1">
      <c r="F840" s="643" t="n"/>
      <c r="K840" s="643" t="n"/>
      <c r="O840" s="643" t="n"/>
      <c r="S840" s="643" t="n"/>
      <c r="W840" s="643" t="n"/>
      <c r="AA840" s="643" t="n"/>
      <c r="AE840" s="643" t="n"/>
      <c r="AI840" s="643" t="n"/>
      <c r="AM840" s="643" t="n"/>
      <c r="AQ840" s="643" t="n"/>
      <c r="AU840" s="643" t="n"/>
      <c r="AY840" s="643" t="n"/>
      <c r="BC840" s="643" t="n"/>
      <c r="BG840" s="643" t="n"/>
    </row>
    <row r="841" s="1168" customFormat="1" ht="12.75" customHeight="1">
      <c r="F841" s="643" t="n"/>
      <c r="K841" s="643" t="n"/>
      <c r="O841" s="643" t="n"/>
      <c r="S841" s="643" t="n"/>
      <c r="W841" s="643" t="n"/>
      <c r="AA841" s="643" t="n"/>
      <c r="AE841" s="643" t="n"/>
      <c r="AI841" s="643" t="n"/>
      <c r="AM841" s="643" t="n"/>
      <c r="AQ841" s="643" t="n"/>
      <c r="AU841" s="643" t="n"/>
      <c r="AY841" s="643" t="n"/>
      <c r="BC841" s="643" t="n"/>
      <c r="BG841" s="643" t="n"/>
    </row>
    <row r="842" s="1168" customFormat="1" ht="12.75" customHeight="1">
      <c r="F842" s="643" t="n"/>
      <c r="K842" s="643" t="n"/>
      <c r="O842" s="643" t="n"/>
      <c r="S842" s="643" t="n"/>
      <c r="W842" s="643" t="n"/>
      <c r="AA842" s="643" t="n"/>
      <c r="AE842" s="643" t="n"/>
      <c r="AI842" s="643" t="n"/>
      <c r="AM842" s="643" t="n"/>
      <c r="AQ842" s="643" t="n"/>
      <c r="AU842" s="643" t="n"/>
      <c r="AY842" s="643" t="n"/>
      <c r="BC842" s="643" t="n"/>
      <c r="BG842" s="643" t="n"/>
    </row>
    <row r="843" s="1168" customFormat="1" ht="12.75" customHeight="1">
      <c r="F843" s="643" t="n"/>
      <c r="K843" s="643" t="n"/>
      <c r="O843" s="643" t="n"/>
      <c r="S843" s="643" t="n"/>
      <c r="W843" s="643" t="n"/>
      <c r="AA843" s="643" t="n"/>
      <c r="AE843" s="643" t="n"/>
      <c r="AI843" s="643" t="n"/>
      <c r="AM843" s="643" t="n"/>
      <c r="AQ843" s="643" t="n"/>
      <c r="AU843" s="643" t="n"/>
      <c r="AY843" s="643" t="n"/>
      <c r="BC843" s="643" t="n"/>
      <c r="BG843" s="643" t="n"/>
    </row>
    <row r="844" s="1168" customFormat="1" ht="12.75" customHeight="1">
      <c r="F844" s="643" t="n"/>
      <c r="K844" s="643" t="n"/>
      <c r="O844" s="643" t="n"/>
      <c r="S844" s="643" t="n"/>
      <c r="W844" s="643" t="n"/>
      <c r="AA844" s="643" t="n"/>
      <c r="AE844" s="643" t="n"/>
      <c r="AI844" s="643" t="n"/>
      <c r="AM844" s="643" t="n"/>
      <c r="AQ844" s="643" t="n"/>
      <c r="AU844" s="643" t="n"/>
      <c r="AY844" s="643" t="n"/>
      <c r="BC844" s="643" t="n"/>
      <c r="BG844" s="643" t="n"/>
    </row>
    <row r="845" s="1168" customFormat="1" ht="12.75" customHeight="1">
      <c r="F845" s="643" t="n"/>
      <c r="K845" s="643" t="n"/>
      <c r="O845" s="643" t="n"/>
      <c r="S845" s="643" t="n"/>
      <c r="W845" s="643" t="n"/>
      <c r="AA845" s="643" t="n"/>
      <c r="AE845" s="643" t="n"/>
      <c r="AI845" s="643" t="n"/>
      <c r="AM845" s="643" t="n"/>
      <c r="AQ845" s="643" t="n"/>
      <c r="AU845" s="643" t="n"/>
      <c r="AY845" s="643" t="n"/>
      <c r="BC845" s="643" t="n"/>
      <c r="BG845" s="643" t="n"/>
    </row>
    <row r="846" s="1168" customFormat="1" ht="12.75" customHeight="1">
      <c r="F846" s="643" t="n"/>
      <c r="K846" s="643" t="n"/>
      <c r="O846" s="643" t="n"/>
      <c r="S846" s="643" t="n"/>
      <c r="W846" s="643" t="n"/>
      <c r="AA846" s="643" t="n"/>
      <c r="AE846" s="643" t="n"/>
      <c r="AI846" s="643" t="n"/>
      <c r="AM846" s="643" t="n"/>
      <c r="AQ846" s="643" t="n"/>
      <c r="AU846" s="643" t="n"/>
      <c r="AY846" s="643" t="n"/>
      <c r="BC846" s="643" t="n"/>
      <c r="BG846" s="643" t="n"/>
    </row>
    <row r="847" s="1168" customFormat="1" ht="12.75" customHeight="1">
      <c r="F847" s="643" t="n"/>
      <c r="K847" s="643" t="n"/>
      <c r="O847" s="643" t="n"/>
      <c r="S847" s="643" t="n"/>
      <c r="W847" s="643" t="n"/>
      <c r="AA847" s="643" t="n"/>
      <c r="AE847" s="643" t="n"/>
      <c r="AI847" s="643" t="n"/>
      <c r="AM847" s="643" t="n"/>
      <c r="AQ847" s="643" t="n"/>
      <c r="AU847" s="643" t="n"/>
      <c r="AY847" s="643" t="n"/>
      <c r="BC847" s="643" t="n"/>
      <c r="BG847" s="643" t="n"/>
    </row>
    <row r="848" s="1168" customFormat="1" ht="12.75" customHeight="1">
      <c r="F848" s="643" t="n"/>
      <c r="K848" s="643" t="n"/>
      <c r="O848" s="643" t="n"/>
      <c r="S848" s="643" t="n"/>
      <c r="W848" s="643" t="n"/>
      <c r="AA848" s="643" t="n"/>
      <c r="AE848" s="643" t="n"/>
      <c r="AI848" s="643" t="n"/>
      <c r="AM848" s="643" t="n"/>
      <c r="AQ848" s="643" t="n"/>
      <c r="AU848" s="643" t="n"/>
      <c r="AY848" s="643" t="n"/>
      <c r="BC848" s="643" t="n"/>
      <c r="BG848" s="643" t="n"/>
    </row>
    <row r="849" s="1168" customFormat="1" ht="12.75" customHeight="1">
      <c r="F849" s="643" t="n"/>
      <c r="K849" s="643" t="n"/>
      <c r="O849" s="643" t="n"/>
      <c r="S849" s="643" t="n"/>
      <c r="W849" s="643" t="n"/>
      <c r="AA849" s="643" t="n"/>
      <c r="AE849" s="643" t="n"/>
      <c r="AI849" s="643" t="n"/>
      <c r="AM849" s="643" t="n"/>
      <c r="AQ849" s="643" t="n"/>
      <c r="AU849" s="643" t="n"/>
      <c r="AY849" s="643" t="n"/>
      <c r="BC849" s="643" t="n"/>
      <c r="BG849" s="643" t="n"/>
    </row>
    <row r="850" s="1168" customFormat="1" ht="12.75" customHeight="1">
      <c r="F850" s="643" t="n"/>
      <c r="K850" s="643" t="n"/>
      <c r="O850" s="643" t="n"/>
      <c r="S850" s="643" t="n"/>
      <c r="W850" s="643" t="n"/>
      <c r="AA850" s="643" t="n"/>
      <c r="AE850" s="643" t="n"/>
      <c r="AI850" s="643" t="n"/>
      <c r="AM850" s="643" t="n"/>
      <c r="AQ850" s="643" t="n"/>
      <c r="AU850" s="643" t="n"/>
      <c r="AY850" s="643" t="n"/>
      <c r="BC850" s="643" t="n"/>
      <c r="BG850" s="643" t="n"/>
    </row>
    <row r="851" s="1168" customFormat="1" ht="12.75" customHeight="1">
      <c r="F851" s="643" t="n"/>
      <c r="K851" s="643" t="n"/>
      <c r="O851" s="643" t="n"/>
      <c r="S851" s="643" t="n"/>
      <c r="W851" s="643" t="n"/>
      <c r="AA851" s="643" t="n"/>
      <c r="AE851" s="643" t="n"/>
      <c r="AI851" s="643" t="n"/>
      <c r="AM851" s="643" t="n"/>
      <c r="AQ851" s="643" t="n"/>
      <c r="AU851" s="643" t="n"/>
      <c r="AY851" s="643" t="n"/>
      <c r="BC851" s="643" t="n"/>
      <c r="BG851" s="643" t="n"/>
    </row>
    <row r="852" s="1168" customFormat="1" ht="12.75" customHeight="1">
      <c r="F852" s="643" t="n"/>
      <c r="K852" s="643" t="n"/>
      <c r="O852" s="643" t="n"/>
      <c r="S852" s="643" t="n"/>
      <c r="W852" s="643" t="n"/>
      <c r="AA852" s="643" t="n"/>
      <c r="AE852" s="643" t="n"/>
      <c r="AI852" s="643" t="n"/>
      <c r="AM852" s="643" t="n"/>
      <c r="AQ852" s="643" t="n"/>
      <c r="AU852" s="643" t="n"/>
      <c r="AY852" s="643" t="n"/>
      <c r="BC852" s="643" t="n"/>
      <c r="BG852" s="643" t="n"/>
    </row>
    <row r="853" s="1168" customFormat="1" ht="12.75" customHeight="1">
      <c r="F853" s="643" t="n"/>
      <c r="K853" s="643" t="n"/>
      <c r="O853" s="643" t="n"/>
      <c r="S853" s="643" t="n"/>
      <c r="W853" s="643" t="n"/>
      <c r="AA853" s="643" t="n"/>
      <c r="AE853" s="643" t="n"/>
      <c r="AI853" s="643" t="n"/>
      <c r="AM853" s="643" t="n"/>
      <c r="AQ853" s="643" t="n"/>
      <c r="AU853" s="643" t="n"/>
      <c r="AY853" s="643" t="n"/>
      <c r="BC853" s="643" t="n"/>
      <c r="BG853" s="643" t="n"/>
    </row>
    <row r="854" s="1168" customFormat="1" ht="12.75" customHeight="1">
      <c r="F854" s="643" t="n"/>
      <c r="K854" s="643" t="n"/>
      <c r="O854" s="643" t="n"/>
      <c r="S854" s="643" t="n"/>
      <c r="W854" s="643" t="n"/>
      <c r="AA854" s="643" t="n"/>
      <c r="AE854" s="643" t="n"/>
      <c r="AI854" s="643" t="n"/>
      <c r="AM854" s="643" t="n"/>
      <c r="AQ854" s="643" t="n"/>
      <c r="AU854" s="643" t="n"/>
      <c r="AY854" s="643" t="n"/>
      <c r="BC854" s="643" t="n"/>
      <c r="BG854" s="643" t="n"/>
    </row>
    <row r="855" s="1168" customFormat="1" ht="12.75" customHeight="1">
      <c r="F855" s="643" t="n"/>
      <c r="K855" s="643" t="n"/>
      <c r="O855" s="643" t="n"/>
      <c r="S855" s="643" t="n"/>
      <c r="W855" s="643" t="n"/>
      <c r="AA855" s="643" t="n"/>
      <c r="AE855" s="643" t="n"/>
      <c r="AI855" s="643" t="n"/>
      <c r="AM855" s="643" t="n"/>
      <c r="AQ855" s="643" t="n"/>
      <c r="AU855" s="643" t="n"/>
      <c r="AY855" s="643" t="n"/>
      <c r="BC855" s="643" t="n"/>
      <c r="BG855" s="643" t="n"/>
    </row>
    <row r="856" s="1168" customFormat="1" ht="12.75" customHeight="1">
      <c r="F856" s="643" t="n"/>
      <c r="K856" s="643" t="n"/>
      <c r="O856" s="643" t="n"/>
      <c r="S856" s="643" t="n"/>
      <c r="W856" s="643" t="n"/>
      <c r="AA856" s="643" t="n"/>
      <c r="AE856" s="643" t="n"/>
      <c r="AI856" s="643" t="n"/>
      <c r="AM856" s="643" t="n"/>
      <c r="AQ856" s="643" t="n"/>
      <c r="AU856" s="643" t="n"/>
      <c r="AY856" s="643" t="n"/>
      <c r="BC856" s="643" t="n"/>
      <c r="BG856" s="643" t="n"/>
    </row>
    <row r="857" s="1168" customFormat="1" ht="12.75" customHeight="1">
      <c r="F857" s="643" t="n"/>
      <c r="K857" s="643" t="n"/>
      <c r="O857" s="643" t="n"/>
      <c r="S857" s="643" t="n"/>
      <c r="W857" s="643" t="n"/>
      <c r="AA857" s="643" t="n"/>
      <c r="AE857" s="643" t="n"/>
      <c r="AI857" s="643" t="n"/>
      <c r="AM857" s="643" t="n"/>
      <c r="AQ857" s="643" t="n"/>
      <c r="AU857" s="643" t="n"/>
      <c r="AY857" s="643" t="n"/>
      <c r="BC857" s="643" t="n"/>
      <c r="BG857" s="643" t="n"/>
    </row>
    <row r="858" s="1168" customFormat="1" ht="12.75" customHeight="1">
      <c r="F858" s="643" t="n"/>
      <c r="K858" s="643" t="n"/>
      <c r="O858" s="643" t="n"/>
      <c r="S858" s="643" t="n"/>
      <c r="W858" s="643" t="n"/>
      <c r="AA858" s="643" t="n"/>
      <c r="AE858" s="643" t="n"/>
      <c r="AI858" s="643" t="n"/>
      <c r="AM858" s="643" t="n"/>
      <c r="AQ858" s="643" t="n"/>
      <c r="AU858" s="643" t="n"/>
      <c r="AY858" s="643" t="n"/>
      <c r="BC858" s="643" t="n"/>
      <c r="BG858" s="643" t="n"/>
    </row>
    <row r="859" s="1168" customFormat="1" ht="12.75" customHeight="1">
      <c r="F859" s="643" t="n"/>
      <c r="K859" s="643" t="n"/>
      <c r="O859" s="643" t="n"/>
      <c r="S859" s="643" t="n"/>
      <c r="W859" s="643" t="n"/>
      <c r="AA859" s="643" t="n"/>
      <c r="AE859" s="643" t="n"/>
      <c r="AI859" s="643" t="n"/>
      <c r="AM859" s="643" t="n"/>
      <c r="AQ859" s="643" t="n"/>
      <c r="AU859" s="643" t="n"/>
      <c r="AY859" s="643" t="n"/>
      <c r="BC859" s="643" t="n"/>
      <c r="BG859" s="643" t="n"/>
    </row>
    <row r="860" s="1168" customFormat="1" ht="12.75" customHeight="1">
      <c r="F860" s="643" t="n"/>
      <c r="K860" s="643" t="n"/>
      <c r="O860" s="643" t="n"/>
      <c r="S860" s="643" t="n"/>
      <c r="W860" s="643" t="n"/>
      <c r="AA860" s="643" t="n"/>
      <c r="AE860" s="643" t="n"/>
      <c r="AI860" s="643" t="n"/>
      <c r="AM860" s="643" t="n"/>
      <c r="AQ860" s="643" t="n"/>
      <c r="AU860" s="643" t="n"/>
      <c r="AY860" s="643" t="n"/>
      <c r="BC860" s="643" t="n"/>
      <c r="BG860" s="643" t="n"/>
    </row>
    <row r="861" s="1168" customFormat="1" ht="12.75" customHeight="1">
      <c r="F861" s="643" t="n"/>
      <c r="K861" s="643" t="n"/>
      <c r="O861" s="643" t="n"/>
      <c r="S861" s="643" t="n"/>
      <c r="W861" s="643" t="n"/>
      <c r="AA861" s="643" t="n"/>
      <c r="AE861" s="643" t="n"/>
      <c r="AI861" s="643" t="n"/>
      <c r="AM861" s="643" t="n"/>
      <c r="AQ861" s="643" t="n"/>
      <c r="AU861" s="643" t="n"/>
      <c r="AY861" s="643" t="n"/>
      <c r="BC861" s="643" t="n"/>
      <c r="BG861" s="643" t="n"/>
    </row>
    <row r="862" s="1168" customFormat="1" ht="12.75" customHeight="1">
      <c r="F862" s="643" t="n"/>
      <c r="K862" s="643" t="n"/>
      <c r="O862" s="643" t="n"/>
      <c r="S862" s="643" t="n"/>
      <c r="W862" s="643" t="n"/>
      <c r="AA862" s="643" t="n"/>
      <c r="AE862" s="643" t="n"/>
      <c r="AI862" s="643" t="n"/>
      <c r="AM862" s="643" t="n"/>
      <c r="AQ862" s="643" t="n"/>
      <c r="AU862" s="643" t="n"/>
      <c r="AY862" s="643" t="n"/>
      <c r="BC862" s="643" t="n"/>
      <c r="BG862" s="643" t="n"/>
    </row>
    <row r="863" s="1168" customFormat="1" ht="12.75" customHeight="1">
      <c r="F863" s="643" t="n"/>
      <c r="K863" s="643" t="n"/>
      <c r="O863" s="643" t="n"/>
      <c r="S863" s="643" t="n"/>
      <c r="W863" s="643" t="n"/>
      <c r="AA863" s="643" t="n"/>
      <c r="AE863" s="643" t="n"/>
      <c r="AI863" s="643" t="n"/>
      <c r="AM863" s="643" t="n"/>
      <c r="AQ863" s="643" t="n"/>
      <c r="AU863" s="643" t="n"/>
      <c r="AY863" s="643" t="n"/>
      <c r="BC863" s="643" t="n"/>
      <c r="BG863" s="643" t="n"/>
    </row>
    <row r="864" s="1168" customFormat="1" ht="12.75" customHeight="1">
      <c r="F864" s="643" t="n"/>
      <c r="K864" s="643" t="n"/>
      <c r="O864" s="643" t="n"/>
      <c r="S864" s="643" t="n"/>
      <c r="W864" s="643" t="n"/>
      <c r="AA864" s="643" t="n"/>
      <c r="AE864" s="643" t="n"/>
      <c r="AI864" s="643" t="n"/>
      <c r="AM864" s="643" t="n"/>
      <c r="AQ864" s="643" t="n"/>
      <c r="AU864" s="643" t="n"/>
      <c r="AY864" s="643" t="n"/>
      <c r="BC864" s="643" t="n"/>
      <c r="BG864" s="643" t="n"/>
    </row>
    <row r="865" s="1168" customFormat="1" ht="12.75" customHeight="1">
      <c r="F865" s="643" t="n"/>
      <c r="K865" s="643" t="n"/>
      <c r="O865" s="643" t="n"/>
      <c r="S865" s="643" t="n"/>
      <c r="W865" s="643" t="n"/>
      <c r="AA865" s="643" t="n"/>
      <c r="AE865" s="643" t="n"/>
      <c r="AI865" s="643" t="n"/>
      <c r="AM865" s="643" t="n"/>
      <c r="AQ865" s="643" t="n"/>
      <c r="AU865" s="643" t="n"/>
      <c r="AY865" s="643" t="n"/>
      <c r="BC865" s="643" t="n"/>
      <c r="BG865" s="643" t="n"/>
    </row>
    <row r="866" s="1168" customFormat="1" ht="12.75" customHeight="1">
      <c r="F866" s="643" t="n"/>
      <c r="K866" s="643" t="n"/>
      <c r="O866" s="643" t="n"/>
      <c r="S866" s="643" t="n"/>
      <c r="W866" s="643" t="n"/>
      <c r="AA866" s="643" t="n"/>
      <c r="AE866" s="643" t="n"/>
      <c r="AI866" s="643" t="n"/>
      <c r="AM866" s="643" t="n"/>
      <c r="AQ866" s="643" t="n"/>
      <c r="AU866" s="643" t="n"/>
      <c r="AY866" s="643" t="n"/>
      <c r="BC866" s="643" t="n"/>
      <c r="BG866" s="643" t="n"/>
    </row>
    <row r="867" s="1168" customFormat="1" ht="12.75" customHeight="1">
      <c r="F867" s="643" t="n"/>
      <c r="K867" s="643" t="n"/>
      <c r="O867" s="643" t="n"/>
      <c r="S867" s="643" t="n"/>
      <c r="W867" s="643" t="n"/>
      <c r="AA867" s="643" t="n"/>
      <c r="AE867" s="643" t="n"/>
      <c r="AI867" s="643" t="n"/>
      <c r="AM867" s="643" t="n"/>
      <c r="AQ867" s="643" t="n"/>
      <c r="AU867" s="643" t="n"/>
      <c r="AY867" s="643" t="n"/>
      <c r="BC867" s="643" t="n"/>
      <c r="BG867" s="643" t="n"/>
    </row>
    <row r="868" s="1168" customFormat="1" ht="12.75" customHeight="1">
      <c r="F868" s="643" t="n"/>
      <c r="K868" s="643" t="n"/>
      <c r="O868" s="643" t="n"/>
      <c r="S868" s="643" t="n"/>
      <c r="W868" s="643" t="n"/>
      <c r="AA868" s="643" t="n"/>
      <c r="AE868" s="643" t="n"/>
      <c r="AI868" s="643" t="n"/>
      <c r="AM868" s="643" t="n"/>
      <c r="AQ868" s="643" t="n"/>
      <c r="AU868" s="643" t="n"/>
      <c r="AY868" s="643" t="n"/>
      <c r="BC868" s="643" t="n"/>
      <c r="BG868" s="643" t="n"/>
    </row>
    <row r="869" s="1168" customFormat="1" ht="12.75" customHeight="1">
      <c r="F869" s="643" t="n"/>
      <c r="K869" s="643" t="n"/>
      <c r="O869" s="643" t="n"/>
      <c r="S869" s="643" t="n"/>
      <c r="W869" s="643" t="n"/>
      <c r="AA869" s="643" t="n"/>
      <c r="AE869" s="643" t="n"/>
      <c r="AI869" s="643" t="n"/>
      <c r="AM869" s="643" t="n"/>
      <c r="AQ869" s="643" t="n"/>
      <c r="AU869" s="643" t="n"/>
      <c r="AY869" s="643" t="n"/>
      <c r="BC869" s="643" t="n"/>
      <c r="BG869" s="643" t="n"/>
    </row>
    <row r="870" s="1168" customFormat="1" ht="12.75" customHeight="1">
      <c r="F870" s="643" t="n"/>
      <c r="K870" s="643" t="n"/>
      <c r="O870" s="643" t="n"/>
      <c r="S870" s="643" t="n"/>
      <c r="W870" s="643" t="n"/>
      <c r="AA870" s="643" t="n"/>
      <c r="AE870" s="643" t="n"/>
      <c r="AI870" s="643" t="n"/>
      <c r="AM870" s="643" t="n"/>
      <c r="AQ870" s="643" t="n"/>
      <c r="AU870" s="643" t="n"/>
      <c r="AY870" s="643" t="n"/>
      <c r="BC870" s="643" t="n"/>
      <c r="BG870" s="643" t="n"/>
    </row>
    <row r="871" s="1168" customFormat="1" ht="12.75" customHeight="1">
      <c r="F871" s="643" t="n"/>
      <c r="K871" s="643" t="n"/>
      <c r="O871" s="643" t="n"/>
      <c r="S871" s="643" t="n"/>
      <c r="W871" s="643" t="n"/>
      <c r="AA871" s="643" t="n"/>
      <c r="AE871" s="643" t="n"/>
      <c r="AI871" s="643" t="n"/>
      <c r="AM871" s="643" t="n"/>
      <c r="AQ871" s="643" t="n"/>
      <c r="AU871" s="643" t="n"/>
      <c r="AY871" s="643" t="n"/>
      <c r="BC871" s="643" t="n"/>
      <c r="BG871" s="643" t="n"/>
    </row>
    <row r="872" s="1168" customFormat="1" ht="12.75" customHeight="1">
      <c r="F872" s="643" t="n"/>
      <c r="K872" s="643" t="n"/>
      <c r="O872" s="643" t="n"/>
      <c r="S872" s="643" t="n"/>
      <c r="W872" s="643" t="n"/>
      <c r="AA872" s="643" t="n"/>
      <c r="AE872" s="643" t="n"/>
      <c r="AI872" s="643" t="n"/>
      <c r="AM872" s="643" t="n"/>
      <c r="AQ872" s="643" t="n"/>
      <c r="AU872" s="643" t="n"/>
      <c r="AY872" s="643" t="n"/>
      <c r="BC872" s="643" t="n"/>
      <c r="BG872" s="643" t="n"/>
    </row>
    <row r="873" s="1168" customFormat="1" ht="12.75" customHeight="1">
      <c r="F873" s="643" t="n"/>
      <c r="K873" s="643" t="n"/>
      <c r="O873" s="643" t="n"/>
      <c r="S873" s="643" t="n"/>
      <c r="W873" s="643" t="n"/>
      <c r="AA873" s="643" t="n"/>
      <c r="AE873" s="643" t="n"/>
      <c r="AI873" s="643" t="n"/>
      <c r="AM873" s="643" t="n"/>
      <c r="AQ873" s="643" t="n"/>
      <c r="AU873" s="643" t="n"/>
      <c r="AY873" s="643" t="n"/>
      <c r="BC873" s="643" t="n"/>
      <c r="BG873" s="643" t="n"/>
    </row>
    <row r="874" s="1168" customFormat="1" ht="12.75" customHeight="1">
      <c r="F874" s="643" t="n"/>
      <c r="K874" s="643" t="n"/>
      <c r="O874" s="643" t="n"/>
      <c r="S874" s="643" t="n"/>
      <c r="W874" s="643" t="n"/>
      <c r="AA874" s="643" t="n"/>
      <c r="AE874" s="643" t="n"/>
      <c r="AI874" s="643" t="n"/>
      <c r="AM874" s="643" t="n"/>
      <c r="AQ874" s="643" t="n"/>
      <c r="AU874" s="643" t="n"/>
      <c r="AY874" s="643" t="n"/>
      <c r="BC874" s="643" t="n"/>
      <c r="BG874" s="643" t="n"/>
    </row>
    <row r="875" s="1168" customFormat="1" ht="12.75" customHeight="1">
      <c r="F875" s="643" t="n"/>
      <c r="K875" s="643" t="n"/>
      <c r="O875" s="643" t="n"/>
      <c r="S875" s="643" t="n"/>
      <c r="W875" s="643" t="n"/>
      <c r="AA875" s="643" t="n"/>
      <c r="AE875" s="643" t="n"/>
      <c r="AI875" s="643" t="n"/>
      <c r="AM875" s="643" t="n"/>
      <c r="AQ875" s="643" t="n"/>
      <c r="AU875" s="643" t="n"/>
      <c r="AY875" s="643" t="n"/>
      <c r="BC875" s="643" t="n"/>
      <c r="BG875" s="643" t="n"/>
    </row>
    <row r="876" s="1168" customFormat="1" ht="12.75" customHeight="1">
      <c r="F876" s="643" t="n"/>
      <c r="K876" s="643" t="n"/>
      <c r="O876" s="643" t="n"/>
      <c r="S876" s="643" t="n"/>
      <c r="W876" s="643" t="n"/>
      <c r="AA876" s="643" t="n"/>
      <c r="AE876" s="643" t="n"/>
      <c r="AI876" s="643" t="n"/>
      <c r="AM876" s="643" t="n"/>
      <c r="AQ876" s="643" t="n"/>
      <c r="AU876" s="643" t="n"/>
      <c r="AY876" s="643" t="n"/>
      <c r="BC876" s="643" t="n"/>
      <c r="BG876" s="643" t="n"/>
    </row>
    <row r="877" s="1168" customFormat="1" ht="12.75" customHeight="1">
      <c r="F877" s="643" t="n"/>
      <c r="K877" s="643" t="n"/>
      <c r="O877" s="643" t="n"/>
      <c r="S877" s="643" t="n"/>
      <c r="W877" s="643" t="n"/>
      <c r="AA877" s="643" t="n"/>
      <c r="AE877" s="643" t="n"/>
      <c r="AI877" s="643" t="n"/>
      <c r="AM877" s="643" t="n"/>
      <c r="AQ877" s="643" t="n"/>
      <c r="AU877" s="643" t="n"/>
      <c r="AY877" s="643" t="n"/>
      <c r="BC877" s="643" t="n"/>
      <c r="BG877" s="643" t="n"/>
    </row>
    <row r="878" s="1168" customFormat="1" ht="12.75" customHeight="1">
      <c r="F878" s="643" t="n"/>
      <c r="K878" s="643" t="n"/>
      <c r="O878" s="643" t="n"/>
      <c r="S878" s="643" t="n"/>
      <c r="W878" s="643" t="n"/>
      <c r="AA878" s="643" t="n"/>
      <c r="AE878" s="643" t="n"/>
      <c r="AI878" s="643" t="n"/>
      <c r="AM878" s="643" t="n"/>
      <c r="AQ878" s="643" t="n"/>
      <c r="AU878" s="643" t="n"/>
      <c r="AY878" s="643" t="n"/>
      <c r="BC878" s="643" t="n"/>
      <c r="BG878" s="643" t="n"/>
    </row>
    <row r="879" s="1168" customFormat="1" ht="12.75" customHeight="1">
      <c r="F879" s="643" t="n"/>
      <c r="K879" s="643" t="n"/>
      <c r="O879" s="643" t="n"/>
      <c r="S879" s="643" t="n"/>
      <c r="W879" s="643" t="n"/>
      <c r="AA879" s="643" t="n"/>
      <c r="AE879" s="643" t="n"/>
      <c r="AI879" s="643" t="n"/>
      <c r="AM879" s="643" t="n"/>
      <c r="AQ879" s="643" t="n"/>
      <c r="AU879" s="643" t="n"/>
      <c r="AY879" s="643" t="n"/>
      <c r="BC879" s="643" t="n"/>
      <c r="BG879" s="643" t="n"/>
    </row>
    <row r="880" s="1168" customFormat="1" ht="12.75" customHeight="1">
      <c r="F880" s="643" t="n"/>
      <c r="K880" s="643" t="n"/>
      <c r="O880" s="643" t="n"/>
      <c r="S880" s="643" t="n"/>
      <c r="W880" s="643" t="n"/>
      <c r="AA880" s="643" t="n"/>
      <c r="AE880" s="643" t="n"/>
      <c r="AI880" s="643" t="n"/>
      <c r="AM880" s="643" t="n"/>
      <c r="AQ880" s="643" t="n"/>
      <c r="AU880" s="643" t="n"/>
      <c r="AY880" s="643" t="n"/>
      <c r="BC880" s="643" t="n"/>
      <c r="BG880" s="643" t="n"/>
    </row>
    <row r="881" s="1168" customFormat="1" ht="12.75" customHeight="1">
      <c r="F881" s="643" t="n"/>
      <c r="K881" s="643" t="n"/>
      <c r="O881" s="643" t="n"/>
      <c r="S881" s="643" t="n"/>
      <c r="W881" s="643" t="n"/>
      <c r="AA881" s="643" t="n"/>
      <c r="AE881" s="643" t="n"/>
      <c r="AI881" s="643" t="n"/>
      <c r="AM881" s="643" t="n"/>
      <c r="AQ881" s="643" t="n"/>
      <c r="AU881" s="643" t="n"/>
      <c r="AY881" s="643" t="n"/>
      <c r="BC881" s="643" t="n"/>
      <c r="BG881" s="643" t="n"/>
    </row>
    <row r="882" s="1168" customFormat="1" ht="12.75" customHeight="1">
      <c r="F882" s="643" t="n"/>
      <c r="K882" s="643" t="n"/>
      <c r="O882" s="643" t="n"/>
      <c r="S882" s="643" t="n"/>
      <c r="W882" s="643" t="n"/>
      <c r="AA882" s="643" t="n"/>
      <c r="AE882" s="643" t="n"/>
      <c r="AI882" s="643" t="n"/>
      <c r="AM882" s="643" t="n"/>
      <c r="AQ882" s="643" t="n"/>
      <c r="AU882" s="643" t="n"/>
      <c r="AY882" s="643" t="n"/>
      <c r="BC882" s="643" t="n"/>
      <c r="BG882" s="643" t="n"/>
    </row>
    <row r="883" s="1168" customFormat="1" ht="12.75" customHeight="1">
      <c r="F883" s="643" t="n"/>
      <c r="K883" s="643" t="n"/>
      <c r="O883" s="643" t="n"/>
      <c r="S883" s="643" t="n"/>
      <c r="W883" s="643" t="n"/>
      <c r="AA883" s="643" t="n"/>
      <c r="AE883" s="643" t="n"/>
      <c r="AI883" s="643" t="n"/>
      <c r="AM883" s="643" t="n"/>
      <c r="AQ883" s="643" t="n"/>
      <c r="AU883" s="643" t="n"/>
      <c r="AY883" s="643" t="n"/>
      <c r="BC883" s="643" t="n"/>
      <c r="BG883" s="643" t="n"/>
    </row>
    <row r="884" s="1168" customFormat="1" ht="12.75" customHeight="1">
      <c r="F884" s="643" t="n"/>
      <c r="K884" s="643" t="n"/>
      <c r="O884" s="643" t="n"/>
      <c r="S884" s="643" t="n"/>
      <c r="W884" s="643" t="n"/>
      <c r="AA884" s="643" t="n"/>
      <c r="AE884" s="643" t="n"/>
      <c r="AI884" s="643" t="n"/>
      <c r="AM884" s="643" t="n"/>
      <c r="AQ884" s="643" t="n"/>
      <c r="AU884" s="643" t="n"/>
      <c r="AY884" s="643" t="n"/>
      <c r="BC884" s="643" t="n"/>
      <c r="BG884" s="643" t="n"/>
    </row>
    <row r="885" s="1168" customFormat="1" ht="12.75" customHeight="1">
      <c r="F885" s="643" t="n"/>
      <c r="K885" s="643" t="n"/>
      <c r="O885" s="643" t="n"/>
      <c r="S885" s="643" t="n"/>
      <c r="W885" s="643" t="n"/>
      <c r="AA885" s="643" t="n"/>
      <c r="AE885" s="643" t="n"/>
      <c r="AI885" s="643" t="n"/>
      <c r="AM885" s="643" t="n"/>
      <c r="AQ885" s="643" t="n"/>
      <c r="AU885" s="643" t="n"/>
      <c r="AY885" s="643" t="n"/>
      <c r="BC885" s="643" t="n"/>
      <c r="BG885" s="643" t="n"/>
    </row>
    <row r="886" s="1168" customFormat="1" ht="12.75" customHeight="1">
      <c r="F886" s="643" t="n"/>
      <c r="K886" s="643" t="n"/>
      <c r="O886" s="643" t="n"/>
      <c r="S886" s="643" t="n"/>
      <c r="W886" s="643" t="n"/>
      <c r="AA886" s="643" t="n"/>
      <c r="AE886" s="643" t="n"/>
      <c r="AI886" s="643" t="n"/>
      <c r="AM886" s="643" t="n"/>
      <c r="AQ886" s="643" t="n"/>
      <c r="AU886" s="643" t="n"/>
      <c r="AY886" s="643" t="n"/>
      <c r="BC886" s="643" t="n"/>
      <c r="BG886" s="643" t="n"/>
    </row>
    <row r="887" s="1168" customFormat="1" ht="12.75" customHeight="1">
      <c r="F887" s="643" t="n"/>
      <c r="K887" s="643" t="n"/>
      <c r="O887" s="643" t="n"/>
      <c r="S887" s="643" t="n"/>
      <c r="W887" s="643" t="n"/>
      <c r="AA887" s="643" t="n"/>
      <c r="AE887" s="643" t="n"/>
      <c r="AI887" s="643" t="n"/>
      <c r="AM887" s="643" t="n"/>
      <c r="AQ887" s="643" t="n"/>
      <c r="AU887" s="643" t="n"/>
      <c r="AY887" s="643" t="n"/>
      <c r="BC887" s="643" t="n"/>
      <c r="BG887" s="643" t="n"/>
    </row>
    <row r="888" s="1168" customFormat="1" ht="12.75" customHeight="1">
      <c r="F888" s="643" t="n"/>
      <c r="K888" s="643" t="n"/>
      <c r="O888" s="643" t="n"/>
      <c r="S888" s="643" t="n"/>
      <c r="W888" s="643" t="n"/>
      <c r="AA888" s="643" t="n"/>
      <c r="AE888" s="643" t="n"/>
      <c r="AI888" s="643" t="n"/>
      <c r="AM888" s="643" t="n"/>
      <c r="AQ888" s="643" t="n"/>
      <c r="AU888" s="643" t="n"/>
      <c r="AY888" s="643" t="n"/>
      <c r="BC888" s="643" t="n"/>
      <c r="BG888" s="643" t="n"/>
    </row>
    <row r="889" s="1168" customFormat="1" ht="12.75" customHeight="1">
      <c r="F889" s="643" t="n"/>
      <c r="K889" s="643" t="n"/>
      <c r="O889" s="643" t="n"/>
      <c r="S889" s="643" t="n"/>
      <c r="W889" s="643" t="n"/>
      <c r="AA889" s="643" t="n"/>
      <c r="AE889" s="643" t="n"/>
      <c r="AI889" s="643" t="n"/>
      <c r="AM889" s="643" t="n"/>
      <c r="AQ889" s="643" t="n"/>
      <c r="AU889" s="643" t="n"/>
      <c r="AY889" s="643" t="n"/>
      <c r="BC889" s="643" t="n"/>
      <c r="BG889" s="643" t="n"/>
    </row>
    <row r="890" s="1168" customFormat="1" ht="12.75" customHeight="1">
      <c r="F890" s="643" t="n"/>
      <c r="K890" s="643" t="n"/>
      <c r="O890" s="643" t="n"/>
      <c r="S890" s="643" t="n"/>
      <c r="W890" s="643" t="n"/>
      <c r="AA890" s="643" t="n"/>
      <c r="AE890" s="643" t="n"/>
      <c r="AI890" s="643" t="n"/>
      <c r="AM890" s="643" t="n"/>
      <c r="AQ890" s="643" t="n"/>
      <c r="AU890" s="643" t="n"/>
      <c r="AY890" s="643" t="n"/>
      <c r="BC890" s="643" t="n"/>
      <c r="BG890" s="643" t="n"/>
    </row>
    <row r="891" s="1168" customFormat="1" ht="12.75" customHeight="1">
      <c r="F891" s="643" t="n"/>
      <c r="K891" s="643" t="n"/>
      <c r="O891" s="643" t="n"/>
      <c r="S891" s="643" t="n"/>
      <c r="W891" s="643" t="n"/>
      <c r="AA891" s="643" t="n"/>
      <c r="AE891" s="643" t="n"/>
      <c r="AI891" s="643" t="n"/>
      <c r="AM891" s="643" t="n"/>
      <c r="AQ891" s="643" t="n"/>
      <c r="AU891" s="643" t="n"/>
      <c r="AY891" s="643" t="n"/>
      <c r="BC891" s="643" t="n"/>
      <c r="BG891" s="643" t="n"/>
    </row>
    <row r="892" s="1168" customFormat="1" ht="12.75" customHeight="1">
      <c r="F892" s="643" t="n"/>
      <c r="K892" s="643" t="n"/>
      <c r="O892" s="643" t="n"/>
      <c r="S892" s="643" t="n"/>
      <c r="W892" s="643" t="n"/>
      <c r="AA892" s="643" t="n"/>
      <c r="AE892" s="643" t="n"/>
      <c r="AI892" s="643" t="n"/>
      <c r="AM892" s="643" t="n"/>
      <c r="AQ892" s="643" t="n"/>
      <c r="AU892" s="643" t="n"/>
      <c r="AY892" s="643" t="n"/>
      <c r="BC892" s="643" t="n"/>
      <c r="BG892" s="643" t="n"/>
    </row>
    <row r="893" s="1168" customFormat="1" ht="12.75" customHeight="1">
      <c r="F893" s="643" t="n"/>
      <c r="K893" s="643" t="n"/>
      <c r="O893" s="643" t="n"/>
      <c r="S893" s="643" t="n"/>
      <c r="W893" s="643" t="n"/>
      <c r="AA893" s="643" t="n"/>
      <c r="AE893" s="643" t="n"/>
      <c r="AI893" s="643" t="n"/>
      <c r="AM893" s="643" t="n"/>
      <c r="AQ893" s="643" t="n"/>
      <c r="AU893" s="643" t="n"/>
      <c r="AY893" s="643" t="n"/>
      <c r="BC893" s="643" t="n"/>
      <c r="BG893" s="643" t="n"/>
    </row>
    <row r="894" s="1168" customFormat="1" ht="12.75" customHeight="1">
      <c r="F894" s="643" t="n"/>
      <c r="K894" s="643" t="n"/>
      <c r="O894" s="643" t="n"/>
      <c r="S894" s="643" t="n"/>
      <c r="W894" s="643" t="n"/>
      <c r="AA894" s="643" t="n"/>
      <c r="AE894" s="643" t="n"/>
      <c r="AI894" s="643" t="n"/>
      <c r="AM894" s="643" t="n"/>
      <c r="AQ894" s="643" t="n"/>
      <c r="AU894" s="643" t="n"/>
      <c r="AY894" s="643" t="n"/>
      <c r="BC894" s="643" t="n"/>
      <c r="BG894" s="643" t="n"/>
    </row>
    <row r="895" s="1168" customFormat="1" ht="12.75" customHeight="1">
      <c r="F895" s="643" t="n"/>
      <c r="K895" s="643" t="n"/>
      <c r="O895" s="643" t="n"/>
      <c r="S895" s="643" t="n"/>
      <c r="W895" s="643" t="n"/>
      <c r="AA895" s="643" t="n"/>
      <c r="AE895" s="643" t="n"/>
      <c r="AI895" s="643" t="n"/>
      <c r="AM895" s="643" t="n"/>
      <c r="AQ895" s="643" t="n"/>
      <c r="AU895" s="643" t="n"/>
      <c r="AY895" s="643" t="n"/>
      <c r="BC895" s="643" t="n"/>
      <c r="BG895" s="643" t="n"/>
    </row>
    <row r="896" s="1168" customFormat="1" ht="12.75" customHeight="1">
      <c r="F896" s="643" t="n"/>
      <c r="K896" s="643" t="n"/>
      <c r="O896" s="643" t="n"/>
      <c r="S896" s="643" t="n"/>
      <c r="W896" s="643" t="n"/>
      <c r="AA896" s="643" t="n"/>
      <c r="AE896" s="643" t="n"/>
      <c r="AI896" s="643" t="n"/>
      <c r="AM896" s="643" t="n"/>
      <c r="AQ896" s="643" t="n"/>
      <c r="AU896" s="643" t="n"/>
      <c r="AY896" s="643" t="n"/>
      <c r="BC896" s="643" t="n"/>
      <c r="BG896" s="643" t="n"/>
    </row>
    <row r="897" s="1168" customFormat="1" ht="12.75" customHeight="1">
      <c r="F897" s="643" t="n"/>
      <c r="K897" s="643" t="n"/>
      <c r="O897" s="643" t="n"/>
      <c r="S897" s="643" t="n"/>
      <c r="W897" s="643" t="n"/>
      <c r="AA897" s="643" t="n"/>
      <c r="AE897" s="643" t="n"/>
      <c r="AI897" s="643" t="n"/>
      <c r="AM897" s="643" t="n"/>
      <c r="AQ897" s="643" t="n"/>
      <c r="AU897" s="643" t="n"/>
      <c r="AY897" s="643" t="n"/>
      <c r="BC897" s="643" t="n"/>
      <c r="BG897" s="643" t="n"/>
    </row>
    <row r="898" s="1168" customFormat="1" ht="12.75" customHeight="1">
      <c r="F898" s="643" t="n"/>
      <c r="K898" s="643" t="n"/>
      <c r="O898" s="643" t="n"/>
      <c r="S898" s="643" t="n"/>
      <c r="W898" s="643" t="n"/>
      <c r="AA898" s="643" t="n"/>
      <c r="AE898" s="643" t="n"/>
      <c r="AI898" s="643" t="n"/>
      <c r="AM898" s="643" t="n"/>
      <c r="AQ898" s="643" t="n"/>
      <c r="AU898" s="643" t="n"/>
      <c r="AY898" s="643" t="n"/>
      <c r="BC898" s="643" t="n"/>
      <c r="BG898" s="643" t="n"/>
    </row>
    <row r="899" s="1168" customFormat="1" ht="12.75" customHeight="1">
      <c r="F899" s="643" t="n"/>
      <c r="K899" s="643" t="n"/>
      <c r="O899" s="643" t="n"/>
      <c r="S899" s="643" t="n"/>
      <c r="W899" s="643" t="n"/>
      <c r="AA899" s="643" t="n"/>
      <c r="AE899" s="643" t="n"/>
      <c r="AI899" s="643" t="n"/>
      <c r="AM899" s="643" t="n"/>
      <c r="AQ899" s="643" t="n"/>
      <c r="AU899" s="643" t="n"/>
      <c r="AY899" s="643" t="n"/>
      <c r="BC899" s="643" t="n"/>
      <c r="BG899" s="643" t="n"/>
    </row>
    <row r="900" s="1168" customFormat="1" ht="12.75" customHeight="1">
      <c r="F900" s="643" t="n"/>
      <c r="K900" s="643" t="n"/>
      <c r="O900" s="643" t="n"/>
      <c r="S900" s="643" t="n"/>
      <c r="W900" s="643" t="n"/>
      <c r="AA900" s="643" t="n"/>
      <c r="AE900" s="643" t="n"/>
      <c r="AI900" s="643" t="n"/>
      <c r="AM900" s="643" t="n"/>
      <c r="AQ900" s="643" t="n"/>
      <c r="AU900" s="643" t="n"/>
      <c r="AY900" s="643" t="n"/>
      <c r="BC900" s="643" t="n"/>
      <c r="BG900" s="643" t="n"/>
    </row>
    <row r="901" s="1168" customFormat="1" ht="12.75" customHeight="1">
      <c r="F901" s="643" t="n"/>
      <c r="K901" s="643" t="n"/>
      <c r="O901" s="643" t="n"/>
      <c r="S901" s="643" t="n"/>
      <c r="W901" s="643" t="n"/>
      <c r="AA901" s="643" t="n"/>
      <c r="AE901" s="643" t="n"/>
      <c r="AI901" s="643" t="n"/>
      <c r="AM901" s="643" t="n"/>
      <c r="AQ901" s="643" t="n"/>
      <c r="AU901" s="643" t="n"/>
      <c r="AY901" s="643" t="n"/>
      <c r="BC901" s="643" t="n"/>
      <c r="BG901" s="643" t="n"/>
    </row>
    <row r="902" s="1168" customFormat="1" ht="12.75" customHeight="1">
      <c r="F902" s="643" t="n"/>
      <c r="K902" s="643" t="n"/>
      <c r="O902" s="643" t="n"/>
      <c r="S902" s="643" t="n"/>
      <c r="W902" s="643" t="n"/>
      <c r="AA902" s="643" t="n"/>
      <c r="AE902" s="643" t="n"/>
      <c r="AI902" s="643" t="n"/>
      <c r="AM902" s="643" t="n"/>
      <c r="AQ902" s="643" t="n"/>
      <c r="AU902" s="643" t="n"/>
      <c r="AY902" s="643" t="n"/>
      <c r="BC902" s="643" t="n"/>
      <c r="BG902" s="643" t="n"/>
    </row>
    <row r="903" s="1168" customFormat="1" ht="12.75" customHeight="1">
      <c r="F903" s="643" t="n"/>
      <c r="K903" s="643" t="n"/>
      <c r="O903" s="643" t="n"/>
      <c r="S903" s="643" t="n"/>
      <c r="W903" s="643" t="n"/>
      <c r="AA903" s="643" t="n"/>
      <c r="AE903" s="643" t="n"/>
      <c r="AI903" s="643" t="n"/>
      <c r="AM903" s="643" t="n"/>
      <c r="AQ903" s="643" t="n"/>
      <c r="AU903" s="643" t="n"/>
      <c r="AY903" s="643" t="n"/>
      <c r="BC903" s="643" t="n"/>
      <c r="BG903" s="643" t="n"/>
    </row>
    <row r="904" s="1168" customFormat="1" ht="12.75" customHeight="1">
      <c r="F904" s="643" t="n"/>
      <c r="K904" s="643" t="n"/>
      <c r="O904" s="643" t="n"/>
      <c r="S904" s="643" t="n"/>
      <c r="W904" s="643" t="n"/>
      <c r="AA904" s="643" t="n"/>
      <c r="AE904" s="643" t="n"/>
      <c r="AI904" s="643" t="n"/>
      <c r="AM904" s="643" t="n"/>
      <c r="AQ904" s="643" t="n"/>
      <c r="AU904" s="643" t="n"/>
      <c r="AY904" s="643" t="n"/>
      <c r="BC904" s="643" t="n"/>
      <c r="BG904" s="643" t="n"/>
    </row>
    <row r="905" s="1168" customFormat="1" ht="12.75" customHeight="1">
      <c r="F905" s="643" t="n"/>
      <c r="K905" s="643" t="n"/>
      <c r="O905" s="643" t="n"/>
      <c r="S905" s="643" t="n"/>
      <c r="W905" s="643" t="n"/>
      <c r="AA905" s="643" t="n"/>
      <c r="AE905" s="643" t="n"/>
      <c r="AI905" s="643" t="n"/>
      <c r="AM905" s="643" t="n"/>
      <c r="AQ905" s="643" t="n"/>
      <c r="AU905" s="643" t="n"/>
      <c r="AY905" s="643" t="n"/>
      <c r="BC905" s="643" t="n"/>
      <c r="BG905" s="643" t="n"/>
    </row>
    <row r="906" s="1168" customFormat="1" ht="12.75" customHeight="1">
      <c r="F906" s="643" t="n"/>
      <c r="K906" s="643" t="n"/>
      <c r="O906" s="643" t="n"/>
      <c r="S906" s="643" t="n"/>
      <c r="W906" s="643" t="n"/>
      <c r="AA906" s="643" t="n"/>
      <c r="AE906" s="643" t="n"/>
      <c r="AI906" s="643" t="n"/>
      <c r="AM906" s="643" t="n"/>
      <c r="AQ906" s="643" t="n"/>
      <c r="AU906" s="643" t="n"/>
      <c r="AY906" s="643" t="n"/>
      <c r="BC906" s="643" t="n"/>
      <c r="BG906" s="643" t="n"/>
    </row>
    <row r="907" s="1168" customFormat="1" ht="12.75" customHeight="1">
      <c r="F907" s="643" t="n"/>
      <c r="K907" s="643" t="n"/>
      <c r="O907" s="643" t="n"/>
      <c r="S907" s="643" t="n"/>
      <c r="W907" s="643" t="n"/>
      <c r="AA907" s="643" t="n"/>
      <c r="AE907" s="643" t="n"/>
      <c r="AI907" s="643" t="n"/>
      <c r="AM907" s="643" t="n"/>
      <c r="AQ907" s="643" t="n"/>
      <c r="AU907" s="643" t="n"/>
      <c r="AY907" s="643" t="n"/>
      <c r="BC907" s="643" t="n"/>
      <c r="BG907" s="643" t="n"/>
    </row>
    <row r="908" s="1168" customFormat="1" ht="12.75" customHeight="1">
      <c r="F908" s="643" t="n"/>
      <c r="K908" s="643" t="n"/>
      <c r="O908" s="643" t="n"/>
      <c r="S908" s="643" t="n"/>
      <c r="W908" s="643" t="n"/>
      <c r="AA908" s="643" t="n"/>
      <c r="AE908" s="643" t="n"/>
      <c r="AI908" s="643" t="n"/>
      <c r="AM908" s="643" t="n"/>
      <c r="AQ908" s="643" t="n"/>
      <c r="AU908" s="643" t="n"/>
      <c r="AY908" s="643" t="n"/>
      <c r="BC908" s="643" t="n"/>
      <c r="BG908" s="643" t="n"/>
    </row>
    <row r="909" s="1168" customFormat="1" ht="12.75" customHeight="1">
      <c r="F909" s="643" t="n"/>
      <c r="K909" s="643" t="n"/>
      <c r="O909" s="643" t="n"/>
      <c r="S909" s="643" t="n"/>
      <c r="W909" s="643" t="n"/>
      <c r="AA909" s="643" t="n"/>
      <c r="AE909" s="643" t="n"/>
      <c r="AI909" s="643" t="n"/>
      <c r="AM909" s="643" t="n"/>
      <c r="AQ909" s="643" t="n"/>
      <c r="AU909" s="643" t="n"/>
      <c r="AY909" s="643" t="n"/>
      <c r="BC909" s="643" t="n"/>
      <c r="BG909" s="643" t="n"/>
    </row>
    <row r="910" s="1168" customFormat="1" ht="12.75" customHeight="1">
      <c r="F910" s="643" t="n"/>
      <c r="K910" s="643" t="n"/>
      <c r="O910" s="643" t="n"/>
      <c r="S910" s="643" t="n"/>
      <c r="W910" s="643" t="n"/>
      <c r="AA910" s="643" t="n"/>
      <c r="AE910" s="643" t="n"/>
      <c r="AI910" s="643" t="n"/>
      <c r="AM910" s="643" t="n"/>
      <c r="AQ910" s="643" t="n"/>
      <c r="AU910" s="643" t="n"/>
      <c r="AY910" s="643" t="n"/>
      <c r="BC910" s="643" t="n"/>
      <c r="BG910" s="643" t="n"/>
    </row>
    <row r="911" s="1168" customFormat="1" ht="12.75" customHeight="1">
      <c r="F911" s="643" t="n"/>
      <c r="K911" s="643" t="n"/>
      <c r="O911" s="643" t="n"/>
      <c r="S911" s="643" t="n"/>
      <c r="W911" s="643" t="n"/>
      <c r="AA911" s="643" t="n"/>
      <c r="AE911" s="643" t="n"/>
      <c r="AI911" s="643" t="n"/>
      <c r="AM911" s="643" t="n"/>
      <c r="AQ911" s="643" t="n"/>
      <c r="AU911" s="643" t="n"/>
      <c r="AY911" s="643" t="n"/>
      <c r="BC911" s="643" t="n"/>
      <c r="BG911" s="643" t="n"/>
    </row>
    <row r="912" s="1168" customFormat="1" ht="12.75" customHeight="1">
      <c r="F912" s="643" t="n"/>
      <c r="K912" s="643" t="n"/>
      <c r="O912" s="643" t="n"/>
      <c r="S912" s="643" t="n"/>
      <c r="W912" s="643" t="n"/>
      <c r="AA912" s="643" t="n"/>
      <c r="AE912" s="643" t="n"/>
      <c r="AI912" s="643" t="n"/>
      <c r="AM912" s="643" t="n"/>
      <c r="AQ912" s="643" t="n"/>
      <c r="AU912" s="643" t="n"/>
      <c r="AY912" s="643" t="n"/>
      <c r="BC912" s="643" t="n"/>
      <c r="BG912" s="643" t="n"/>
    </row>
    <row r="913" s="1168" customFormat="1" ht="12.75" customHeight="1">
      <c r="F913" s="643" t="n"/>
      <c r="K913" s="643" t="n"/>
      <c r="O913" s="643" t="n"/>
      <c r="S913" s="643" t="n"/>
      <c r="W913" s="643" t="n"/>
      <c r="AA913" s="643" t="n"/>
      <c r="AE913" s="643" t="n"/>
      <c r="AI913" s="643" t="n"/>
      <c r="AM913" s="643" t="n"/>
      <c r="AQ913" s="643" t="n"/>
      <c r="AU913" s="643" t="n"/>
      <c r="AY913" s="643" t="n"/>
      <c r="BC913" s="643" t="n"/>
      <c r="BG913" s="643" t="n"/>
    </row>
    <row r="914" s="1168" customFormat="1" ht="12.75" customHeight="1">
      <c r="F914" s="643" t="n"/>
      <c r="K914" s="643" t="n"/>
      <c r="O914" s="643" t="n"/>
      <c r="S914" s="643" t="n"/>
      <c r="W914" s="643" t="n"/>
      <c r="AA914" s="643" t="n"/>
      <c r="AE914" s="643" t="n"/>
      <c r="AI914" s="643" t="n"/>
      <c r="AM914" s="643" t="n"/>
      <c r="AQ914" s="643" t="n"/>
      <c r="AU914" s="643" t="n"/>
      <c r="AY914" s="643" t="n"/>
      <c r="BC914" s="643" t="n"/>
      <c r="BG914" s="643" t="n"/>
    </row>
    <row r="915" s="1168" customFormat="1" ht="12.75" customHeight="1">
      <c r="F915" s="643" t="n"/>
      <c r="K915" s="643" t="n"/>
      <c r="O915" s="643" t="n"/>
      <c r="S915" s="643" t="n"/>
      <c r="W915" s="643" t="n"/>
      <c r="AA915" s="643" t="n"/>
      <c r="AE915" s="643" t="n"/>
      <c r="AI915" s="643" t="n"/>
      <c r="AM915" s="643" t="n"/>
      <c r="AQ915" s="643" t="n"/>
      <c r="AU915" s="643" t="n"/>
      <c r="AY915" s="643" t="n"/>
      <c r="BC915" s="643" t="n"/>
      <c r="BG915" s="643" t="n"/>
    </row>
    <row r="916" s="1168" customFormat="1" ht="12.75" customHeight="1">
      <c r="F916" s="643" t="n"/>
      <c r="K916" s="643" t="n"/>
      <c r="O916" s="643" t="n"/>
      <c r="S916" s="643" t="n"/>
      <c r="W916" s="643" t="n"/>
      <c r="AA916" s="643" t="n"/>
      <c r="AE916" s="643" t="n"/>
      <c r="AI916" s="643" t="n"/>
      <c r="AM916" s="643" t="n"/>
      <c r="AQ916" s="643" t="n"/>
      <c r="AU916" s="643" t="n"/>
      <c r="AY916" s="643" t="n"/>
      <c r="BC916" s="643" t="n"/>
      <c r="BG916" s="643" t="n"/>
    </row>
    <row r="917" s="1168" customFormat="1" ht="12.75" customHeight="1">
      <c r="F917" s="643" t="n"/>
      <c r="K917" s="643" t="n"/>
      <c r="O917" s="643" t="n"/>
      <c r="S917" s="643" t="n"/>
      <c r="W917" s="643" t="n"/>
      <c r="AA917" s="643" t="n"/>
      <c r="AE917" s="643" t="n"/>
      <c r="AI917" s="643" t="n"/>
      <c r="AM917" s="643" t="n"/>
      <c r="AQ917" s="643" t="n"/>
      <c r="AU917" s="643" t="n"/>
      <c r="AY917" s="643" t="n"/>
      <c r="BC917" s="643" t="n"/>
      <c r="BG917" s="643" t="n"/>
    </row>
    <row r="918" s="1168" customFormat="1" ht="12.75" customHeight="1">
      <c r="F918" s="643" t="n"/>
      <c r="K918" s="643" t="n"/>
      <c r="O918" s="643" t="n"/>
      <c r="S918" s="643" t="n"/>
      <c r="W918" s="643" t="n"/>
      <c r="AA918" s="643" t="n"/>
      <c r="AE918" s="643" t="n"/>
      <c r="AI918" s="643" t="n"/>
      <c r="AM918" s="643" t="n"/>
      <c r="AQ918" s="643" t="n"/>
      <c r="AU918" s="643" t="n"/>
      <c r="AY918" s="643" t="n"/>
      <c r="BC918" s="643" t="n"/>
      <c r="BG918" s="643" t="n"/>
    </row>
    <row r="919" s="1168" customFormat="1" ht="12.75" customHeight="1">
      <c r="F919" s="643" t="n"/>
      <c r="K919" s="643" t="n"/>
      <c r="O919" s="643" t="n"/>
      <c r="S919" s="643" t="n"/>
      <c r="W919" s="643" t="n"/>
      <c r="AA919" s="643" t="n"/>
      <c r="AE919" s="643" t="n"/>
      <c r="AI919" s="643" t="n"/>
      <c r="AM919" s="643" t="n"/>
      <c r="AQ919" s="643" t="n"/>
      <c r="AU919" s="643" t="n"/>
      <c r="AY919" s="643" t="n"/>
      <c r="BC919" s="643" t="n"/>
      <c r="BG919" s="643" t="n"/>
    </row>
    <row r="920" s="1168" customFormat="1" ht="12.75" customHeight="1">
      <c r="F920" s="643" t="n"/>
      <c r="K920" s="643" t="n"/>
      <c r="O920" s="643" t="n"/>
      <c r="S920" s="643" t="n"/>
      <c r="W920" s="643" t="n"/>
      <c r="AA920" s="643" t="n"/>
      <c r="AE920" s="643" t="n"/>
      <c r="AI920" s="643" t="n"/>
      <c r="AM920" s="643" t="n"/>
      <c r="AQ920" s="643" t="n"/>
      <c r="AU920" s="643" t="n"/>
      <c r="AY920" s="643" t="n"/>
      <c r="BC920" s="643" t="n"/>
      <c r="BG920" s="643" t="n"/>
    </row>
    <row r="921" s="1168" customFormat="1" ht="12.75" customHeight="1">
      <c r="F921" s="643" t="n"/>
      <c r="K921" s="643" t="n"/>
      <c r="O921" s="643" t="n"/>
      <c r="S921" s="643" t="n"/>
      <c r="W921" s="643" t="n"/>
      <c r="AA921" s="643" t="n"/>
      <c r="AE921" s="643" t="n"/>
      <c r="AI921" s="643" t="n"/>
      <c r="AM921" s="643" t="n"/>
      <c r="AQ921" s="643" t="n"/>
      <c r="AU921" s="643" t="n"/>
      <c r="AY921" s="643" t="n"/>
      <c r="BC921" s="643" t="n"/>
      <c r="BG921" s="643" t="n"/>
    </row>
    <row r="922" s="1168" customFormat="1" ht="12.75" customHeight="1">
      <c r="F922" s="643" t="n"/>
      <c r="K922" s="643" t="n"/>
      <c r="O922" s="643" t="n"/>
      <c r="S922" s="643" t="n"/>
      <c r="W922" s="643" t="n"/>
      <c r="AA922" s="643" t="n"/>
      <c r="AE922" s="643" t="n"/>
      <c r="AI922" s="643" t="n"/>
      <c r="AM922" s="643" t="n"/>
      <c r="AQ922" s="643" t="n"/>
      <c r="AU922" s="643" t="n"/>
      <c r="AY922" s="643" t="n"/>
      <c r="BC922" s="643" t="n"/>
      <c r="BG922" s="643" t="n"/>
    </row>
    <row r="923" s="1168" customFormat="1" ht="12.75" customHeight="1">
      <c r="F923" s="643" t="n"/>
      <c r="K923" s="643" t="n"/>
      <c r="O923" s="643" t="n"/>
      <c r="S923" s="643" t="n"/>
      <c r="W923" s="643" t="n"/>
      <c r="AA923" s="643" t="n"/>
      <c r="AE923" s="643" t="n"/>
      <c r="AI923" s="643" t="n"/>
      <c r="AM923" s="643" t="n"/>
      <c r="AQ923" s="643" t="n"/>
      <c r="AU923" s="643" t="n"/>
      <c r="AY923" s="643" t="n"/>
      <c r="BC923" s="643" t="n"/>
      <c r="BG923" s="643" t="n"/>
    </row>
    <row r="924" s="1168" customFormat="1" ht="12.75" customHeight="1">
      <c r="F924" s="643" t="n"/>
      <c r="K924" s="643" t="n"/>
      <c r="O924" s="643" t="n"/>
      <c r="S924" s="643" t="n"/>
      <c r="W924" s="643" t="n"/>
      <c r="AA924" s="643" t="n"/>
      <c r="AE924" s="643" t="n"/>
      <c r="AI924" s="643" t="n"/>
      <c r="AM924" s="643" t="n"/>
      <c r="AQ924" s="643" t="n"/>
      <c r="AU924" s="643" t="n"/>
      <c r="AY924" s="643" t="n"/>
      <c r="BC924" s="643" t="n"/>
      <c r="BG924" s="643" t="n"/>
    </row>
    <row r="925" s="1168" customFormat="1" ht="12.75" customHeight="1">
      <c r="F925" s="643" t="n"/>
      <c r="K925" s="643" t="n"/>
      <c r="O925" s="643" t="n"/>
      <c r="S925" s="643" t="n"/>
      <c r="W925" s="643" t="n"/>
      <c r="AA925" s="643" t="n"/>
      <c r="AE925" s="643" t="n"/>
      <c r="AI925" s="643" t="n"/>
      <c r="AM925" s="643" t="n"/>
      <c r="AQ925" s="643" t="n"/>
      <c r="AU925" s="643" t="n"/>
      <c r="AY925" s="643" t="n"/>
      <c r="BC925" s="643" t="n"/>
      <c r="BG925" s="643" t="n"/>
    </row>
    <row r="926" s="1168" customFormat="1" ht="12.75" customHeight="1">
      <c r="F926" s="643" t="n"/>
      <c r="K926" s="643" t="n"/>
      <c r="O926" s="643" t="n"/>
      <c r="S926" s="643" t="n"/>
      <c r="W926" s="643" t="n"/>
      <c r="AA926" s="643" t="n"/>
      <c r="AE926" s="643" t="n"/>
      <c r="AI926" s="643" t="n"/>
      <c r="AM926" s="643" t="n"/>
      <c r="AQ926" s="643" t="n"/>
      <c r="AU926" s="643" t="n"/>
      <c r="AY926" s="643" t="n"/>
      <c r="BC926" s="643" t="n"/>
      <c r="BG926" s="643" t="n"/>
    </row>
    <row r="927" s="1168" customFormat="1" ht="12.75" customHeight="1">
      <c r="F927" s="643" t="n"/>
      <c r="K927" s="643" t="n"/>
      <c r="O927" s="643" t="n"/>
      <c r="S927" s="643" t="n"/>
      <c r="W927" s="643" t="n"/>
      <c r="AA927" s="643" t="n"/>
      <c r="AE927" s="643" t="n"/>
      <c r="AI927" s="643" t="n"/>
      <c r="AM927" s="643" t="n"/>
      <c r="AQ927" s="643" t="n"/>
      <c r="AU927" s="643" t="n"/>
      <c r="AY927" s="643" t="n"/>
      <c r="BC927" s="643" t="n"/>
      <c r="BG927" s="643" t="n"/>
    </row>
    <row r="928" s="1168" customFormat="1" ht="12.75" customHeight="1">
      <c r="F928" s="643" t="n"/>
      <c r="K928" s="643" t="n"/>
      <c r="O928" s="643" t="n"/>
      <c r="S928" s="643" t="n"/>
      <c r="W928" s="643" t="n"/>
      <c r="AA928" s="643" t="n"/>
      <c r="AE928" s="643" t="n"/>
      <c r="AI928" s="643" t="n"/>
      <c r="AM928" s="643" t="n"/>
      <c r="AQ928" s="643" t="n"/>
      <c r="AU928" s="643" t="n"/>
      <c r="AY928" s="643" t="n"/>
      <c r="BC928" s="643" t="n"/>
      <c r="BG928" s="643" t="n"/>
    </row>
    <row r="929" s="1168" customFormat="1" ht="12.75" customHeight="1">
      <c r="F929" s="643" t="n"/>
      <c r="K929" s="643" t="n"/>
      <c r="O929" s="643" t="n"/>
      <c r="S929" s="643" t="n"/>
      <c r="W929" s="643" t="n"/>
      <c r="AA929" s="643" t="n"/>
      <c r="AE929" s="643" t="n"/>
      <c r="AI929" s="643" t="n"/>
      <c r="AM929" s="643" t="n"/>
      <c r="AQ929" s="643" t="n"/>
      <c r="AU929" s="643" t="n"/>
      <c r="AY929" s="643" t="n"/>
      <c r="BC929" s="643" t="n"/>
      <c r="BG929" s="643" t="n"/>
    </row>
    <row r="930" s="1168" customFormat="1" ht="12.75" customHeight="1">
      <c r="F930" s="643" t="n"/>
      <c r="K930" s="643" t="n"/>
      <c r="O930" s="643" t="n"/>
      <c r="S930" s="643" t="n"/>
      <c r="W930" s="643" t="n"/>
      <c r="AA930" s="643" t="n"/>
      <c r="AE930" s="643" t="n"/>
      <c r="AI930" s="643" t="n"/>
      <c r="AM930" s="643" t="n"/>
      <c r="AQ930" s="643" t="n"/>
      <c r="AU930" s="643" t="n"/>
      <c r="AY930" s="643" t="n"/>
      <c r="BC930" s="643" t="n"/>
      <c r="BG930" s="643" t="n"/>
    </row>
    <row r="931" s="1168" customFormat="1" ht="12.75" customHeight="1">
      <c r="F931" s="643" t="n"/>
      <c r="K931" s="643" t="n"/>
      <c r="O931" s="643" t="n"/>
      <c r="S931" s="643" t="n"/>
      <c r="W931" s="643" t="n"/>
      <c r="AA931" s="643" t="n"/>
      <c r="AE931" s="643" t="n"/>
      <c r="AI931" s="643" t="n"/>
      <c r="AM931" s="643" t="n"/>
      <c r="AQ931" s="643" t="n"/>
      <c r="AU931" s="643" t="n"/>
      <c r="AY931" s="643" t="n"/>
      <c r="BC931" s="643" t="n"/>
      <c r="BG931" s="643" t="n"/>
    </row>
    <row r="932" s="1168" customFormat="1" ht="12.75" customHeight="1">
      <c r="F932" s="643" t="n"/>
      <c r="K932" s="643" t="n"/>
      <c r="O932" s="643" t="n"/>
      <c r="S932" s="643" t="n"/>
      <c r="W932" s="643" t="n"/>
      <c r="AA932" s="643" t="n"/>
      <c r="AE932" s="643" t="n"/>
      <c r="AI932" s="643" t="n"/>
      <c r="AM932" s="643" t="n"/>
      <c r="AQ932" s="643" t="n"/>
      <c r="AU932" s="643" t="n"/>
      <c r="AY932" s="643" t="n"/>
      <c r="BC932" s="643" t="n"/>
      <c r="BG932" s="643" t="n"/>
    </row>
    <row r="933" s="1168" customFormat="1" ht="12.75" customHeight="1">
      <c r="F933" s="643" t="n"/>
      <c r="K933" s="643" t="n"/>
      <c r="O933" s="643" t="n"/>
      <c r="S933" s="643" t="n"/>
      <c r="W933" s="643" t="n"/>
      <c r="AA933" s="643" t="n"/>
      <c r="AE933" s="643" t="n"/>
      <c r="AI933" s="643" t="n"/>
      <c r="AM933" s="643" t="n"/>
      <c r="AQ933" s="643" t="n"/>
      <c r="AU933" s="643" t="n"/>
      <c r="AY933" s="643" t="n"/>
      <c r="BC933" s="643" t="n"/>
      <c r="BG933" s="643" t="n"/>
    </row>
    <row r="934" s="1168" customFormat="1" ht="12.75" customHeight="1">
      <c r="F934" s="643" t="n"/>
      <c r="K934" s="643" t="n"/>
      <c r="O934" s="643" t="n"/>
      <c r="S934" s="643" t="n"/>
      <c r="W934" s="643" t="n"/>
      <c r="AA934" s="643" t="n"/>
      <c r="AE934" s="643" t="n"/>
      <c r="AI934" s="643" t="n"/>
      <c r="AM934" s="643" t="n"/>
      <c r="AQ934" s="643" t="n"/>
      <c r="AU934" s="643" t="n"/>
      <c r="AY934" s="643" t="n"/>
      <c r="BC934" s="643" t="n"/>
      <c r="BG934" s="643" t="n"/>
    </row>
    <row r="935" s="1168" customFormat="1" ht="12.75" customHeight="1">
      <c r="F935" s="643" t="n"/>
      <c r="K935" s="643" t="n"/>
      <c r="O935" s="643" t="n"/>
      <c r="S935" s="643" t="n"/>
      <c r="W935" s="643" t="n"/>
      <c r="AA935" s="643" t="n"/>
      <c r="AE935" s="643" t="n"/>
      <c r="AI935" s="643" t="n"/>
      <c r="AM935" s="643" t="n"/>
      <c r="AQ935" s="643" t="n"/>
      <c r="AU935" s="643" t="n"/>
      <c r="AY935" s="643" t="n"/>
      <c r="BC935" s="643" t="n"/>
      <c r="BG935" s="643" t="n"/>
    </row>
    <row r="936" s="1168" customFormat="1" ht="12.75" customHeight="1">
      <c r="F936" s="643" t="n"/>
      <c r="K936" s="643" t="n"/>
      <c r="O936" s="643" t="n"/>
      <c r="S936" s="643" t="n"/>
      <c r="W936" s="643" t="n"/>
      <c r="AA936" s="643" t="n"/>
      <c r="AE936" s="643" t="n"/>
      <c r="AI936" s="643" t="n"/>
      <c r="AM936" s="643" t="n"/>
      <c r="AQ936" s="643" t="n"/>
      <c r="AU936" s="643" t="n"/>
      <c r="AY936" s="643" t="n"/>
      <c r="BC936" s="643" t="n"/>
      <c r="BG936" s="643" t="n"/>
    </row>
    <row r="937" s="1168" customFormat="1" ht="12.75" customHeight="1">
      <c r="F937" s="643" t="n"/>
      <c r="K937" s="643" t="n"/>
      <c r="O937" s="643" t="n"/>
      <c r="S937" s="643" t="n"/>
      <c r="W937" s="643" t="n"/>
      <c r="AA937" s="643" t="n"/>
      <c r="AE937" s="643" t="n"/>
      <c r="AI937" s="643" t="n"/>
      <c r="AM937" s="643" t="n"/>
      <c r="AQ937" s="643" t="n"/>
      <c r="AU937" s="643" t="n"/>
      <c r="AY937" s="643" t="n"/>
      <c r="BC937" s="643" t="n"/>
      <c r="BG937" s="643" t="n"/>
    </row>
    <row r="938" s="1168" customFormat="1" ht="12.75" customHeight="1">
      <c r="F938" s="643" t="n"/>
      <c r="K938" s="643" t="n"/>
      <c r="O938" s="643" t="n"/>
      <c r="S938" s="643" t="n"/>
      <c r="W938" s="643" t="n"/>
      <c r="AA938" s="643" t="n"/>
      <c r="AE938" s="643" t="n"/>
      <c r="AI938" s="643" t="n"/>
      <c r="AM938" s="643" t="n"/>
      <c r="AQ938" s="643" t="n"/>
      <c r="AU938" s="643" t="n"/>
      <c r="AY938" s="643" t="n"/>
      <c r="BC938" s="643" t="n"/>
      <c r="BG938" s="643" t="n"/>
    </row>
    <row r="939" s="1168" customFormat="1" ht="12.75" customHeight="1">
      <c r="F939" s="643" t="n"/>
      <c r="K939" s="643" t="n"/>
      <c r="O939" s="643" t="n"/>
      <c r="S939" s="643" t="n"/>
      <c r="W939" s="643" t="n"/>
      <c r="AA939" s="643" t="n"/>
      <c r="AE939" s="643" t="n"/>
      <c r="AI939" s="643" t="n"/>
      <c r="AM939" s="643" t="n"/>
      <c r="AQ939" s="643" t="n"/>
      <c r="AU939" s="643" t="n"/>
      <c r="AY939" s="643" t="n"/>
      <c r="BC939" s="643" t="n"/>
      <c r="BG939" s="643" t="n"/>
    </row>
    <row r="940" s="1168" customFormat="1" ht="12.75" customHeight="1">
      <c r="F940" s="643" t="n"/>
      <c r="K940" s="643" t="n"/>
      <c r="O940" s="643" t="n"/>
      <c r="S940" s="643" t="n"/>
      <c r="W940" s="643" t="n"/>
      <c r="AA940" s="643" t="n"/>
      <c r="AE940" s="643" t="n"/>
      <c r="AI940" s="643" t="n"/>
      <c r="AM940" s="643" t="n"/>
      <c r="AQ940" s="643" t="n"/>
      <c r="AU940" s="643" t="n"/>
      <c r="AY940" s="643" t="n"/>
      <c r="BC940" s="643" t="n"/>
      <c r="BG940" s="643" t="n"/>
    </row>
    <row r="941" s="1168" customFormat="1" ht="12.75" customHeight="1">
      <c r="F941" s="643" t="n"/>
      <c r="K941" s="643" t="n"/>
      <c r="O941" s="643" t="n"/>
      <c r="S941" s="643" t="n"/>
      <c r="W941" s="643" t="n"/>
      <c r="AA941" s="643" t="n"/>
      <c r="AE941" s="643" t="n"/>
      <c r="AI941" s="643" t="n"/>
      <c r="AM941" s="643" t="n"/>
      <c r="AQ941" s="643" t="n"/>
      <c r="AU941" s="643" t="n"/>
      <c r="AY941" s="643" t="n"/>
      <c r="BC941" s="643" t="n"/>
      <c r="BG941" s="643" t="n"/>
    </row>
    <row r="942" s="1168" customFormat="1" ht="12.75" customHeight="1">
      <c r="F942" s="643" t="n"/>
      <c r="K942" s="643" t="n"/>
      <c r="O942" s="643" t="n"/>
      <c r="S942" s="643" t="n"/>
      <c r="W942" s="643" t="n"/>
      <c r="AA942" s="643" t="n"/>
      <c r="AE942" s="643" t="n"/>
      <c r="AI942" s="643" t="n"/>
      <c r="AM942" s="643" t="n"/>
      <c r="AQ942" s="643" t="n"/>
      <c r="AU942" s="643" t="n"/>
      <c r="AY942" s="643" t="n"/>
      <c r="BC942" s="643" t="n"/>
      <c r="BG942" s="643" t="n"/>
    </row>
    <row r="943" s="1168" customFormat="1" ht="12.75" customHeight="1">
      <c r="F943" s="643" t="n"/>
      <c r="K943" s="643" t="n"/>
      <c r="O943" s="643" t="n"/>
      <c r="S943" s="643" t="n"/>
      <c r="W943" s="643" t="n"/>
      <c r="AA943" s="643" t="n"/>
      <c r="AE943" s="643" t="n"/>
      <c r="AI943" s="643" t="n"/>
      <c r="AM943" s="643" t="n"/>
      <c r="AQ943" s="643" t="n"/>
      <c r="AU943" s="643" t="n"/>
      <c r="AY943" s="643" t="n"/>
      <c r="BC943" s="643" t="n"/>
      <c r="BG943" s="643" t="n"/>
    </row>
    <row r="944" s="1168" customFormat="1" ht="12.75" customHeight="1">
      <c r="F944" s="643" t="n"/>
      <c r="K944" s="643" t="n"/>
      <c r="O944" s="643" t="n"/>
      <c r="S944" s="643" t="n"/>
      <c r="W944" s="643" t="n"/>
      <c r="AA944" s="643" t="n"/>
      <c r="AE944" s="643" t="n"/>
      <c r="AI944" s="643" t="n"/>
      <c r="AM944" s="643" t="n"/>
      <c r="AQ944" s="643" t="n"/>
      <c r="AU944" s="643" t="n"/>
      <c r="AY944" s="643" t="n"/>
      <c r="BC944" s="643" t="n"/>
      <c r="BG944" s="643" t="n"/>
    </row>
    <row r="945" s="1168" customFormat="1" ht="12.75" customHeight="1">
      <c r="F945" s="643" t="n"/>
      <c r="K945" s="643" t="n"/>
      <c r="O945" s="643" t="n"/>
      <c r="S945" s="643" t="n"/>
      <c r="W945" s="643" t="n"/>
      <c r="AA945" s="643" t="n"/>
      <c r="AE945" s="643" t="n"/>
      <c r="AI945" s="643" t="n"/>
      <c r="AM945" s="643" t="n"/>
      <c r="AQ945" s="643" t="n"/>
      <c r="AU945" s="643" t="n"/>
      <c r="AY945" s="643" t="n"/>
      <c r="BC945" s="643" t="n"/>
      <c r="BG945" s="643" t="n"/>
    </row>
    <row r="946" s="1168" customFormat="1" ht="12.75" customHeight="1">
      <c r="F946" s="643" t="n"/>
      <c r="K946" s="643" t="n"/>
      <c r="O946" s="643" t="n"/>
      <c r="S946" s="643" t="n"/>
      <c r="W946" s="643" t="n"/>
      <c r="AA946" s="643" t="n"/>
      <c r="AE946" s="643" t="n"/>
      <c r="AI946" s="643" t="n"/>
      <c r="AM946" s="643" t="n"/>
      <c r="AQ946" s="643" t="n"/>
      <c r="AU946" s="643" t="n"/>
      <c r="AY946" s="643" t="n"/>
      <c r="BC946" s="643" t="n"/>
      <c r="BG946" s="643" t="n"/>
    </row>
    <row r="947" s="1168" customFormat="1" ht="12.75" customHeight="1">
      <c r="F947" s="643" t="n"/>
      <c r="K947" s="643" t="n"/>
      <c r="O947" s="643" t="n"/>
      <c r="S947" s="643" t="n"/>
      <c r="W947" s="643" t="n"/>
      <c r="AA947" s="643" t="n"/>
      <c r="AE947" s="643" t="n"/>
      <c r="AI947" s="643" t="n"/>
      <c r="AM947" s="643" t="n"/>
      <c r="AQ947" s="643" t="n"/>
      <c r="AU947" s="643" t="n"/>
      <c r="AY947" s="643" t="n"/>
      <c r="BC947" s="643" t="n"/>
      <c r="BG947" s="643" t="n"/>
    </row>
    <row r="948" s="1168" customFormat="1" ht="12.75" customHeight="1">
      <c r="F948" s="643" t="n"/>
      <c r="K948" s="643" t="n"/>
      <c r="O948" s="643" t="n"/>
      <c r="S948" s="643" t="n"/>
      <c r="W948" s="643" t="n"/>
      <c r="AA948" s="643" t="n"/>
      <c r="AE948" s="643" t="n"/>
      <c r="AI948" s="643" t="n"/>
      <c r="AM948" s="643" t="n"/>
      <c r="AQ948" s="643" t="n"/>
      <c r="AU948" s="643" t="n"/>
      <c r="AY948" s="643" t="n"/>
      <c r="BC948" s="643" t="n"/>
      <c r="BG948" s="643" t="n"/>
    </row>
    <row r="949" s="1168" customFormat="1" ht="12.75" customHeight="1">
      <c r="F949" s="643" t="n"/>
      <c r="K949" s="643" t="n"/>
      <c r="O949" s="643" t="n"/>
      <c r="S949" s="643" t="n"/>
      <c r="W949" s="643" t="n"/>
      <c r="AA949" s="643" t="n"/>
      <c r="AE949" s="643" t="n"/>
      <c r="AI949" s="643" t="n"/>
      <c r="AM949" s="643" t="n"/>
      <c r="AQ949" s="643" t="n"/>
      <c r="AU949" s="643" t="n"/>
      <c r="AY949" s="643" t="n"/>
      <c r="BC949" s="643" t="n"/>
      <c r="BG949" s="643" t="n"/>
    </row>
    <row r="950" s="1168" customFormat="1" ht="12.75" customHeight="1">
      <c r="F950" s="643" t="n"/>
      <c r="K950" s="643" t="n"/>
      <c r="O950" s="643" t="n"/>
      <c r="S950" s="643" t="n"/>
      <c r="W950" s="643" t="n"/>
      <c r="AA950" s="643" t="n"/>
      <c r="AE950" s="643" t="n"/>
      <c r="AI950" s="643" t="n"/>
      <c r="AM950" s="643" t="n"/>
      <c r="AQ950" s="643" t="n"/>
      <c r="AU950" s="643" t="n"/>
      <c r="AY950" s="643" t="n"/>
      <c r="BC950" s="643" t="n"/>
      <c r="BG950" s="643" t="n"/>
    </row>
    <row r="951" s="1168" customFormat="1" ht="12.75" customHeight="1">
      <c r="F951" s="643" t="n"/>
      <c r="K951" s="643" t="n"/>
      <c r="O951" s="643" t="n"/>
      <c r="S951" s="643" t="n"/>
      <c r="W951" s="643" t="n"/>
      <c r="AA951" s="643" t="n"/>
      <c r="AE951" s="643" t="n"/>
      <c r="AI951" s="643" t="n"/>
      <c r="AM951" s="643" t="n"/>
      <c r="AQ951" s="643" t="n"/>
      <c r="AU951" s="643" t="n"/>
      <c r="AY951" s="643" t="n"/>
      <c r="BC951" s="643" t="n"/>
      <c r="BG951" s="643" t="n"/>
    </row>
    <row r="952" s="1168" customFormat="1" ht="12.75" customHeight="1">
      <c r="F952" s="643" t="n"/>
      <c r="K952" s="643" t="n"/>
      <c r="O952" s="643" t="n"/>
      <c r="S952" s="643" t="n"/>
      <c r="W952" s="643" t="n"/>
      <c r="AA952" s="643" t="n"/>
      <c r="AE952" s="643" t="n"/>
      <c r="AI952" s="643" t="n"/>
      <c r="AM952" s="643" t="n"/>
      <c r="AQ952" s="643" t="n"/>
      <c r="AU952" s="643" t="n"/>
      <c r="AY952" s="643" t="n"/>
      <c r="BC952" s="643" t="n"/>
      <c r="BG952" s="643" t="n"/>
    </row>
    <row r="953" s="1168" customFormat="1" ht="12.75" customHeight="1">
      <c r="F953" s="643" t="n"/>
      <c r="K953" s="643" t="n"/>
      <c r="O953" s="643" t="n"/>
      <c r="S953" s="643" t="n"/>
      <c r="W953" s="643" t="n"/>
      <c r="AA953" s="643" t="n"/>
      <c r="AE953" s="643" t="n"/>
      <c r="AI953" s="643" t="n"/>
      <c r="AM953" s="643" t="n"/>
      <c r="AQ953" s="643" t="n"/>
      <c r="AU953" s="643" t="n"/>
      <c r="AY953" s="643" t="n"/>
      <c r="BC953" s="643" t="n"/>
      <c r="BG953" s="643" t="n"/>
    </row>
    <row r="954" s="1168" customFormat="1" ht="12.75" customHeight="1">
      <c r="F954" s="643" t="n"/>
      <c r="K954" s="643" t="n"/>
      <c r="O954" s="643" t="n"/>
      <c r="S954" s="643" t="n"/>
      <c r="W954" s="643" t="n"/>
      <c r="AA954" s="643" t="n"/>
      <c r="AE954" s="643" t="n"/>
      <c r="AI954" s="643" t="n"/>
      <c r="AM954" s="643" t="n"/>
      <c r="AQ954" s="643" t="n"/>
      <c r="AU954" s="643" t="n"/>
      <c r="AY954" s="643" t="n"/>
      <c r="BC954" s="643" t="n"/>
      <c r="BG954" s="643" t="n"/>
    </row>
    <row r="955" s="1168" customFormat="1" ht="12.75" customHeight="1">
      <c r="F955" s="643" t="n"/>
      <c r="K955" s="643" t="n"/>
      <c r="O955" s="643" t="n"/>
      <c r="S955" s="643" t="n"/>
      <c r="W955" s="643" t="n"/>
      <c r="AA955" s="643" t="n"/>
      <c r="AE955" s="643" t="n"/>
      <c r="AI955" s="643" t="n"/>
      <c r="AM955" s="643" t="n"/>
      <c r="AQ955" s="643" t="n"/>
      <c r="AU955" s="643" t="n"/>
      <c r="AY955" s="643" t="n"/>
      <c r="BC955" s="643" t="n"/>
      <c r="BG955" s="643" t="n"/>
    </row>
    <row r="956" s="1168" customFormat="1" ht="12.75" customHeight="1">
      <c r="F956" s="643" t="n"/>
      <c r="K956" s="643" t="n"/>
      <c r="O956" s="643" t="n"/>
      <c r="S956" s="643" t="n"/>
      <c r="W956" s="643" t="n"/>
      <c r="AA956" s="643" t="n"/>
      <c r="AE956" s="643" t="n"/>
      <c r="AI956" s="643" t="n"/>
      <c r="AM956" s="643" t="n"/>
      <c r="AQ956" s="643" t="n"/>
      <c r="AU956" s="643" t="n"/>
      <c r="AY956" s="643" t="n"/>
      <c r="BC956" s="643" t="n"/>
      <c r="BG956" s="643" t="n"/>
    </row>
    <row r="957" s="1168" customFormat="1" ht="12.75" customHeight="1">
      <c r="F957" s="643" t="n"/>
      <c r="K957" s="643" t="n"/>
      <c r="O957" s="643" t="n"/>
      <c r="S957" s="643" t="n"/>
      <c r="W957" s="643" t="n"/>
      <c r="AA957" s="643" t="n"/>
      <c r="AE957" s="643" t="n"/>
      <c r="AI957" s="643" t="n"/>
      <c r="AM957" s="643" t="n"/>
      <c r="AQ957" s="643" t="n"/>
      <c r="AU957" s="643" t="n"/>
      <c r="AY957" s="643" t="n"/>
      <c r="BC957" s="643" t="n"/>
      <c r="BG957" s="643" t="n"/>
    </row>
    <row r="958" s="1168" customFormat="1" ht="12.75" customHeight="1">
      <c r="F958" s="643" t="n"/>
      <c r="K958" s="643" t="n"/>
      <c r="O958" s="643" t="n"/>
      <c r="S958" s="643" t="n"/>
      <c r="W958" s="643" t="n"/>
      <c r="AA958" s="643" t="n"/>
      <c r="AE958" s="643" t="n"/>
      <c r="AI958" s="643" t="n"/>
      <c r="AM958" s="643" t="n"/>
      <c r="AQ958" s="643" t="n"/>
      <c r="AU958" s="643" t="n"/>
      <c r="AY958" s="643" t="n"/>
      <c r="BC958" s="643" t="n"/>
      <c r="BG958" s="643" t="n"/>
    </row>
    <row r="959" s="1168" customFormat="1" ht="12.75" customHeight="1">
      <c r="F959" s="643" t="n"/>
      <c r="K959" s="643" t="n"/>
      <c r="O959" s="643" t="n"/>
      <c r="S959" s="643" t="n"/>
      <c r="W959" s="643" t="n"/>
      <c r="AA959" s="643" t="n"/>
      <c r="AE959" s="643" t="n"/>
      <c r="AI959" s="643" t="n"/>
      <c r="AM959" s="643" t="n"/>
      <c r="AQ959" s="643" t="n"/>
      <c r="AU959" s="643" t="n"/>
      <c r="AY959" s="643" t="n"/>
      <c r="BC959" s="643" t="n"/>
      <c r="BG959" s="643" t="n"/>
    </row>
    <row r="960" s="1168" customFormat="1" ht="12.75" customHeight="1">
      <c r="F960" s="643" t="n"/>
      <c r="K960" s="643" t="n"/>
      <c r="O960" s="643" t="n"/>
      <c r="S960" s="643" t="n"/>
      <c r="W960" s="643" t="n"/>
      <c r="AA960" s="643" t="n"/>
      <c r="AE960" s="643" t="n"/>
      <c r="AI960" s="643" t="n"/>
      <c r="AM960" s="643" t="n"/>
      <c r="AQ960" s="643" t="n"/>
      <c r="AU960" s="643" t="n"/>
      <c r="AY960" s="643" t="n"/>
      <c r="BC960" s="643" t="n"/>
      <c r="BG960" s="643" t="n"/>
    </row>
    <row r="961" s="1168" customFormat="1" ht="12.75" customHeight="1">
      <c r="F961" s="643" t="n"/>
      <c r="K961" s="643" t="n"/>
      <c r="O961" s="643" t="n"/>
      <c r="S961" s="643" t="n"/>
      <c r="W961" s="643" t="n"/>
      <c r="AA961" s="643" t="n"/>
      <c r="AE961" s="643" t="n"/>
      <c r="AI961" s="643" t="n"/>
      <c r="AM961" s="643" t="n"/>
      <c r="AQ961" s="643" t="n"/>
      <c r="AU961" s="643" t="n"/>
      <c r="AY961" s="643" t="n"/>
      <c r="BC961" s="643" t="n"/>
      <c r="BG961" s="643" t="n"/>
    </row>
    <row r="962" s="1168" customFormat="1" ht="12.75" customHeight="1">
      <c r="F962" s="643" t="n"/>
      <c r="K962" s="643" t="n"/>
      <c r="O962" s="643" t="n"/>
      <c r="S962" s="643" t="n"/>
      <c r="W962" s="643" t="n"/>
      <c r="AA962" s="643" t="n"/>
      <c r="AE962" s="643" t="n"/>
      <c r="AI962" s="643" t="n"/>
      <c r="AM962" s="643" t="n"/>
      <c r="AQ962" s="643" t="n"/>
      <c r="AU962" s="643" t="n"/>
      <c r="AY962" s="643" t="n"/>
      <c r="BC962" s="643" t="n"/>
      <c r="BG962" s="643" t="n"/>
    </row>
    <row r="963" s="1168" customFormat="1" ht="12.75" customHeight="1">
      <c r="F963" s="643" t="n"/>
      <c r="K963" s="643" t="n"/>
      <c r="O963" s="643" t="n"/>
      <c r="S963" s="643" t="n"/>
      <c r="W963" s="643" t="n"/>
      <c r="AA963" s="643" t="n"/>
      <c r="AE963" s="643" t="n"/>
      <c r="AI963" s="643" t="n"/>
      <c r="AM963" s="643" t="n"/>
      <c r="AQ963" s="643" t="n"/>
      <c r="AU963" s="643" t="n"/>
      <c r="AY963" s="643" t="n"/>
      <c r="BC963" s="643" t="n"/>
      <c r="BG963" s="643" t="n"/>
    </row>
    <row r="964" s="1168" customFormat="1" ht="12.75" customHeight="1">
      <c r="F964" s="643" t="n"/>
      <c r="K964" s="643" t="n"/>
      <c r="O964" s="643" t="n"/>
      <c r="S964" s="643" t="n"/>
      <c r="W964" s="643" t="n"/>
      <c r="AA964" s="643" t="n"/>
      <c r="AE964" s="643" t="n"/>
      <c r="AI964" s="643" t="n"/>
      <c r="AM964" s="643" t="n"/>
      <c r="AQ964" s="643" t="n"/>
      <c r="AU964" s="643" t="n"/>
      <c r="AY964" s="643" t="n"/>
      <c r="BC964" s="643" t="n"/>
      <c r="BG964" s="643" t="n"/>
    </row>
    <row r="965" s="1168" customFormat="1" ht="12.75" customHeight="1">
      <c r="F965" s="643" t="n"/>
      <c r="K965" s="643" t="n"/>
      <c r="O965" s="643" t="n"/>
      <c r="S965" s="643" t="n"/>
      <c r="W965" s="643" t="n"/>
      <c r="AA965" s="643" t="n"/>
      <c r="AE965" s="643" t="n"/>
      <c r="AI965" s="643" t="n"/>
      <c r="AM965" s="643" t="n"/>
      <c r="AQ965" s="643" t="n"/>
      <c r="AU965" s="643" t="n"/>
      <c r="AY965" s="643" t="n"/>
      <c r="BC965" s="643" t="n"/>
      <c r="BG965" s="643" t="n"/>
    </row>
    <row r="966" s="1168" customFormat="1" ht="12.75" customHeight="1">
      <c r="F966" s="643" t="n"/>
      <c r="K966" s="643" t="n"/>
      <c r="O966" s="643" t="n"/>
      <c r="S966" s="643" t="n"/>
      <c r="W966" s="643" t="n"/>
      <c r="AA966" s="643" t="n"/>
      <c r="AE966" s="643" t="n"/>
      <c r="AI966" s="643" t="n"/>
      <c r="AM966" s="643" t="n"/>
      <c r="AQ966" s="643" t="n"/>
      <c r="AU966" s="643" t="n"/>
      <c r="AY966" s="643" t="n"/>
      <c r="BC966" s="643" t="n"/>
      <c r="BG966" s="643" t="n"/>
    </row>
    <row r="967" s="1168" customFormat="1" ht="12.75" customHeight="1">
      <c r="F967" s="643" t="n"/>
      <c r="K967" s="643" t="n"/>
      <c r="O967" s="643" t="n"/>
      <c r="S967" s="643" t="n"/>
      <c r="W967" s="643" t="n"/>
      <c r="AA967" s="643" t="n"/>
      <c r="AE967" s="643" t="n"/>
      <c r="AI967" s="643" t="n"/>
      <c r="AM967" s="643" t="n"/>
      <c r="AQ967" s="643" t="n"/>
      <c r="AU967" s="643" t="n"/>
      <c r="AY967" s="643" t="n"/>
      <c r="BC967" s="643" t="n"/>
      <c r="BG967" s="643" t="n"/>
    </row>
    <row r="968" s="1168" customFormat="1" ht="12.75" customHeight="1">
      <c r="F968" s="643" t="n"/>
      <c r="K968" s="643" t="n"/>
      <c r="O968" s="643" t="n"/>
      <c r="S968" s="643" t="n"/>
      <c r="W968" s="643" t="n"/>
      <c r="AA968" s="643" t="n"/>
      <c r="AE968" s="643" t="n"/>
      <c r="AI968" s="643" t="n"/>
      <c r="AM968" s="643" t="n"/>
      <c r="AQ968" s="643" t="n"/>
      <c r="AU968" s="643" t="n"/>
      <c r="AY968" s="643" t="n"/>
      <c r="BC968" s="643" t="n"/>
      <c r="BG968" s="643" t="n"/>
    </row>
    <row r="969" s="1168" customFormat="1" ht="12.75" customHeight="1">
      <c r="F969" s="643" t="n"/>
      <c r="K969" s="643" t="n"/>
      <c r="O969" s="643" t="n"/>
      <c r="S969" s="643" t="n"/>
      <c r="W969" s="643" t="n"/>
      <c r="AA969" s="643" t="n"/>
      <c r="AE969" s="643" t="n"/>
      <c r="AI969" s="643" t="n"/>
      <c r="AM969" s="643" t="n"/>
      <c r="AQ969" s="643" t="n"/>
      <c r="AU969" s="643" t="n"/>
      <c r="AY969" s="643" t="n"/>
      <c r="BC969" s="643" t="n"/>
      <c r="BG969" s="643" t="n"/>
    </row>
    <row r="970" s="1168" customFormat="1" ht="12.75" customHeight="1">
      <c r="F970" s="643" t="n"/>
      <c r="K970" s="643" t="n"/>
      <c r="O970" s="643" t="n"/>
      <c r="S970" s="643" t="n"/>
      <c r="W970" s="643" t="n"/>
      <c r="AA970" s="643" t="n"/>
      <c r="AE970" s="643" t="n"/>
      <c r="AI970" s="643" t="n"/>
      <c r="AM970" s="643" t="n"/>
      <c r="AQ970" s="643" t="n"/>
      <c r="AU970" s="643" t="n"/>
      <c r="AY970" s="643" t="n"/>
      <c r="BC970" s="643" t="n"/>
      <c r="BG970" s="643" t="n"/>
    </row>
    <row r="971" s="1168" customFormat="1" ht="12.75" customHeight="1">
      <c r="F971" s="643" t="n"/>
      <c r="K971" s="643" t="n"/>
      <c r="O971" s="643" t="n"/>
      <c r="S971" s="643" t="n"/>
      <c r="W971" s="643" t="n"/>
      <c r="AA971" s="643" t="n"/>
      <c r="AE971" s="643" t="n"/>
      <c r="AI971" s="643" t="n"/>
      <c r="AM971" s="643" t="n"/>
      <c r="AQ971" s="643" t="n"/>
      <c r="AU971" s="643" t="n"/>
      <c r="AY971" s="643" t="n"/>
      <c r="BC971" s="643" t="n"/>
      <c r="BG971" s="643" t="n"/>
    </row>
    <row r="972" s="1168" customFormat="1" ht="12.75" customHeight="1">
      <c r="F972" s="643" t="n"/>
      <c r="K972" s="643" t="n"/>
      <c r="O972" s="643" t="n"/>
      <c r="S972" s="643" t="n"/>
      <c r="W972" s="643" t="n"/>
      <c r="AA972" s="643" t="n"/>
      <c r="AE972" s="643" t="n"/>
      <c r="AI972" s="643" t="n"/>
      <c r="AM972" s="643" t="n"/>
      <c r="AQ972" s="643" t="n"/>
      <c r="AU972" s="643" t="n"/>
      <c r="AY972" s="643" t="n"/>
      <c r="BC972" s="643" t="n"/>
      <c r="BG972" s="643" t="n"/>
    </row>
    <row r="973" s="1168" customFormat="1" ht="12.75" customHeight="1">
      <c r="F973" s="643" t="n"/>
      <c r="K973" s="643" t="n"/>
      <c r="O973" s="643" t="n"/>
      <c r="S973" s="643" t="n"/>
      <c r="W973" s="643" t="n"/>
      <c r="AA973" s="643" t="n"/>
      <c r="AE973" s="643" t="n"/>
      <c r="AI973" s="643" t="n"/>
      <c r="AM973" s="643" t="n"/>
      <c r="AQ973" s="643" t="n"/>
      <c r="AU973" s="643" t="n"/>
      <c r="AY973" s="643" t="n"/>
      <c r="BC973" s="643" t="n"/>
      <c r="BG973" s="643" t="n"/>
    </row>
    <row r="974" s="1168" customFormat="1" ht="12.75" customHeight="1">
      <c r="F974" s="643" t="n"/>
      <c r="K974" s="643" t="n"/>
      <c r="O974" s="643" t="n"/>
      <c r="S974" s="643" t="n"/>
      <c r="W974" s="643" t="n"/>
      <c r="AA974" s="643" t="n"/>
      <c r="AE974" s="643" t="n"/>
      <c r="AI974" s="643" t="n"/>
      <c r="AM974" s="643" t="n"/>
      <c r="AQ974" s="643" t="n"/>
      <c r="AU974" s="643" t="n"/>
      <c r="AY974" s="643" t="n"/>
      <c r="BC974" s="643" t="n"/>
      <c r="BG974" s="643" t="n"/>
    </row>
    <row r="975" s="1168" customFormat="1" ht="12.75" customHeight="1">
      <c r="F975" s="643" t="n"/>
      <c r="K975" s="643" t="n"/>
      <c r="O975" s="643" t="n"/>
      <c r="S975" s="643" t="n"/>
      <c r="W975" s="643" t="n"/>
      <c r="AA975" s="643" t="n"/>
      <c r="AE975" s="643" t="n"/>
      <c r="AI975" s="643" t="n"/>
      <c r="AM975" s="643" t="n"/>
      <c r="AQ975" s="643" t="n"/>
      <c r="AU975" s="643" t="n"/>
      <c r="AY975" s="643" t="n"/>
      <c r="BC975" s="643" t="n"/>
      <c r="BG975" s="643" t="n"/>
    </row>
    <row r="976" s="1168" customFormat="1" ht="12.75" customHeight="1">
      <c r="F976" s="643" t="n"/>
      <c r="K976" s="643" t="n"/>
      <c r="O976" s="643" t="n"/>
      <c r="S976" s="643" t="n"/>
      <c r="W976" s="643" t="n"/>
      <c r="AA976" s="643" t="n"/>
      <c r="AE976" s="643" t="n"/>
      <c r="AI976" s="643" t="n"/>
      <c r="AM976" s="643" t="n"/>
      <c r="AQ976" s="643" t="n"/>
      <c r="AU976" s="643" t="n"/>
      <c r="AY976" s="643" t="n"/>
      <c r="BC976" s="643" t="n"/>
      <c r="BG976" s="643" t="n"/>
    </row>
    <row r="977" s="1168" customFormat="1" ht="12.75" customHeight="1">
      <c r="F977" s="643" t="n"/>
      <c r="K977" s="643" t="n"/>
      <c r="O977" s="643" t="n"/>
      <c r="S977" s="643" t="n"/>
      <c r="W977" s="643" t="n"/>
      <c r="AA977" s="643" t="n"/>
      <c r="AE977" s="643" t="n"/>
      <c r="AI977" s="643" t="n"/>
      <c r="AM977" s="643" t="n"/>
      <c r="AQ977" s="643" t="n"/>
      <c r="AU977" s="643" t="n"/>
      <c r="AY977" s="643" t="n"/>
      <c r="BC977" s="643" t="n"/>
      <c r="BG977" s="643" t="n"/>
    </row>
    <row r="978" s="1168" customFormat="1" ht="12.75" customHeight="1">
      <c r="F978" s="643" t="n"/>
      <c r="K978" s="643" t="n"/>
      <c r="O978" s="643" t="n"/>
      <c r="S978" s="643" t="n"/>
      <c r="W978" s="643" t="n"/>
      <c r="AA978" s="643" t="n"/>
      <c r="AE978" s="643" t="n"/>
      <c r="AI978" s="643" t="n"/>
      <c r="AM978" s="643" t="n"/>
      <c r="AQ978" s="643" t="n"/>
      <c r="AU978" s="643" t="n"/>
      <c r="AY978" s="643" t="n"/>
      <c r="BC978" s="643" t="n"/>
      <c r="BG978" s="643" t="n"/>
    </row>
    <row r="979" s="1168" customFormat="1" ht="12.75" customHeight="1">
      <c r="F979" s="643" t="n"/>
      <c r="K979" s="643" t="n"/>
      <c r="O979" s="643" t="n"/>
      <c r="S979" s="643" t="n"/>
      <c r="W979" s="643" t="n"/>
      <c r="AA979" s="643" t="n"/>
      <c r="AE979" s="643" t="n"/>
      <c r="AI979" s="643" t="n"/>
      <c r="AM979" s="643" t="n"/>
      <c r="AQ979" s="643" t="n"/>
      <c r="AU979" s="643" t="n"/>
      <c r="AY979" s="643" t="n"/>
      <c r="BC979" s="643" t="n"/>
      <c r="BG979" s="643" t="n"/>
    </row>
    <row r="980" s="1168" customFormat="1" ht="12.75" customHeight="1">
      <c r="F980" s="643" t="n"/>
      <c r="K980" s="643" t="n"/>
      <c r="O980" s="643" t="n"/>
      <c r="S980" s="643" t="n"/>
      <c r="W980" s="643" t="n"/>
      <c r="AA980" s="643" t="n"/>
      <c r="AE980" s="643" t="n"/>
      <c r="AI980" s="643" t="n"/>
      <c r="AM980" s="643" t="n"/>
      <c r="AQ980" s="643" t="n"/>
      <c r="AU980" s="643" t="n"/>
      <c r="AY980" s="643" t="n"/>
      <c r="BC980" s="643" t="n"/>
      <c r="BG980" s="643" t="n"/>
    </row>
    <row r="981" s="1168" customFormat="1" ht="12.75" customHeight="1">
      <c r="F981" s="643" t="n"/>
      <c r="K981" s="643" t="n"/>
      <c r="O981" s="643" t="n"/>
      <c r="S981" s="643" t="n"/>
      <c r="W981" s="643" t="n"/>
      <c r="AA981" s="643" t="n"/>
      <c r="AE981" s="643" t="n"/>
      <c r="AI981" s="643" t="n"/>
      <c r="AM981" s="643" t="n"/>
      <c r="AQ981" s="643" t="n"/>
      <c r="AU981" s="643" t="n"/>
      <c r="AY981" s="643" t="n"/>
      <c r="BC981" s="643" t="n"/>
      <c r="BG981" s="643" t="n"/>
    </row>
    <row r="982" s="1168" customFormat="1" ht="12.75" customHeight="1">
      <c r="F982" s="643" t="n"/>
      <c r="K982" s="643" t="n"/>
      <c r="O982" s="643" t="n"/>
      <c r="S982" s="643" t="n"/>
      <c r="W982" s="643" t="n"/>
      <c r="AA982" s="643" t="n"/>
      <c r="AE982" s="643" t="n"/>
      <c r="AI982" s="643" t="n"/>
      <c r="AM982" s="643" t="n"/>
      <c r="AQ982" s="643" t="n"/>
      <c r="AU982" s="643" t="n"/>
      <c r="AY982" s="643" t="n"/>
      <c r="BC982" s="643" t="n"/>
      <c r="BG982" s="643" t="n"/>
    </row>
    <row r="983" s="1168" customFormat="1" ht="12.75" customHeight="1">
      <c r="F983" s="643" t="n"/>
      <c r="K983" s="643" t="n"/>
      <c r="O983" s="643" t="n"/>
      <c r="S983" s="643" t="n"/>
      <c r="W983" s="643" t="n"/>
      <c r="AA983" s="643" t="n"/>
      <c r="AE983" s="643" t="n"/>
      <c r="AI983" s="643" t="n"/>
      <c r="AM983" s="643" t="n"/>
      <c r="AQ983" s="643" t="n"/>
      <c r="AU983" s="643" t="n"/>
      <c r="AY983" s="643" t="n"/>
      <c r="BC983" s="643" t="n"/>
      <c r="BG983" s="643" t="n"/>
    </row>
    <row r="984" s="1168" customFormat="1" ht="12.75" customHeight="1">
      <c r="F984" s="643" t="n"/>
      <c r="K984" s="643" t="n"/>
      <c r="O984" s="643" t="n"/>
      <c r="S984" s="643" t="n"/>
      <c r="W984" s="643" t="n"/>
      <c r="AA984" s="643" t="n"/>
      <c r="AE984" s="643" t="n"/>
      <c r="AI984" s="643" t="n"/>
      <c r="AM984" s="643" t="n"/>
      <c r="AQ984" s="643" t="n"/>
      <c r="AU984" s="643" t="n"/>
      <c r="AY984" s="643" t="n"/>
      <c r="BC984" s="643" t="n"/>
      <c r="BG984" s="643" t="n"/>
    </row>
    <row r="985" s="1168" customFormat="1" ht="12.75" customHeight="1">
      <c r="F985" s="643" t="n"/>
      <c r="K985" s="643" t="n"/>
      <c r="O985" s="643" t="n"/>
      <c r="S985" s="643" t="n"/>
      <c r="W985" s="643" t="n"/>
      <c r="AA985" s="643" t="n"/>
      <c r="AE985" s="643" t="n"/>
      <c r="AI985" s="643" t="n"/>
      <c r="AM985" s="643" t="n"/>
      <c r="AQ985" s="643" t="n"/>
      <c r="AU985" s="643" t="n"/>
      <c r="AY985" s="643" t="n"/>
      <c r="BC985" s="643" t="n"/>
      <c r="BG985" s="643" t="n"/>
    </row>
    <row r="986" s="1168" customFormat="1" ht="12.75" customHeight="1">
      <c r="F986" s="643" t="n"/>
      <c r="K986" s="643" t="n"/>
      <c r="O986" s="643" t="n"/>
      <c r="S986" s="643" t="n"/>
      <c r="W986" s="643" t="n"/>
      <c r="AA986" s="643" t="n"/>
      <c r="AE986" s="643" t="n"/>
      <c r="AI986" s="643" t="n"/>
      <c r="AM986" s="643" t="n"/>
      <c r="AQ986" s="643" t="n"/>
      <c r="AU986" s="643" t="n"/>
      <c r="AY986" s="643" t="n"/>
      <c r="BC986" s="643" t="n"/>
      <c r="BG986" s="643" t="n"/>
    </row>
    <row r="987" s="1168" customFormat="1" ht="12.75" customHeight="1">
      <c r="F987" s="643" t="n"/>
      <c r="K987" s="643" t="n"/>
      <c r="O987" s="643" t="n"/>
      <c r="S987" s="643" t="n"/>
      <c r="W987" s="643" t="n"/>
      <c r="AA987" s="643" t="n"/>
      <c r="AE987" s="643" t="n"/>
      <c r="AI987" s="643" t="n"/>
      <c r="AM987" s="643" t="n"/>
      <c r="AQ987" s="643" t="n"/>
      <c r="AU987" s="643" t="n"/>
      <c r="AY987" s="643" t="n"/>
      <c r="BC987" s="643" t="n"/>
      <c r="BG987" s="643" t="n"/>
    </row>
    <row r="988" s="1168" customFormat="1" ht="12.75" customHeight="1">
      <c r="F988" s="643" t="n"/>
      <c r="K988" s="643" t="n"/>
      <c r="O988" s="643" t="n"/>
      <c r="S988" s="643" t="n"/>
      <c r="W988" s="643" t="n"/>
      <c r="AA988" s="643" t="n"/>
      <c r="AE988" s="643" t="n"/>
      <c r="AI988" s="643" t="n"/>
      <c r="AM988" s="643" t="n"/>
      <c r="AQ988" s="643" t="n"/>
      <c r="AU988" s="643" t="n"/>
      <c r="AY988" s="643" t="n"/>
      <c r="BC988" s="643" t="n"/>
      <c r="BG988" s="643" t="n"/>
    </row>
    <row r="989" s="1168" customFormat="1" ht="12.75" customHeight="1">
      <c r="F989" s="643" t="n"/>
      <c r="K989" s="643" t="n"/>
      <c r="O989" s="643" t="n"/>
      <c r="S989" s="643" t="n"/>
      <c r="W989" s="643" t="n"/>
      <c r="AA989" s="643" t="n"/>
      <c r="AE989" s="643" t="n"/>
      <c r="AI989" s="643" t="n"/>
      <c r="AM989" s="643" t="n"/>
      <c r="AQ989" s="643" t="n"/>
      <c r="AU989" s="643" t="n"/>
      <c r="AY989" s="643" t="n"/>
      <c r="BC989" s="643" t="n"/>
      <c r="BG989" s="643" t="n"/>
    </row>
    <row r="990" s="1168" customFormat="1" ht="12.75" customHeight="1">
      <c r="F990" s="643" t="n"/>
      <c r="K990" s="643" t="n"/>
      <c r="O990" s="643" t="n"/>
      <c r="S990" s="643" t="n"/>
      <c r="W990" s="643" t="n"/>
      <c r="AA990" s="643" t="n"/>
      <c r="AE990" s="643" t="n"/>
      <c r="AI990" s="643" t="n"/>
      <c r="AM990" s="643" t="n"/>
      <c r="AQ990" s="643" t="n"/>
      <c r="AU990" s="643" t="n"/>
      <c r="AY990" s="643" t="n"/>
      <c r="BC990" s="643" t="n"/>
      <c r="BG990" s="643" t="n"/>
    </row>
    <row r="991" s="1168" customFormat="1" ht="12.75" customHeight="1">
      <c r="F991" s="643" t="n"/>
      <c r="K991" s="643" t="n"/>
      <c r="O991" s="643" t="n"/>
      <c r="S991" s="643" t="n"/>
      <c r="W991" s="643" t="n"/>
      <c r="AA991" s="643" t="n"/>
      <c r="AE991" s="643" t="n"/>
      <c r="AI991" s="643" t="n"/>
      <c r="AM991" s="643" t="n"/>
      <c r="AQ991" s="643" t="n"/>
      <c r="AU991" s="643" t="n"/>
      <c r="AY991" s="643" t="n"/>
      <c r="BC991" s="643" t="n"/>
      <c r="BG991" s="643" t="n"/>
    </row>
    <row r="992" s="1168" customFormat="1" ht="12.75" customHeight="1">
      <c r="F992" s="643" t="n"/>
      <c r="K992" s="643" t="n"/>
      <c r="O992" s="643" t="n"/>
      <c r="S992" s="643" t="n"/>
      <c r="W992" s="643" t="n"/>
      <c r="AA992" s="643" t="n"/>
      <c r="AE992" s="643" t="n"/>
      <c r="AI992" s="643" t="n"/>
      <c r="AM992" s="643" t="n"/>
      <c r="AQ992" s="643" t="n"/>
      <c r="AU992" s="643" t="n"/>
      <c r="AY992" s="643" t="n"/>
      <c r="BC992" s="643" t="n"/>
      <c r="BG992" s="643" t="n"/>
    </row>
    <row r="993" s="1168" customFormat="1" ht="12.75" customHeight="1">
      <c r="F993" s="643" t="n"/>
      <c r="K993" s="643" t="n"/>
      <c r="O993" s="643" t="n"/>
      <c r="S993" s="643" t="n"/>
      <c r="W993" s="643" t="n"/>
      <c r="AA993" s="643" t="n"/>
      <c r="AE993" s="643" t="n"/>
      <c r="AI993" s="643" t="n"/>
      <c r="AM993" s="643" t="n"/>
      <c r="AQ993" s="643" t="n"/>
      <c r="AU993" s="643" t="n"/>
      <c r="AY993" s="643" t="n"/>
      <c r="BC993" s="643" t="n"/>
      <c r="BG993" s="643" t="n"/>
    </row>
    <row r="994" s="1168" customFormat="1" ht="12.75" customHeight="1">
      <c r="F994" s="643" t="n"/>
      <c r="K994" s="643" t="n"/>
      <c r="O994" s="643" t="n"/>
      <c r="S994" s="643" t="n"/>
      <c r="W994" s="643" t="n"/>
      <c r="AA994" s="643" t="n"/>
      <c r="AE994" s="643" t="n"/>
      <c r="AI994" s="643" t="n"/>
      <c r="AM994" s="643" t="n"/>
      <c r="AQ994" s="643" t="n"/>
      <c r="AU994" s="643" t="n"/>
      <c r="AY994" s="643" t="n"/>
      <c r="BC994" s="643" t="n"/>
      <c r="BG994" s="643" t="n"/>
    </row>
    <row r="995" s="1168" customFormat="1" ht="12.75" customHeight="1">
      <c r="F995" s="643" t="n"/>
      <c r="K995" s="643" t="n"/>
      <c r="O995" s="643" t="n"/>
      <c r="S995" s="643" t="n"/>
      <c r="W995" s="643" t="n"/>
      <c r="AA995" s="643" t="n"/>
      <c r="AE995" s="643" t="n"/>
      <c r="AI995" s="643" t="n"/>
      <c r="AM995" s="643" t="n"/>
      <c r="AQ995" s="643" t="n"/>
      <c r="AU995" s="643" t="n"/>
      <c r="AY995" s="643" t="n"/>
      <c r="BC995" s="643" t="n"/>
      <c r="BG995" s="643" t="n"/>
    </row>
    <row r="996" s="1168" customFormat="1" ht="12.75" customHeight="1">
      <c r="F996" s="643" t="n"/>
      <c r="K996" s="643" t="n"/>
      <c r="O996" s="643" t="n"/>
      <c r="S996" s="643" t="n"/>
      <c r="W996" s="643" t="n"/>
      <c r="AA996" s="643" t="n"/>
      <c r="AE996" s="643" t="n"/>
      <c r="AI996" s="643" t="n"/>
      <c r="AM996" s="643" t="n"/>
      <c r="AQ996" s="643" t="n"/>
      <c r="AU996" s="643" t="n"/>
      <c r="AY996" s="643" t="n"/>
      <c r="BC996" s="643" t="n"/>
      <c r="BG996" s="643" t="n"/>
    </row>
    <row r="997" s="1168" customFormat="1" ht="12.75" customHeight="1">
      <c r="F997" s="643" t="n"/>
      <c r="K997" s="643" t="n"/>
      <c r="O997" s="643" t="n"/>
      <c r="S997" s="643" t="n"/>
      <c r="W997" s="643" t="n"/>
      <c r="AA997" s="643" t="n"/>
      <c r="AE997" s="643" t="n"/>
      <c r="AI997" s="643" t="n"/>
      <c r="AM997" s="643" t="n"/>
      <c r="AQ997" s="643" t="n"/>
      <c r="AU997" s="643" t="n"/>
      <c r="AY997" s="643" t="n"/>
      <c r="BC997" s="643" t="n"/>
      <c r="BG997" s="643" t="n"/>
    </row>
    <row r="998" s="1168" customFormat="1" ht="12.75" customHeight="1">
      <c r="F998" s="643" t="n"/>
      <c r="K998" s="643" t="n"/>
      <c r="O998" s="643" t="n"/>
      <c r="S998" s="643" t="n"/>
      <c r="W998" s="643" t="n"/>
      <c r="AA998" s="643" t="n"/>
      <c r="AE998" s="643" t="n"/>
      <c r="AI998" s="643" t="n"/>
      <c r="AM998" s="643" t="n"/>
      <c r="AQ998" s="643" t="n"/>
      <c r="AU998" s="643" t="n"/>
      <c r="AY998" s="643" t="n"/>
      <c r="BC998" s="643" t="n"/>
      <c r="BG998" s="643" t="n"/>
    </row>
    <row r="999" s="1168" customFormat="1" ht="12.75" customHeight="1">
      <c r="F999" s="643" t="n"/>
      <c r="K999" s="643" t="n"/>
      <c r="O999" s="643" t="n"/>
      <c r="S999" s="643" t="n"/>
      <c r="W999" s="643" t="n"/>
      <c r="AA999" s="643" t="n"/>
      <c r="AE999" s="643" t="n"/>
      <c r="AI999" s="643" t="n"/>
      <c r="AM999" s="643" t="n"/>
      <c r="AQ999" s="643" t="n"/>
      <c r="AU999" s="643" t="n"/>
      <c r="AY999" s="643" t="n"/>
      <c r="BC999" s="643" t="n"/>
      <c r="BG999" s="643" t="n"/>
    </row>
    <row r="1000" s="1168" customFormat="1" ht="12.75" customHeight="1">
      <c r="F1000" s="643" t="n"/>
      <c r="K1000" s="643" t="n"/>
      <c r="O1000" s="643" t="n"/>
      <c r="S1000" s="643" t="n"/>
      <c r="W1000" s="643" t="n"/>
      <c r="AA1000" s="643" t="n"/>
      <c r="AE1000" s="643" t="n"/>
      <c r="AI1000" s="643" t="n"/>
      <c r="AM1000" s="643" t="n"/>
      <c r="AQ1000" s="643" t="n"/>
      <c r="AU1000" s="643" t="n"/>
      <c r="AY1000" s="643" t="n"/>
      <c r="BC1000" s="643" t="n"/>
      <c r="BG1000" s="643" t="n"/>
    </row>
    <row r="1001" s="1168" customFormat="1" ht="12.75" customHeight="1">
      <c r="F1001" s="643" t="n"/>
      <c r="K1001" s="643" t="n"/>
      <c r="O1001" s="643" t="n"/>
      <c r="S1001" s="643" t="n"/>
      <c r="W1001" s="643" t="n"/>
      <c r="AA1001" s="643" t="n"/>
      <c r="AE1001" s="643" t="n"/>
      <c r="AI1001" s="643" t="n"/>
      <c r="AM1001" s="643" t="n"/>
      <c r="AQ1001" s="643" t="n"/>
      <c r="AU1001" s="643" t="n"/>
      <c r="AY1001" s="643" t="n"/>
      <c r="BC1001" s="643" t="n"/>
      <c r="BG1001" s="643" t="n"/>
    </row>
    <row r="1002" s="1168" customFormat="1" ht="12.75" customHeight="1">
      <c r="F1002" s="643" t="n"/>
      <c r="K1002" s="643" t="n"/>
      <c r="O1002" s="643" t="n"/>
      <c r="S1002" s="643" t="n"/>
      <c r="W1002" s="643" t="n"/>
      <c r="AA1002" s="643" t="n"/>
      <c r="AE1002" s="643" t="n"/>
      <c r="AI1002" s="643" t="n"/>
      <c r="AM1002" s="643" t="n"/>
      <c r="AQ1002" s="643" t="n"/>
      <c r="AU1002" s="643" t="n"/>
      <c r="AY1002" s="643" t="n"/>
      <c r="BC1002" s="643" t="n"/>
      <c r="BG1002" s="643" t="n"/>
    </row>
    <row r="1003" s="1168" customFormat="1" ht="12.75" customHeight="1">
      <c r="F1003" s="643" t="n"/>
      <c r="K1003" s="643" t="n"/>
      <c r="O1003" s="643" t="n"/>
      <c r="S1003" s="643" t="n"/>
      <c r="W1003" s="643" t="n"/>
      <c r="AA1003" s="643" t="n"/>
      <c r="AE1003" s="643" t="n"/>
      <c r="AI1003" s="643" t="n"/>
      <c r="AM1003" s="643" t="n"/>
      <c r="AQ1003" s="643" t="n"/>
      <c r="AU1003" s="643" t="n"/>
      <c r="AY1003" s="643" t="n"/>
      <c r="BC1003" s="643" t="n"/>
      <c r="BG1003" s="643" t="n"/>
    </row>
    <row r="1004" s="1168" customFormat="1" ht="12.75" customHeight="1">
      <c r="F1004" s="643" t="n"/>
      <c r="K1004" s="643" t="n"/>
      <c r="O1004" s="643" t="n"/>
      <c r="S1004" s="643" t="n"/>
      <c r="W1004" s="643" t="n"/>
      <c r="AA1004" s="643" t="n"/>
      <c r="AE1004" s="643" t="n"/>
      <c r="AI1004" s="643" t="n"/>
      <c r="AM1004" s="643" t="n"/>
      <c r="AQ1004" s="643" t="n"/>
      <c r="AU1004" s="643" t="n"/>
      <c r="AY1004" s="643" t="n"/>
      <c r="BC1004" s="643" t="n"/>
      <c r="BG1004" s="643" t="n"/>
    </row>
    <row r="1005" s="1168" customFormat="1" ht="12.75" customHeight="1">
      <c r="F1005" s="643" t="n"/>
      <c r="K1005" s="643" t="n"/>
      <c r="O1005" s="643" t="n"/>
      <c r="S1005" s="643" t="n"/>
      <c r="W1005" s="643" t="n"/>
      <c r="AA1005" s="643" t="n"/>
      <c r="AE1005" s="643" t="n"/>
      <c r="AI1005" s="643" t="n"/>
      <c r="AM1005" s="643" t="n"/>
      <c r="AQ1005" s="643" t="n"/>
      <c r="AU1005" s="643" t="n"/>
      <c r="AY1005" s="643" t="n"/>
      <c r="BC1005" s="643" t="n"/>
      <c r="BG1005" s="643" t="n"/>
    </row>
    <row r="1006" s="1168" customFormat="1" ht="12.75" customHeight="1">
      <c r="F1006" s="643" t="n"/>
      <c r="K1006" s="643" t="n"/>
      <c r="O1006" s="643" t="n"/>
      <c r="S1006" s="643" t="n"/>
      <c r="W1006" s="643" t="n"/>
      <c r="AA1006" s="643" t="n"/>
      <c r="AE1006" s="643" t="n"/>
      <c r="AI1006" s="643" t="n"/>
      <c r="AM1006" s="643" t="n"/>
      <c r="AQ1006" s="643" t="n"/>
      <c r="AU1006" s="643" t="n"/>
      <c r="AY1006" s="643" t="n"/>
      <c r="BC1006" s="643" t="n"/>
      <c r="BG1006" s="643" t="n"/>
    </row>
    <row r="1007" s="1168" customFormat="1" ht="12.75" customHeight="1">
      <c r="F1007" s="643" t="n"/>
      <c r="K1007" s="643" t="n"/>
      <c r="O1007" s="643" t="n"/>
      <c r="S1007" s="643" t="n"/>
      <c r="W1007" s="643" t="n"/>
      <c r="AA1007" s="643" t="n"/>
      <c r="AE1007" s="643" t="n"/>
      <c r="AI1007" s="643" t="n"/>
      <c r="AM1007" s="643" t="n"/>
      <c r="AQ1007" s="643" t="n"/>
      <c r="AU1007" s="643" t="n"/>
      <c r="AY1007" s="643" t="n"/>
      <c r="BC1007" s="643" t="n"/>
      <c r="BG1007" s="643" t="n"/>
    </row>
    <row r="1008" s="1168" customFormat="1" ht="12.75" customHeight="1">
      <c r="F1008" s="643" t="n"/>
      <c r="K1008" s="643" t="n"/>
      <c r="O1008" s="643" t="n"/>
      <c r="S1008" s="643" t="n"/>
      <c r="W1008" s="643" t="n"/>
      <c r="AA1008" s="643" t="n"/>
      <c r="AE1008" s="643" t="n"/>
      <c r="AI1008" s="643" t="n"/>
      <c r="AM1008" s="643" t="n"/>
      <c r="AQ1008" s="643" t="n"/>
      <c r="AU1008" s="643" t="n"/>
      <c r="AY1008" s="643" t="n"/>
      <c r="BC1008" s="643" t="n"/>
      <c r="BG1008" s="643" t="n"/>
    </row>
    <row r="1009" s="1168" customFormat="1" ht="12.75" customHeight="1">
      <c r="F1009" s="643" t="n"/>
      <c r="K1009" s="643" t="n"/>
      <c r="O1009" s="643" t="n"/>
      <c r="S1009" s="643" t="n"/>
      <c r="W1009" s="643" t="n"/>
      <c r="AA1009" s="643" t="n"/>
      <c r="AE1009" s="643" t="n"/>
      <c r="AI1009" s="643" t="n"/>
      <c r="AM1009" s="643" t="n"/>
      <c r="AQ1009" s="643" t="n"/>
      <c r="AU1009" s="643" t="n"/>
      <c r="AY1009" s="643" t="n"/>
      <c r="BC1009" s="643" t="n"/>
      <c r="BG1009" s="643" t="n"/>
    </row>
    <row r="1010" s="1168" customFormat="1" ht="12.75" customHeight="1">
      <c r="F1010" s="643" t="n"/>
      <c r="K1010" s="643" t="n"/>
      <c r="O1010" s="643" t="n"/>
      <c r="S1010" s="643" t="n"/>
      <c r="W1010" s="643" t="n"/>
      <c r="AA1010" s="643" t="n"/>
      <c r="AE1010" s="643" t="n"/>
      <c r="AI1010" s="643" t="n"/>
      <c r="AM1010" s="643" t="n"/>
      <c r="AQ1010" s="643" t="n"/>
      <c r="AU1010" s="643" t="n"/>
      <c r="AY1010" s="643" t="n"/>
      <c r="BC1010" s="643" t="n"/>
      <c r="BG1010" s="643" t="n"/>
    </row>
    <row r="1011" s="1168" customFormat="1" ht="12.75" customHeight="1">
      <c r="F1011" s="643" t="n"/>
      <c r="K1011" s="643" t="n"/>
      <c r="O1011" s="643" t="n"/>
      <c r="S1011" s="643" t="n"/>
      <c r="W1011" s="643" t="n"/>
      <c r="AA1011" s="643" t="n"/>
      <c r="AE1011" s="643" t="n"/>
      <c r="AI1011" s="643" t="n"/>
      <c r="AM1011" s="643" t="n"/>
      <c r="AQ1011" s="643" t="n"/>
      <c r="AU1011" s="643" t="n"/>
      <c r="AY1011" s="643" t="n"/>
      <c r="BC1011" s="643" t="n"/>
      <c r="BG1011" s="643" t="n"/>
    </row>
    <row r="1012" s="1168" customFormat="1" ht="12.75" customHeight="1">
      <c r="F1012" s="643" t="n"/>
      <c r="K1012" s="643" t="n"/>
      <c r="O1012" s="643" t="n"/>
      <c r="S1012" s="643" t="n"/>
      <c r="W1012" s="643" t="n"/>
      <c r="AA1012" s="643" t="n"/>
      <c r="AE1012" s="643" t="n"/>
      <c r="AI1012" s="643" t="n"/>
      <c r="AM1012" s="643" t="n"/>
      <c r="AQ1012" s="643" t="n"/>
      <c r="AU1012" s="643" t="n"/>
      <c r="AY1012" s="643" t="n"/>
      <c r="BC1012" s="643" t="n"/>
      <c r="BG1012" s="643" t="n"/>
    </row>
    <row r="1013" s="1168" customFormat="1" ht="12.75" customHeight="1">
      <c r="F1013" s="643" t="n"/>
      <c r="K1013" s="643" t="n"/>
      <c r="O1013" s="643" t="n"/>
      <c r="S1013" s="643" t="n"/>
      <c r="W1013" s="643" t="n"/>
      <c r="AA1013" s="643" t="n"/>
      <c r="AE1013" s="643" t="n"/>
      <c r="AI1013" s="643" t="n"/>
      <c r="AM1013" s="643" t="n"/>
      <c r="AQ1013" s="643" t="n"/>
      <c r="AU1013" s="643" t="n"/>
      <c r="AY1013" s="643" t="n"/>
      <c r="BC1013" s="643" t="n"/>
      <c r="BG1013" s="643" t="n"/>
    </row>
    <row r="1014" s="1168" customFormat="1" ht="12.75" customHeight="1">
      <c r="F1014" s="643" t="n"/>
      <c r="K1014" s="643" t="n"/>
      <c r="O1014" s="643" t="n"/>
      <c r="S1014" s="643" t="n"/>
      <c r="W1014" s="643" t="n"/>
      <c r="AA1014" s="643" t="n"/>
      <c r="AE1014" s="643" t="n"/>
      <c r="AI1014" s="643" t="n"/>
      <c r="AM1014" s="643" t="n"/>
      <c r="AQ1014" s="643" t="n"/>
      <c r="AU1014" s="643" t="n"/>
      <c r="AY1014" s="643" t="n"/>
      <c r="BC1014" s="643" t="n"/>
      <c r="BG1014" s="643" t="n"/>
    </row>
    <row r="1015" s="1168" customFormat="1" ht="12.75" customHeight="1">
      <c r="F1015" s="643" t="n"/>
      <c r="K1015" s="643" t="n"/>
      <c r="O1015" s="643" t="n"/>
      <c r="S1015" s="643" t="n"/>
      <c r="W1015" s="643" t="n"/>
      <c r="AA1015" s="643" t="n"/>
      <c r="AE1015" s="643" t="n"/>
      <c r="AI1015" s="643" t="n"/>
      <c r="AM1015" s="643" t="n"/>
      <c r="AQ1015" s="643" t="n"/>
      <c r="AU1015" s="643" t="n"/>
      <c r="AY1015" s="643" t="n"/>
      <c r="BC1015" s="643" t="n"/>
      <c r="BG1015" s="643" t="n"/>
    </row>
    <row r="1016" s="1168" customFormat="1" ht="12.75" customHeight="1">
      <c r="F1016" s="643" t="n"/>
      <c r="K1016" s="643" t="n"/>
      <c r="O1016" s="643" t="n"/>
      <c r="S1016" s="643" t="n"/>
      <c r="W1016" s="643" t="n"/>
      <c r="AA1016" s="643" t="n"/>
      <c r="AE1016" s="643" t="n"/>
      <c r="AI1016" s="643" t="n"/>
      <c r="AM1016" s="643" t="n"/>
      <c r="AQ1016" s="643" t="n"/>
      <c r="AU1016" s="643" t="n"/>
      <c r="AY1016" s="643" t="n"/>
      <c r="BC1016" s="643" t="n"/>
      <c r="BG1016" s="643" t="n"/>
    </row>
    <row r="1017" s="1168" customFormat="1" ht="12.75" customHeight="1">
      <c r="F1017" s="643" t="n"/>
      <c r="K1017" s="643" t="n"/>
      <c r="O1017" s="643" t="n"/>
      <c r="S1017" s="643" t="n"/>
      <c r="W1017" s="643" t="n"/>
      <c r="AA1017" s="643" t="n"/>
      <c r="AE1017" s="643" t="n"/>
      <c r="AI1017" s="643" t="n"/>
      <c r="AM1017" s="643" t="n"/>
      <c r="AQ1017" s="643" t="n"/>
      <c r="AU1017" s="643" t="n"/>
      <c r="AY1017" s="643" t="n"/>
      <c r="BC1017" s="643" t="n"/>
      <c r="BG1017" s="643" t="n"/>
    </row>
    <row r="1018" s="1168" customFormat="1" ht="12.75" customHeight="1">
      <c r="F1018" s="643" t="n"/>
      <c r="K1018" s="643" t="n"/>
      <c r="O1018" s="643" t="n"/>
      <c r="S1018" s="643" t="n"/>
      <c r="W1018" s="643" t="n"/>
      <c r="AA1018" s="643" t="n"/>
      <c r="AE1018" s="643" t="n"/>
      <c r="AI1018" s="643" t="n"/>
      <c r="AM1018" s="643" t="n"/>
      <c r="AQ1018" s="643" t="n"/>
      <c r="AU1018" s="643" t="n"/>
      <c r="AY1018" s="643" t="n"/>
      <c r="BC1018" s="643" t="n"/>
      <c r="BG1018" s="643" t="n"/>
    </row>
    <row r="1019" s="1168" customFormat="1" ht="12.75" customHeight="1">
      <c r="F1019" s="643" t="n"/>
      <c r="K1019" s="643" t="n"/>
      <c r="O1019" s="643" t="n"/>
      <c r="S1019" s="643" t="n"/>
      <c r="W1019" s="643" t="n"/>
      <c r="AA1019" s="643" t="n"/>
      <c r="AE1019" s="643" t="n"/>
      <c r="AI1019" s="643" t="n"/>
      <c r="AM1019" s="643" t="n"/>
      <c r="AQ1019" s="643" t="n"/>
      <c r="AU1019" s="643" t="n"/>
      <c r="AY1019" s="643" t="n"/>
      <c r="BC1019" s="643" t="n"/>
      <c r="BG1019" s="643" t="n"/>
    </row>
    <row r="1020" s="1168" customFormat="1" ht="12.75" customHeight="1">
      <c r="F1020" s="643" t="n"/>
      <c r="K1020" s="643" t="n"/>
      <c r="O1020" s="643" t="n"/>
      <c r="S1020" s="643" t="n"/>
      <c r="W1020" s="643" t="n"/>
      <c r="AA1020" s="643" t="n"/>
      <c r="AE1020" s="643" t="n"/>
      <c r="AI1020" s="643" t="n"/>
      <c r="AM1020" s="643" t="n"/>
      <c r="AQ1020" s="643" t="n"/>
      <c r="AU1020" s="643" t="n"/>
      <c r="AY1020" s="643" t="n"/>
      <c r="BC1020" s="643" t="n"/>
      <c r="BG1020" s="643" t="n"/>
    </row>
    <row r="1021" s="1168" customFormat="1" ht="12.75" customHeight="1">
      <c r="F1021" s="643" t="n"/>
      <c r="K1021" s="643" t="n"/>
      <c r="O1021" s="643" t="n"/>
      <c r="S1021" s="643" t="n"/>
      <c r="W1021" s="643" t="n"/>
      <c r="AA1021" s="643" t="n"/>
      <c r="AE1021" s="643" t="n"/>
      <c r="AI1021" s="643" t="n"/>
      <c r="AM1021" s="643" t="n"/>
      <c r="AQ1021" s="643" t="n"/>
      <c r="AU1021" s="643" t="n"/>
      <c r="AY1021" s="643" t="n"/>
      <c r="BC1021" s="643" t="n"/>
      <c r="BG1021" s="643" t="n"/>
    </row>
    <row r="1022" s="1168" customFormat="1" ht="12.75" customHeight="1">
      <c r="F1022" s="643" t="n"/>
      <c r="K1022" s="643" t="n"/>
      <c r="O1022" s="643" t="n"/>
      <c r="S1022" s="643" t="n"/>
      <c r="W1022" s="643" t="n"/>
      <c r="AA1022" s="643" t="n"/>
      <c r="AE1022" s="643" t="n"/>
      <c r="AI1022" s="643" t="n"/>
      <c r="AM1022" s="643" t="n"/>
      <c r="AQ1022" s="643" t="n"/>
      <c r="AU1022" s="643" t="n"/>
      <c r="AY1022" s="643" t="n"/>
      <c r="BC1022" s="643" t="n"/>
      <c r="BG1022" s="643" t="n"/>
    </row>
    <row r="1023" s="1168" customFormat="1" ht="12.75" customHeight="1">
      <c r="F1023" s="643" t="n"/>
      <c r="K1023" s="643" t="n"/>
      <c r="O1023" s="643" t="n"/>
      <c r="S1023" s="643" t="n"/>
      <c r="W1023" s="643" t="n"/>
      <c r="AA1023" s="643" t="n"/>
      <c r="AE1023" s="643" t="n"/>
      <c r="AI1023" s="643" t="n"/>
      <c r="AM1023" s="643" t="n"/>
      <c r="AQ1023" s="643" t="n"/>
      <c r="AU1023" s="643" t="n"/>
      <c r="AY1023" s="643" t="n"/>
      <c r="BC1023" s="643" t="n"/>
      <c r="BG1023" s="643" t="n"/>
    </row>
    <row r="1024" s="1168" customFormat="1" ht="12.75" customHeight="1">
      <c r="F1024" s="643" t="n"/>
      <c r="K1024" s="643" t="n"/>
      <c r="O1024" s="643" t="n"/>
      <c r="S1024" s="643" t="n"/>
      <c r="W1024" s="643" t="n"/>
      <c r="AA1024" s="643" t="n"/>
      <c r="AE1024" s="643" t="n"/>
      <c r="AI1024" s="643" t="n"/>
      <c r="AM1024" s="643" t="n"/>
      <c r="AQ1024" s="643" t="n"/>
      <c r="AU1024" s="643" t="n"/>
      <c r="AY1024" s="643" t="n"/>
      <c r="BC1024" s="643" t="n"/>
      <c r="BG1024" s="643" t="n"/>
    </row>
    <row r="1025" s="1168" customFormat="1" ht="12.75" customHeight="1">
      <c r="F1025" s="643" t="n"/>
      <c r="K1025" s="643" t="n"/>
      <c r="O1025" s="643" t="n"/>
      <c r="S1025" s="643" t="n"/>
      <c r="W1025" s="643" t="n"/>
      <c r="AA1025" s="643" t="n"/>
      <c r="AE1025" s="643" t="n"/>
      <c r="AI1025" s="643" t="n"/>
      <c r="AM1025" s="643" t="n"/>
      <c r="AQ1025" s="643" t="n"/>
      <c r="AU1025" s="643" t="n"/>
      <c r="AY1025" s="643" t="n"/>
      <c r="BC1025" s="643" t="n"/>
      <c r="BG1025" s="643" t="n"/>
    </row>
    <row r="1026" s="1168" customFormat="1" ht="12.75" customHeight="1">
      <c r="F1026" s="643" t="n"/>
      <c r="K1026" s="643" t="n"/>
      <c r="O1026" s="643" t="n"/>
      <c r="S1026" s="643" t="n"/>
      <c r="W1026" s="643" t="n"/>
      <c r="AA1026" s="643" t="n"/>
      <c r="AE1026" s="643" t="n"/>
      <c r="AI1026" s="643" t="n"/>
      <c r="AM1026" s="643" t="n"/>
      <c r="AQ1026" s="643" t="n"/>
      <c r="AU1026" s="643" t="n"/>
      <c r="AY1026" s="643" t="n"/>
      <c r="BC1026" s="643" t="n"/>
      <c r="BG1026" s="643" t="n"/>
    </row>
    <row r="1027" s="1168" customFormat="1" ht="12.75" customHeight="1">
      <c r="F1027" s="643" t="n"/>
      <c r="K1027" s="643" t="n"/>
      <c r="O1027" s="643" t="n"/>
      <c r="S1027" s="643" t="n"/>
      <c r="W1027" s="643" t="n"/>
      <c r="AA1027" s="643" t="n"/>
      <c r="AE1027" s="643" t="n"/>
      <c r="AI1027" s="643" t="n"/>
      <c r="AM1027" s="643" t="n"/>
      <c r="AQ1027" s="643" t="n"/>
      <c r="AU1027" s="643" t="n"/>
      <c r="AY1027" s="643" t="n"/>
      <c r="BC1027" s="643" t="n"/>
      <c r="BG1027" s="643" t="n"/>
    </row>
    <row r="1028" s="1168" customFormat="1" ht="12.75" customHeight="1">
      <c r="F1028" s="643" t="n"/>
      <c r="K1028" s="643" t="n"/>
      <c r="O1028" s="643" t="n"/>
      <c r="S1028" s="643" t="n"/>
      <c r="W1028" s="643" t="n"/>
      <c r="AA1028" s="643" t="n"/>
      <c r="AE1028" s="643" t="n"/>
      <c r="AI1028" s="643" t="n"/>
      <c r="AM1028" s="643" t="n"/>
      <c r="AQ1028" s="643" t="n"/>
      <c r="AU1028" s="643" t="n"/>
      <c r="AY1028" s="643" t="n"/>
      <c r="BC1028" s="643" t="n"/>
      <c r="BG1028" s="643" t="n"/>
    </row>
    <row r="1029" s="1168" customFormat="1" ht="12.75" customHeight="1">
      <c r="F1029" s="643" t="n"/>
      <c r="K1029" s="643" t="n"/>
      <c r="O1029" s="643" t="n"/>
      <c r="S1029" s="643" t="n"/>
      <c r="W1029" s="643" t="n"/>
      <c r="AA1029" s="643" t="n"/>
      <c r="AE1029" s="643" t="n"/>
      <c r="AI1029" s="643" t="n"/>
      <c r="AM1029" s="643" t="n"/>
      <c r="AQ1029" s="643" t="n"/>
      <c r="AU1029" s="643" t="n"/>
      <c r="AY1029" s="643" t="n"/>
      <c r="BC1029" s="643" t="n"/>
      <c r="BG1029" s="643" t="n"/>
    </row>
    <row r="1030" s="1168" customFormat="1" ht="12.75" customHeight="1">
      <c r="F1030" s="643" t="n"/>
      <c r="K1030" s="643" t="n"/>
      <c r="O1030" s="643" t="n"/>
      <c r="S1030" s="643" t="n"/>
      <c r="W1030" s="643" t="n"/>
      <c r="AA1030" s="643" t="n"/>
      <c r="AE1030" s="643" t="n"/>
      <c r="AI1030" s="643" t="n"/>
      <c r="AM1030" s="643" t="n"/>
      <c r="AQ1030" s="643" t="n"/>
      <c r="AU1030" s="643" t="n"/>
      <c r="AY1030" s="643" t="n"/>
      <c r="BC1030" s="643" t="n"/>
      <c r="BG1030" s="643" t="n"/>
    </row>
    <row r="1031" s="1168" customFormat="1" ht="12.75" customHeight="1">
      <c r="F1031" s="643" t="n"/>
      <c r="K1031" s="643" t="n"/>
      <c r="O1031" s="643" t="n"/>
      <c r="S1031" s="643" t="n"/>
      <c r="W1031" s="643" t="n"/>
      <c r="AA1031" s="643" t="n"/>
      <c r="AE1031" s="643" t="n"/>
      <c r="AI1031" s="643" t="n"/>
      <c r="AM1031" s="643" t="n"/>
      <c r="AQ1031" s="643" t="n"/>
      <c r="AU1031" s="643" t="n"/>
      <c r="AY1031" s="643" t="n"/>
      <c r="BC1031" s="643" t="n"/>
      <c r="BG1031" s="643" t="n"/>
    </row>
    <row r="1032" s="1168" customFormat="1" ht="12.75" customHeight="1">
      <c r="F1032" s="643" t="n"/>
      <c r="K1032" s="643" t="n"/>
      <c r="O1032" s="643" t="n"/>
      <c r="S1032" s="643" t="n"/>
      <c r="W1032" s="643" t="n"/>
      <c r="AA1032" s="643" t="n"/>
      <c r="AE1032" s="643" t="n"/>
      <c r="AI1032" s="643" t="n"/>
      <c r="AM1032" s="643" t="n"/>
      <c r="AQ1032" s="643" t="n"/>
      <c r="AU1032" s="643" t="n"/>
      <c r="AY1032" s="643" t="n"/>
      <c r="BC1032" s="643" t="n"/>
      <c r="BG1032" s="643" t="n"/>
    </row>
    <row r="1033" s="1168" customFormat="1" ht="12.75" customHeight="1">
      <c r="F1033" s="643" t="n"/>
      <c r="K1033" s="643" t="n"/>
      <c r="O1033" s="643" t="n"/>
      <c r="S1033" s="643" t="n"/>
      <c r="W1033" s="643" t="n"/>
      <c r="AA1033" s="643" t="n"/>
      <c r="AE1033" s="643" t="n"/>
      <c r="AI1033" s="643" t="n"/>
      <c r="AM1033" s="643" t="n"/>
      <c r="AQ1033" s="643" t="n"/>
      <c r="AU1033" s="643" t="n"/>
      <c r="AY1033" s="643" t="n"/>
      <c r="BC1033" s="643" t="n"/>
      <c r="BG1033" s="643" t="n"/>
    </row>
    <row r="1034" s="1168" customFormat="1" ht="12.75" customHeight="1">
      <c r="F1034" s="643" t="n"/>
      <c r="K1034" s="643" t="n"/>
      <c r="O1034" s="643" t="n"/>
      <c r="S1034" s="643" t="n"/>
      <c r="W1034" s="643" t="n"/>
      <c r="AA1034" s="643" t="n"/>
      <c r="AE1034" s="643" t="n"/>
      <c r="AI1034" s="643" t="n"/>
      <c r="AM1034" s="643" t="n"/>
      <c r="AQ1034" s="643" t="n"/>
      <c r="AU1034" s="643" t="n"/>
      <c r="AY1034" s="643" t="n"/>
      <c r="BC1034" s="643" t="n"/>
      <c r="BG1034" s="643" t="n"/>
    </row>
    <row r="1035" s="1168" customFormat="1" ht="12.75" customHeight="1">
      <c r="F1035" s="643" t="n"/>
      <c r="K1035" s="643" t="n"/>
      <c r="O1035" s="643" t="n"/>
      <c r="S1035" s="643" t="n"/>
      <c r="W1035" s="643" t="n"/>
      <c r="AA1035" s="643" t="n"/>
      <c r="AE1035" s="643" t="n"/>
      <c r="AI1035" s="643" t="n"/>
      <c r="AM1035" s="643" t="n"/>
      <c r="AQ1035" s="643" t="n"/>
      <c r="AU1035" s="643" t="n"/>
      <c r="AY1035" s="643" t="n"/>
      <c r="BC1035" s="643" t="n"/>
      <c r="BG1035" s="643" t="n"/>
    </row>
    <row r="1036" s="1168" customFormat="1" ht="12.75" customHeight="1">
      <c r="F1036" s="643" t="n"/>
      <c r="K1036" s="643" t="n"/>
      <c r="O1036" s="643" t="n"/>
      <c r="S1036" s="643" t="n"/>
      <c r="W1036" s="643" t="n"/>
      <c r="AA1036" s="643" t="n"/>
      <c r="AE1036" s="643" t="n"/>
      <c r="AI1036" s="643" t="n"/>
      <c r="AM1036" s="643" t="n"/>
      <c r="AQ1036" s="643" t="n"/>
      <c r="AU1036" s="643" t="n"/>
      <c r="AY1036" s="643" t="n"/>
      <c r="BC1036" s="643" t="n"/>
      <c r="BG1036" s="643" t="n"/>
    </row>
    <row r="1037" s="1168" customFormat="1" ht="12.75" customHeight="1">
      <c r="F1037" s="643" t="n"/>
      <c r="K1037" s="643" t="n"/>
      <c r="O1037" s="643" t="n"/>
      <c r="S1037" s="643" t="n"/>
      <c r="W1037" s="643" t="n"/>
      <c r="AA1037" s="643" t="n"/>
      <c r="AE1037" s="643" t="n"/>
      <c r="AI1037" s="643" t="n"/>
      <c r="AM1037" s="643" t="n"/>
      <c r="AQ1037" s="643" t="n"/>
      <c r="AU1037" s="643" t="n"/>
      <c r="AY1037" s="643" t="n"/>
      <c r="BC1037" s="643" t="n"/>
      <c r="BG1037" s="643" t="n"/>
    </row>
    <row r="1038" s="1168" customFormat="1" ht="12.75" customHeight="1">
      <c r="F1038" s="643" t="n"/>
      <c r="K1038" s="643" t="n"/>
      <c r="O1038" s="643" t="n"/>
      <c r="S1038" s="643" t="n"/>
      <c r="W1038" s="643" t="n"/>
      <c r="AA1038" s="643" t="n"/>
      <c r="AE1038" s="643" t="n"/>
      <c r="AI1038" s="643" t="n"/>
      <c r="AM1038" s="643" t="n"/>
      <c r="AQ1038" s="643" t="n"/>
      <c r="AU1038" s="643" t="n"/>
      <c r="AY1038" s="643" t="n"/>
      <c r="BC1038" s="643" t="n"/>
      <c r="BG1038" s="643" t="n"/>
    </row>
    <row r="1039" s="1168" customFormat="1" ht="12.75" customHeight="1">
      <c r="F1039" s="643" t="n"/>
      <c r="K1039" s="643" t="n"/>
      <c r="O1039" s="643" t="n"/>
      <c r="S1039" s="643" t="n"/>
      <c r="W1039" s="643" t="n"/>
      <c r="AA1039" s="643" t="n"/>
      <c r="AE1039" s="643" t="n"/>
      <c r="AI1039" s="643" t="n"/>
      <c r="AM1039" s="643" t="n"/>
      <c r="AQ1039" s="643" t="n"/>
      <c r="AU1039" s="643" t="n"/>
      <c r="AY1039" s="643" t="n"/>
      <c r="BC1039" s="643" t="n"/>
      <c r="BG1039" s="643" t="n"/>
    </row>
    <row r="1040" s="1168" customFormat="1" ht="12.75" customHeight="1">
      <c r="F1040" s="643" t="n"/>
      <c r="K1040" s="643" t="n"/>
      <c r="O1040" s="643" t="n"/>
      <c r="S1040" s="643" t="n"/>
      <c r="W1040" s="643" t="n"/>
      <c r="AA1040" s="643" t="n"/>
      <c r="AE1040" s="643" t="n"/>
      <c r="AI1040" s="643" t="n"/>
      <c r="AM1040" s="643" t="n"/>
      <c r="AQ1040" s="643" t="n"/>
      <c r="AU1040" s="643" t="n"/>
      <c r="AY1040" s="643" t="n"/>
      <c r="BC1040" s="643" t="n"/>
      <c r="BG1040" s="643" t="n"/>
    </row>
    <row r="1041" s="1168" customFormat="1" ht="12.75" customHeight="1">
      <c r="F1041" s="643" t="n"/>
      <c r="K1041" s="643" t="n"/>
      <c r="O1041" s="643" t="n"/>
      <c r="S1041" s="643" t="n"/>
      <c r="W1041" s="643" t="n"/>
      <c r="AA1041" s="643" t="n"/>
      <c r="AE1041" s="643" t="n"/>
      <c r="AI1041" s="643" t="n"/>
      <c r="AM1041" s="643" t="n"/>
      <c r="AQ1041" s="643" t="n"/>
      <c r="AU1041" s="643" t="n"/>
      <c r="AY1041" s="643" t="n"/>
      <c r="BC1041" s="643" t="n"/>
      <c r="BG1041" s="643" t="n"/>
    </row>
    <row r="1042" s="1168" customFormat="1" ht="12.75" customHeight="1">
      <c r="F1042" s="643" t="n"/>
      <c r="K1042" s="643" t="n"/>
      <c r="O1042" s="643" t="n"/>
      <c r="S1042" s="643" t="n"/>
      <c r="W1042" s="643" t="n"/>
      <c r="AA1042" s="643" t="n"/>
      <c r="AE1042" s="643" t="n"/>
      <c r="AI1042" s="643" t="n"/>
      <c r="AM1042" s="643" t="n"/>
      <c r="AQ1042" s="643" t="n"/>
      <c r="AU1042" s="643" t="n"/>
      <c r="AY1042" s="643" t="n"/>
      <c r="BC1042" s="643" t="n"/>
      <c r="BG1042" s="643" t="n"/>
    </row>
    <row r="1043" s="1168" customFormat="1" ht="12.75" customHeight="1">
      <c r="F1043" s="643" t="n"/>
      <c r="K1043" s="643" t="n"/>
      <c r="O1043" s="643" t="n"/>
      <c r="S1043" s="643" t="n"/>
      <c r="W1043" s="643" t="n"/>
      <c r="AA1043" s="643" t="n"/>
      <c r="AE1043" s="643" t="n"/>
      <c r="AI1043" s="643" t="n"/>
      <c r="AM1043" s="643" t="n"/>
      <c r="AQ1043" s="643" t="n"/>
      <c r="AU1043" s="643" t="n"/>
      <c r="AY1043" s="643" t="n"/>
      <c r="BC1043" s="643" t="n"/>
      <c r="BG1043" s="643" t="n"/>
    </row>
    <row r="1044" s="1168" customFormat="1" ht="12.75" customHeight="1">
      <c r="F1044" s="643" t="n"/>
      <c r="K1044" s="643" t="n"/>
      <c r="O1044" s="643" t="n"/>
      <c r="S1044" s="643" t="n"/>
      <c r="W1044" s="643" t="n"/>
      <c r="AA1044" s="643" t="n"/>
      <c r="AE1044" s="643" t="n"/>
      <c r="AI1044" s="643" t="n"/>
      <c r="AM1044" s="643" t="n"/>
      <c r="AQ1044" s="643" t="n"/>
      <c r="AU1044" s="643" t="n"/>
      <c r="AY1044" s="643" t="n"/>
      <c r="BC1044" s="643" t="n"/>
      <c r="BG1044" s="643" t="n"/>
    </row>
    <row r="1045" s="1168" customFormat="1" ht="12.75" customHeight="1">
      <c r="F1045" s="643" t="n"/>
      <c r="K1045" s="643" t="n"/>
      <c r="O1045" s="643" t="n"/>
      <c r="S1045" s="643" t="n"/>
      <c r="W1045" s="643" t="n"/>
      <c r="AA1045" s="643" t="n"/>
      <c r="AE1045" s="643" t="n"/>
      <c r="AI1045" s="643" t="n"/>
      <c r="AM1045" s="643" t="n"/>
      <c r="AQ1045" s="643" t="n"/>
      <c r="AU1045" s="643" t="n"/>
      <c r="AY1045" s="643" t="n"/>
      <c r="BC1045" s="643" t="n"/>
      <c r="BG1045" s="643" t="n"/>
    </row>
    <row r="1046" s="1168" customFormat="1" ht="12.75" customHeight="1">
      <c r="F1046" s="643" t="n"/>
      <c r="K1046" s="643" t="n"/>
      <c r="O1046" s="643" t="n"/>
      <c r="S1046" s="643" t="n"/>
      <c r="W1046" s="643" t="n"/>
      <c r="AA1046" s="643" t="n"/>
      <c r="AE1046" s="643" t="n"/>
      <c r="AI1046" s="643" t="n"/>
      <c r="AM1046" s="643" t="n"/>
      <c r="AQ1046" s="643" t="n"/>
      <c r="AU1046" s="643" t="n"/>
      <c r="AY1046" s="643" t="n"/>
      <c r="BC1046" s="643" t="n"/>
      <c r="BG1046" s="643" t="n"/>
    </row>
    <row r="1047" s="1168" customFormat="1" ht="12.75" customHeight="1">
      <c r="F1047" s="643" t="n"/>
      <c r="K1047" s="643" t="n"/>
      <c r="O1047" s="643" t="n"/>
      <c r="S1047" s="643" t="n"/>
      <c r="W1047" s="643" t="n"/>
      <c r="AA1047" s="643" t="n"/>
      <c r="AE1047" s="643" t="n"/>
      <c r="AI1047" s="643" t="n"/>
      <c r="AM1047" s="643" t="n"/>
      <c r="AQ1047" s="643" t="n"/>
      <c r="AU1047" s="643" t="n"/>
      <c r="AY1047" s="643" t="n"/>
      <c r="BC1047" s="643" t="n"/>
      <c r="BG1047" s="643" t="n"/>
    </row>
    <row r="1048" s="1168" customFormat="1" ht="12.75" customHeight="1">
      <c r="F1048" s="643" t="n"/>
      <c r="K1048" s="643" t="n"/>
      <c r="O1048" s="643" t="n"/>
      <c r="S1048" s="643" t="n"/>
      <c r="W1048" s="643" t="n"/>
      <c r="AA1048" s="643" t="n"/>
      <c r="AE1048" s="643" t="n"/>
      <c r="AI1048" s="643" t="n"/>
      <c r="AM1048" s="643" t="n"/>
      <c r="AQ1048" s="643" t="n"/>
      <c r="AU1048" s="643" t="n"/>
      <c r="AY1048" s="643" t="n"/>
      <c r="BC1048" s="643" t="n"/>
      <c r="BG1048" s="643" t="n"/>
    </row>
    <row r="1049" s="1168" customFormat="1" ht="12.75" customHeight="1">
      <c r="F1049" s="643" t="n"/>
      <c r="K1049" s="643" t="n"/>
      <c r="O1049" s="643" t="n"/>
      <c r="S1049" s="643" t="n"/>
      <c r="W1049" s="643" t="n"/>
      <c r="AA1049" s="643" t="n"/>
      <c r="AE1049" s="643" t="n"/>
      <c r="AI1049" s="643" t="n"/>
      <c r="AM1049" s="643" t="n"/>
      <c r="AQ1049" s="643" t="n"/>
      <c r="AU1049" s="643" t="n"/>
      <c r="AY1049" s="643" t="n"/>
      <c r="BC1049" s="643" t="n"/>
      <c r="BG1049" s="643" t="n"/>
    </row>
    <row r="1050" s="1168" customFormat="1" ht="12.75" customHeight="1">
      <c r="F1050" s="643" t="n"/>
      <c r="K1050" s="643" t="n"/>
      <c r="O1050" s="643" t="n"/>
      <c r="S1050" s="643" t="n"/>
      <c r="W1050" s="643" t="n"/>
      <c r="AA1050" s="643" t="n"/>
      <c r="AE1050" s="643" t="n"/>
      <c r="AI1050" s="643" t="n"/>
      <c r="AM1050" s="643" t="n"/>
      <c r="AQ1050" s="643" t="n"/>
      <c r="AU1050" s="643" t="n"/>
      <c r="AY1050" s="643" t="n"/>
      <c r="BC1050" s="643" t="n"/>
      <c r="BG1050" s="643" t="n"/>
    </row>
    <row r="1051" s="1168" customFormat="1" ht="12.75" customHeight="1">
      <c r="F1051" s="643" t="n"/>
      <c r="K1051" s="643" t="n"/>
      <c r="O1051" s="643" t="n"/>
      <c r="S1051" s="643" t="n"/>
      <c r="W1051" s="643" t="n"/>
      <c r="AA1051" s="643" t="n"/>
      <c r="AE1051" s="643" t="n"/>
      <c r="AI1051" s="643" t="n"/>
      <c r="AM1051" s="643" t="n"/>
      <c r="AQ1051" s="643" t="n"/>
      <c r="AU1051" s="643" t="n"/>
      <c r="AY1051" s="643" t="n"/>
      <c r="BC1051" s="643" t="n"/>
      <c r="BG1051" s="643" t="n"/>
    </row>
    <row r="1052" s="1168" customFormat="1" ht="12.75" customHeight="1">
      <c r="F1052" s="643" t="n"/>
      <c r="K1052" s="643" t="n"/>
      <c r="O1052" s="643" t="n"/>
      <c r="S1052" s="643" t="n"/>
      <c r="W1052" s="643" t="n"/>
      <c r="AA1052" s="643" t="n"/>
      <c r="AE1052" s="643" t="n"/>
      <c r="AI1052" s="643" t="n"/>
      <c r="AM1052" s="643" t="n"/>
      <c r="AQ1052" s="643" t="n"/>
      <c r="AU1052" s="643" t="n"/>
      <c r="AY1052" s="643" t="n"/>
      <c r="BC1052" s="643" t="n"/>
      <c r="BG1052" s="643" t="n"/>
    </row>
    <row r="1053" s="1168" customFormat="1" ht="12.75" customHeight="1">
      <c r="F1053" s="643" t="n"/>
      <c r="K1053" s="643" t="n"/>
      <c r="O1053" s="643" t="n"/>
      <c r="S1053" s="643" t="n"/>
      <c r="W1053" s="643" t="n"/>
      <c r="AA1053" s="643" t="n"/>
      <c r="AE1053" s="643" t="n"/>
      <c r="AI1053" s="643" t="n"/>
      <c r="AM1053" s="643" t="n"/>
      <c r="AQ1053" s="643" t="n"/>
      <c r="AU1053" s="643" t="n"/>
      <c r="AY1053" s="643" t="n"/>
      <c r="BC1053" s="643" t="n"/>
      <c r="BG1053" s="643" t="n"/>
    </row>
    <row r="1054" s="1168" customFormat="1" ht="12.75" customHeight="1">
      <c r="F1054" s="643" t="n"/>
      <c r="K1054" s="643" t="n"/>
      <c r="O1054" s="643" t="n"/>
      <c r="S1054" s="643" t="n"/>
      <c r="W1054" s="643" t="n"/>
      <c r="AA1054" s="643" t="n"/>
      <c r="AE1054" s="643" t="n"/>
      <c r="AI1054" s="643" t="n"/>
      <c r="AM1054" s="643" t="n"/>
      <c r="AQ1054" s="643" t="n"/>
      <c r="AU1054" s="643" t="n"/>
      <c r="AY1054" s="643" t="n"/>
      <c r="BC1054" s="643" t="n"/>
      <c r="BG1054" s="643" t="n"/>
    </row>
    <row r="1055" s="1168" customFormat="1" ht="12.75" customHeight="1">
      <c r="F1055" s="643" t="n"/>
      <c r="K1055" s="643" t="n"/>
      <c r="O1055" s="643" t="n"/>
      <c r="S1055" s="643" t="n"/>
      <c r="W1055" s="643" t="n"/>
      <c r="AA1055" s="643" t="n"/>
      <c r="AE1055" s="643" t="n"/>
      <c r="AI1055" s="643" t="n"/>
      <c r="AM1055" s="643" t="n"/>
      <c r="AQ1055" s="643" t="n"/>
      <c r="AU1055" s="643" t="n"/>
      <c r="AY1055" s="643" t="n"/>
      <c r="BC1055" s="643" t="n"/>
      <c r="BG1055" s="643" t="n"/>
    </row>
    <row r="1056" s="1168" customFormat="1" ht="12.75" customHeight="1">
      <c r="F1056" s="643" t="n"/>
      <c r="K1056" s="643" t="n"/>
      <c r="O1056" s="643" t="n"/>
      <c r="S1056" s="643" t="n"/>
      <c r="W1056" s="643" t="n"/>
      <c r="AA1056" s="643" t="n"/>
      <c r="AE1056" s="643" t="n"/>
      <c r="AI1056" s="643" t="n"/>
      <c r="AM1056" s="643" t="n"/>
      <c r="AQ1056" s="643" t="n"/>
      <c r="AU1056" s="643" t="n"/>
      <c r="AY1056" s="643" t="n"/>
      <c r="BC1056" s="643" t="n"/>
      <c r="BG1056" s="643" t="n"/>
    </row>
    <row r="1057" s="1168" customFormat="1" ht="12.75" customHeight="1">
      <c r="F1057" s="643" t="n"/>
      <c r="K1057" s="643" t="n"/>
      <c r="O1057" s="643" t="n"/>
      <c r="S1057" s="643" t="n"/>
      <c r="W1057" s="643" t="n"/>
      <c r="AA1057" s="643" t="n"/>
      <c r="AE1057" s="643" t="n"/>
      <c r="AI1057" s="643" t="n"/>
      <c r="AM1057" s="643" t="n"/>
      <c r="AQ1057" s="643" t="n"/>
      <c r="AU1057" s="643" t="n"/>
      <c r="AY1057" s="643" t="n"/>
      <c r="BC1057" s="643" t="n"/>
      <c r="BG1057" s="643" t="n"/>
    </row>
    <row r="1058" s="1168" customFormat="1" ht="12.75" customHeight="1">
      <c r="F1058" s="643" t="n"/>
      <c r="K1058" s="643" t="n"/>
      <c r="O1058" s="643" t="n"/>
      <c r="S1058" s="643" t="n"/>
      <c r="W1058" s="643" t="n"/>
      <c r="AA1058" s="643" t="n"/>
      <c r="AE1058" s="643" t="n"/>
      <c r="AI1058" s="643" t="n"/>
      <c r="AM1058" s="643" t="n"/>
      <c r="AQ1058" s="643" t="n"/>
      <c r="AU1058" s="643" t="n"/>
      <c r="AY1058" s="643" t="n"/>
      <c r="BC1058" s="643" t="n"/>
      <c r="BG1058" s="643" t="n"/>
    </row>
    <row r="1059" s="1168" customFormat="1" ht="12.75" customHeight="1">
      <c r="F1059" s="643" t="n"/>
      <c r="K1059" s="643" t="n"/>
      <c r="O1059" s="643" t="n"/>
      <c r="S1059" s="643" t="n"/>
      <c r="W1059" s="643" t="n"/>
      <c r="AA1059" s="643" t="n"/>
      <c r="AE1059" s="643" t="n"/>
      <c r="AI1059" s="643" t="n"/>
      <c r="AM1059" s="643" t="n"/>
      <c r="AQ1059" s="643" t="n"/>
      <c r="AU1059" s="643" t="n"/>
      <c r="AY1059" s="643" t="n"/>
      <c r="BC1059" s="643" t="n"/>
      <c r="BG1059" s="643" t="n"/>
    </row>
    <row r="1060" s="1168" customFormat="1" ht="12.75" customHeight="1">
      <c r="F1060" s="643" t="n"/>
      <c r="K1060" s="643" t="n"/>
      <c r="O1060" s="643" t="n"/>
      <c r="S1060" s="643" t="n"/>
      <c r="W1060" s="643" t="n"/>
      <c r="AA1060" s="643" t="n"/>
      <c r="AE1060" s="643" t="n"/>
      <c r="AI1060" s="643" t="n"/>
      <c r="AM1060" s="643" t="n"/>
      <c r="AQ1060" s="643" t="n"/>
      <c r="AU1060" s="643" t="n"/>
      <c r="AY1060" s="643" t="n"/>
      <c r="BC1060" s="643" t="n"/>
      <c r="BG1060" s="643" t="n"/>
    </row>
    <row r="1061" s="1168" customFormat="1" ht="12.75" customHeight="1">
      <c r="F1061" s="643" t="n"/>
      <c r="K1061" s="643" t="n"/>
      <c r="O1061" s="643" t="n"/>
      <c r="S1061" s="643" t="n"/>
      <c r="W1061" s="643" t="n"/>
      <c r="AA1061" s="643" t="n"/>
      <c r="AE1061" s="643" t="n"/>
      <c r="AI1061" s="643" t="n"/>
      <c r="AM1061" s="643" t="n"/>
      <c r="AQ1061" s="643" t="n"/>
      <c r="AU1061" s="643" t="n"/>
      <c r="AY1061" s="643" t="n"/>
      <c r="BC1061" s="643" t="n"/>
      <c r="BG1061" s="643" t="n"/>
    </row>
    <row r="1062" s="1168" customFormat="1" ht="12.75" customHeight="1">
      <c r="F1062" s="643" t="n"/>
      <c r="K1062" s="643" t="n"/>
      <c r="O1062" s="643" t="n"/>
      <c r="S1062" s="643" t="n"/>
      <c r="W1062" s="643" t="n"/>
      <c r="AA1062" s="643" t="n"/>
      <c r="AE1062" s="643" t="n"/>
      <c r="AI1062" s="643" t="n"/>
      <c r="AM1062" s="643" t="n"/>
      <c r="AQ1062" s="643" t="n"/>
      <c r="AU1062" s="643" t="n"/>
      <c r="AY1062" s="643" t="n"/>
      <c r="BC1062" s="643" t="n"/>
      <c r="BG1062" s="643" t="n"/>
    </row>
    <row r="1063" s="1168" customFormat="1" ht="12.75" customHeight="1">
      <c r="F1063" s="643" t="n"/>
      <c r="K1063" s="643" t="n"/>
      <c r="O1063" s="643" t="n"/>
      <c r="S1063" s="643" t="n"/>
      <c r="W1063" s="643" t="n"/>
      <c r="AA1063" s="643" t="n"/>
      <c r="AE1063" s="643" t="n"/>
      <c r="AI1063" s="643" t="n"/>
      <c r="AM1063" s="643" t="n"/>
      <c r="AQ1063" s="643" t="n"/>
      <c r="AU1063" s="643" t="n"/>
      <c r="AY1063" s="643" t="n"/>
      <c r="BC1063" s="643" t="n"/>
      <c r="BG1063" s="643" t="n"/>
    </row>
    <row r="1064" s="1168" customFormat="1" ht="12.75" customHeight="1">
      <c r="F1064" s="643" t="n"/>
      <c r="K1064" s="643" t="n"/>
      <c r="O1064" s="643" t="n"/>
      <c r="S1064" s="643" t="n"/>
      <c r="W1064" s="643" t="n"/>
      <c r="AA1064" s="643" t="n"/>
      <c r="AE1064" s="643" t="n"/>
      <c r="AI1064" s="643" t="n"/>
      <c r="AM1064" s="643" t="n"/>
      <c r="AQ1064" s="643" t="n"/>
      <c r="AU1064" s="643" t="n"/>
      <c r="AY1064" s="643" t="n"/>
      <c r="BC1064" s="643" t="n"/>
      <c r="BG1064" s="643" t="n"/>
    </row>
    <row r="1065" s="1168" customFormat="1" ht="12.75" customHeight="1">
      <c r="F1065" s="643" t="n"/>
      <c r="K1065" s="643" t="n"/>
      <c r="O1065" s="643" t="n"/>
      <c r="S1065" s="643" t="n"/>
      <c r="W1065" s="643" t="n"/>
      <c r="AA1065" s="643" t="n"/>
      <c r="AE1065" s="643" t="n"/>
      <c r="AI1065" s="643" t="n"/>
      <c r="AM1065" s="643" t="n"/>
      <c r="AQ1065" s="643" t="n"/>
      <c r="AU1065" s="643" t="n"/>
      <c r="AY1065" s="643" t="n"/>
      <c r="BC1065" s="643" t="n"/>
      <c r="BG1065" s="643" t="n"/>
    </row>
    <row r="1066" s="1168" customFormat="1" ht="12.75" customHeight="1">
      <c r="F1066" s="643" t="n"/>
      <c r="K1066" s="643" t="n"/>
      <c r="O1066" s="643" t="n"/>
      <c r="S1066" s="643" t="n"/>
      <c r="W1066" s="643" t="n"/>
      <c r="AA1066" s="643" t="n"/>
      <c r="AE1066" s="643" t="n"/>
      <c r="AI1066" s="643" t="n"/>
      <c r="AM1066" s="643" t="n"/>
      <c r="AQ1066" s="643" t="n"/>
      <c r="AU1066" s="643" t="n"/>
      <c r="AY1066" s="643" t="n"/>
      <c r="BC1066" s="643" t="n"/>
      <c r="BG1066" s="643" t="n"/>
    </row>
    <row r="1067" s="1168" customFormat="1" ht="12.75" customHeight="1">
      <c r="F1067" s="643" t="n"/>
      <c r="K1067" s="643" t="n"/>
      <c r="O1067" s="643" t="n"/>
      <c r="S1067" s="643" t="n"/>
      <c r="W1067" s="643" t="n"/>
      <c r="AA1067" s="643" t="n"/>
      <c r="AE1067" s="643" t="n"/>
      <c r="AI1067" s="643" t="n"/>
      <c r="AM1067" s="643" t="n"/>
      <c r="AQ1067" s="643" t="n"/>
      <c r="AU1067" s="643" t="n"/>
      <c r="AY1067" s="643" t="n"/>
      <c r="BC1067" s="643" t="n"/>
      <c r="BG1067" s="643" t="n"/>
    </row>
    <row r="1068" s="1168" customFormat="1" ht="12.75" customHeight="1">
      <c r="F1068" s="643" t="n"/>
      <c r="K1068" s="643" t="n"/>
      <c r="O1068" s="643" t="n"/>
      <c r="S1068" s="643" t="n"/>
      <c r="W1068" s="643" t="n"/>
      <c r="AA1068" s="643" t="n"/>
      <c r="AE1068" s="643" t="n"/>
      <c r="AI1068" s="643" t="n"/>
      <c r="AM1068" s="643" t="n"/>
      <c r="AQ1068" s="643" t="n"/>
      <c r="AU1068" s="643" t="n"/>
      <c r="AY1068" s="643" t="n"/>
      <c r="BC1068" s="643" t="n"/>
      <c r="BG1068" s="643" t="n"/>
    </row>
    <row r="1069" s="1168" customFormat="1" ht="12.75" customHeight="1">
      <c r="F1069" s="643" t="n"/>
      <c r="K1069" s="643" t="n"/>
      <c r="O1069" s="643" t="n"/>
      <c r="S1069" s="643" t="n"/>
      <c r="W1069" s="643" t="n"/>
      <c r="AA1069" s="643" t="n"/>
      <c r="AE1069" s="643" t="n"/>
      <c r="AI1069" s="643" t="n"/>
      <c r="AM1069" s="643" t="n"/>
      <c r="AQ1069" s="643" t="n"/>
      <c r="AU1069" s="643" t="n"/>
      <c r="AY1069" s="643" t="n"/>
      <c r="BC1069" s="643" t="n"/>
      <c r="BG1069" s="643" t="n"/>
    </row>
    <row r="1070" s="1168" customFormat="1" ht="12.75" customHeight="1">
      <c r="F1070" s="643" t="n"/>
      <c r="K1070" s="643" t="n"/>
      <c r="O1070" s="643" t="n"/>
      <c r="S1070" s="643" t="n"/>
      <c r="W1070" s="643" t="n"/>
      <c r="AA1070" s="643" t="n"/>
      <c r="AE1070" s="643" t="n"/>
      <c r="AI1070" s="643" t="n"/>
      <c r="AM1070" s="643" t="n"/>
      <c r="AQ1070" s="643" t="n"/>
      <c r="AU1070" s="643" t="n"/>
      <c r="AY1070" s="643" t="n"/>
      <c r="BC1070" s="643" t="n"/>
      <c r="BG1070" s="643" t="n"/>
    </row>
    <row r="1071" s="1168" customFormat="1" ht="12.75" customHeight="1">
      <c r="F1071" s="643" t="n"/>
      <c r="K1071" s="643" t="n"/>
      <c r="O1071" s="643" t="n"/>
      <c r="S1071" s="643" t="n"/>
      <c r="W1071" s="643" t="n"/>
      <c r="AA1071" s="643" t="n"/>
      <c r="AE1071" s="643" t="n"/>
      <c r="AI1071" s="643" t="n"/>
      <c r="AM1071" s="643" t="n"/>
      <c r="AQ1071" s="643" t="n"/>
      <c r="AU1071" s="643" t="n"/>
      <c r="AY1071" s="643" t="n"/>
      <c r="BC1071" s="643" t="n"/>
      <c r="BG1071" s="643" t="n"/>
    </row>
    <row r="1072" s="1168" customFormat="1" ht="12.75" customHeight="1">
      <c r="F1072" s="643" t="n"/>
      <c r="K1072" s="643" t="n"/>
      <c r="O1072" s="643" t="n"/>
      <c r="S1072" s="643" t="n"/>
      <c r="W1072" s="643" t="n"/>
      <c r="AA1072" s="643" t="n"/>
      <c r="AE1072" s="643" t="n"/>
      <c r="AI1072" s="643" t="n"/>
      <c r="AM1072" s="643" t="n"/>
      <c r="AQ1072" s="643" t="n"/>
      <c r="AU1072" s="643" t="n"/>
      <c r="AY1072" s="643" t="n"/>
      <c r="BC1072" s="643" t="n"/>
      <c r="BG1072" s="643" t="n"/>
    </row>
    <row r="1073" s="1168" customFormat="1" ht="12.75" customHeight="1">
      <c r="F1073" s="643" t="n"/>
      <c r="K1073" s="643" t="n"/>
      <c r="O1073" s="643" t="n"/>
      <c r="S1073" s="643" t="n"/>
      <c r="W1073" s="643" t="n"/>
      <c r="AA1073" s="643" t="n"/>
      <c r="AE1073" s="643" t="n"/>
      <c r="AI1073" s="643" t="n"/>
      <c r="AM1073" s="643" t="n"/>
      <c r="AQ1073" s="643" t="n"/>
      <c r="AU1073" s="643" t="n"/>
      <c r="AY1073" s="643" t="n"/>
      <c r="BC1073" s="643" t="n"/>
      <c r="BG1073" s="643" t="n"/>
    </row>
    <row r="1074" s="1168" customFormat="1" ht="12.75" customHeight="1">
      <c r="F1074" s="643" t="n"/>
      <c r="K1074" s="643" t="n"/>
      <c r="O1074" s="643" t="n"/>
      <c r="S1074" s="643" t="n"/>
      <c r="W1074" s="643" t="n"/>
      <c r="AA1074" s="643" t="n"/>
      <c r="AE1074" s="643" t="n"/>
      <c r="AI1074" s="643" t="n"/>
      <c r="AM1074" s="643" t="n"/>
      <c r="AQ1074" s="643" t="n"/>
      <c r="AU1074" s="643" t="n"/>
      <c r="AY1074" s="643" t="n"/>
      <c r="BC1074" s="643" t="n"/>
      <c r="BG1074" s="643" t="n"/>
    </row>
    <row r="1075" s="1168" customFormat="1" ht="12.75" customHeight="1">
      <c r="F1075" s="643" t="n"/>
      <c r="K1075" s="643" t="n"/>
      <c r="O1075" s="643" t="n"/>
      <c r="S1075" s="643" t="n"/>
      <c r="W1075" s="643" t="n"/>
      <c r="AA1075" s="643" t="n"/>
      <c r="AE1075" s="643" t="n"/>
      <c r="AI1075" s="643" t="n"/>
      <c r="AM1075" s="643" t="n"/>
      <c r="AQ1075" s="643" t="n"/>
      <c r="AU1075" s="643" t="n"/>
      <c r="AY1075" s="643" t="n"/>
      <c r="BC1075" s="643" t="n"/>
      <c r="BG1075" s="643" t="n"/>
    </row>
    <row r="1076" s="1168" customFormat="1" ht="12.75" customHeight="1">
      <c r="F1076" s="643" t="n"/>
      <c r="K1076" s="643" t="n"/>
      <c r="O1076" s="643" t="n"/>
      <c r="S1076" s="643" t="n"/>
      <c r="W1076" s="643" t="n"/>
      <c r="AA1076" s="643" t="n"/>
      <c r="AE1076" s="643" t="n"/>
      <c r="AI1076" s="643" t="n"/>
      <c r="AM1076" s="643" t="n"/>
      <c r="AQ1076" s="643" t="n"/>
      <c r="AU1076" s="643" t="n"/>
      <c r="AY1076" s="643" t="n"/>
      <c r="BC1076" s="643" t="n"/>
      <c r="BG1076" s="643" t="n"/>
    </row>
    <row r="1077" s="1168" customFormat="1" ht="12.75" customHeight="1">
      <c r="F1077" s="643" t="n"/>
      <c r="K1077" s="643" t="n"/>
      <c r="O1077" s="643" t="n"/>
      <c r="S1077" s="643" t="n"/>
      <c r="W1077" s="643" t="n"/>
      <c r="AA1077" s="643" t="n"/>
      <c r="AE1077" s="643" t="n"/>
      <c r="AI1077" s="643" t="n"/>
      <c r="AM1077" s="643" t="n"/>
      <c r="AQ1077" s="643" t="n"/>
      <c r="AU1077" s="643" t="n"/>
      <c r="AY1077" s="643" t="n"/>
      <c r="BC1077" s="643" t="n"/>
      <c r="BG1077" s="643" t="n"/>
    </row>
    <row r="1078" s="1168" customFormat="1" ht="12.75" customHeight="1">
      <c r="F1078" s="643" t="n"/>
      <c r="K1078" s="643" t="n"/>
      <c r="O1078" s="643" t="n"/>
      <c r="S1078" s="643" t="n"/>
      <c r="W1078" s="643" t="n"/>
      <c r="AA1078" s="643" t="n"/>
      <c r="AE1078" s="643" t="n"/>
      <c r="AI1078" s="643" t="n"/>
      <c r="AM1078" s="643" t="n"/>
      <c r="AQ1078" s="643" t="n"/>
      <c r="AU1078" s="643" t="n"/>
      <c r="AY1078" s="643" t="n"/>
      <c r="BC1078" s="643" t="n"/>
      <c r="BG1078" s="643" t="n"/>
    </row>
    <row r="1079" s="1168" customFormat="1" ht="12.75" customHeight="1">
      <c r="F1079" s="643" t="n"/>
      <c r="K1079" s="643" t="n"/>
      <c r="O1079" s="643" t="n"/>
      <c r="S1079" s="643" t="n"/>
      <c r="W1079" s="643" t="n"/>
      <c r="AA1079" s="643" t="n"/>
      <c r="AE1079" s="643" t="n"/>
      <c r="AI1079" s="643" t="n"/>
      <c r="AM1079" s="643" t="n"/>
      <c r="AQ1079" s="643" t="n"/>
      <c r="AU1079" s="643" t="n"/>
      <c r="AY1079" s="643" t="n"/>
      <c r="BC1079" s="643" t="n"/>
      <c r="BG1079" s="643" t="n"/>
    </row>
    <row r="1080" s="1168" customFormat="1" ht="12.75" customHeight="1">
      <c r="F1080" s="643" t="n"/>
      <c r="K1080" s="643" t="n"/>
      <c r="O1080" s="643" t="n"/>
      <c r="S1080" s="643" t="n"/>
      <c r="W1080" s="643" t="n"/>
      <c r="AA1080" s="643" t="n"/>
      <c r="AE1080" s="643" t="n"/>
      <c r="AI1080" s="643" t="n"/>
      <c r="AM1080" s="643" t="n"/>
      <c r="AQ1080" s="643" t="n"/>
      <c r="AU1080" s="643" t="n"/>
      <c r="AY1080" s="643" t="n"/>
      <c r="BC1080" s="643" t="n"/>
      <c r="BG1080" s="643" t="n"/>
    </row>
    <row r="1081" s="1168" customFormat="1" ht="12.75" customHeight="1">
      <c r="F1081" s="643" t="n"/>
      <c r="K1081" s="643" t="n"/>
      <c r="O1081" s="643" t="n"/>
      <c r="S1081" s="643" t="n"/>
      <c r="W1081" s="643" t="n"/>
      <c r="AA1081" s="643" t="n"/>
      <c r="AE1081" s="643" t="n"/>
      <c r="AI1081" s="643" t="n"/>
      <c r="AM1081" s="643" t="n"/>
      <c r="AQ1081" s="643" t="n"/>
      <c r="AU1081" s="643" t="n"/>
      <c r="AY1081" s="643" t="n"/>
      <c r="BC1081" s="643" t="n"/>
      <c r="BG1081" s="643" t="n"/>
    </row>
    <row r="1082" s="1168" customFormat="1" ht="12.75" customHeight="1">
      <c r="F1082" s="643" t="n"/>
      <c r="K1082" s="643" t="n"/>
      <c r="O1082" s="643" t="n"/>
      <c r="S1082" s="643" t="n"/>
      <c r="W1082" s="643" t="n"/>
      <c r="AA1082" s="643" t="n"/>
      <c r="AE1082" s="643" t="n"/>
      <c r="AI1082" s="643" t="n"/>
      <c r="AM1082" s="643" t="n"/>
      <c r="AQ1082" s="643" t="n"/>
      <c r="AU1082" s="643" t="n"/>
      <c r="AY1082" s="643" t="n"/>
      <c r="BC1082" s="643" t="n"/>
      <c r="BG1082" s="643" t="n"/>
    </row>
    <row r="1083" s="1168" customFormat="1" ht="12.75" customHeight="1">
      <c r="F1083" s="643" t="n"/>
      <c r="K1083" s="643" t="n"/>
      <c r="O1083" s="643" t="n"/>
      <c r="S1083" s="643" t="n"/>
      <c r="W1083" s="643" t="n"/>
      <c r="AA1083" s="643" t="n"/>
      <c r="AE1083" s="643" t="n"/>
      <c r="AI1083" s="643" t="n"/>
      <c r="AM1083" s="643" t="n"/>
      <c r="AQ1083" s="643" t="n"/>
      <c r="AU1083" s="643" t="n"/>
      <c r="AY1083" s="643" t="n"/>
      <c r="BC1083" s="643" t="n"/>
      <c r="BG1083" s="643" t="n"/>
    </row>
    <row r="1084" s="1168" customFormat="1" ht="12.75" customHeight="1">
      <c r="F1084" s="643" t="n"/>
      <c r="K1084" s="643" t="n"/>
      <c r="O1084" s="643" t="n"/>
      <c r="S1084" s="643" t="n"/>
      <c r="W1084" s="643" t="n"/>
      <c r="AA1084" s="643" t="n"/>
      <c r="AE1084" s="643" t="n"/>
      <c r="AI1084" s="643" t="n"/>
      <c r="AM1084" s="643" t="n"/>
      <c r="AQ1084" s="643" t="n"/>
      <c r="AU1084" s="643" t="n"/>
      <c r="AY1084" s="643" t="n"/>
      <c r="BC1084" s="643" t="n"/>
      <c r="BG1084" s="643" t="n"/>
    </row>
    <row r="1085" s="1168" customFormat="1" ht="12.75" customHeight="1">
      <c r="F1085" s="643" t="n"/>
      <c r="K1085" s="643" t="n"/>
      <c r="O1085" s="643" t="n"/>
      <c r="S1085" s="643" t="n"/>
      <c r="W1085" s="643" t="n"/>
      <c r="AA1085" s="643" t="n"/>
      <c r="AE1085" s="643" t="n"/>
      <c r="AI1085" s="643" t="n"/>
      <c r="AM1085" s="643" t="n"/>
      <c r="AQ1085" s="643" t="n"/>
      <c r="AU1085" s="643" t="n"/>
      <c r="AY1085" s="643" t="n"/>
      <c r="BC1085" s="643" t="n"/>
      <c r="BG1085" s="643" t="n"/>
    </row>
    <row r="1086" s="1168" customFormat="1" ht="12.75" customHeight="1">
      <c r="F1086" s="643" t="n"/>
      <c r="K1086" s="643" t="n"/>
      <c r="O1086" s="643" t="n"/>
      <c r="S1086" s="643" t="n"/>
      <c r="W1086" s="643" t="n"/>
      <c r="AA1086" s="643" t="n"/>
      <c r="AE1086" s="643" t="n"/>
      <c r="AI1086" s="643" t="n"/>
      <c r="AM1086" s="643" t="n"/>
      <c r="AQ1086" s="643" t="n"/>
      <c r="AU1086" s="643" t="n"/>
      <c r="AY1086" s="643" t="n"/>
      <c r="BC1086" s="643" t="n"/>
      <c r="BG1086" s="643" t="n"/>
    </row>
    <row r="1087" s="1168" customFormat="1" ht="12.75" customHeight="1">
      <c r="F1087" s="643" t="n"/>
      <c r="K1087" s="643" t="n"/>
      <c r="O1087" s="643" t="n"/>
      <c r="S1087" s="643" t="n"/>
      <c r="W1087" s="643" t="n"/>
      <c r="AA1087" s="643" t="n"/>
      <c r="AE1087" s="643" t="n"/>
      <c r="AI1087" s="643" t="n"/>
      <c r="AM1087" s="643" t="n"/>
      <c r="AQ1087" s="643" t="n"/>
      <c r="AU1087" s="643" t="n"/>
      <c r="AY1087" s="643" t="n"/>
      <c r="BC1087" s="643" t="n"/>
      <c r="BG1087" s="643" t="n"/>
    </row>
    <row r="1088" s="1168" customFormat="1" ht="12.75" customHeight="1">
      <c r="F1088" s="643" t="n"/>
      <c r="K1088" s="643" t="n"/>
      <c r="O1088" s="643" t="n"/>
      <c r="S1088" s="643" t="n"/>
      <c r="W1088" s="643" t="n"/>
      <c r="AA1088" s="643" t="n"/>
      <c r="AE1088" s="643" t="n"/>
      <c r="AI1088" s="643" t="n"/>
      <c r="AM1088" s="643" t="n"/>
      <c r="AQ1088" s="643" t="n"/>
      <c r="AU1088" s="643" t="n"/>
      <c r="AY1088" s="643" t="n"/>
      <c r="BC1088" s="643" t="n"/>
      <c r="BG1088" s="643" t="n"/>
    </row>
    <row r="1089" s="1168" customFormat="1" ht="12.75" customHeight="1">
      <c r="F1089" s="643" t="n"/>
      <c r="K1089" s="643" t="n"/>
      <c r="O1089" s="643" t="n"/>
      <c r="S1089" s="643" t="n"/>
      <c r="W1089" s="643" t="n"/>
      <c r="AA1089" s="643" t="n"/>
      <c r="AE1089" s="643" t="n"/>
      <c r="AI1089" s="643" t="n"/>
      <c r="AM1089" s="643" t="n"/>
      <c r="AQ1089" s="643" t="n"/>
      <c r="AU1089" s="643" t="n"/>
      <c r="AY1089" s="643" t="n"/>
      <c r="BC1089" s="643" t="n"/>
      <c r="BG1089" s="643" t="n"/>
    </row>
    <row r="1090" s="1168" customFormat="1" ht="12.75" customHeight="1">
      <c r="F1090" s="643" t="n"/>
      <c r="K1090" s="643" t="n"/>
      <c r="O1090" s="643" t="n"/>
      <c r="S1090" s="643" t="n"/>
      <c r="W1090" s="643" t="n"/>
      <c r="AA1090" s="643" t="n"/>
      <c r="AE1090" s="643" t="n"/>
      <c r="AI1090" s="643" t="n"/>
      <c r="AM1090" s="643" t="n"/>
      <c r="AQ1090" s="643" t="n"/>
      <c r="AU1090" s="643" t="n"/>
      <c r="AY1090" s="643" t="n"/>
      <c r="BC1090" s="643" t="n"/>
      <c r="BG1090" s="643" t="n"/>
    </row>
    <row r="1091" s="1168" customFormat="1" ht="12.75" customHeight="1">
      <c r="F1091" s="643" t="n"/>
      <c r="K1091" s="643" t="n"/>
      <c r="O1091" s="643" t="n"/>
      <c r="S1091" s="643" t="n"/>
      <c r="W1091" s="643" t="n"/>
      <c r="AA1091" s="643" t="n"/>
      <c r="AE1091" s="643" t="n"/>
      <c r="AI1091" s="643" t="n"/>
      <c r="AM1091" s="643" t="n"/>
      <c r="AQ1091" s="643" t="n"/>
      <c r="AU1091" s="643" t="n"/>
      <c r="AY1091" s="643" t="n"/>
      <c r="BC1091" s="643" t="n"/>
      <c r="BG1091" s="643" t="n"/>
    </row>
    <row r="1092" s="1168" customFormat="1" ht="12.75" customHeight="1">
      <c r="F1092" s="643" t="n"/>
      <c r="K1092" s="643" t="n"/>
      <c r="O1092" s="643" t="n"/>
      <c r="S1092" s="643" t="n"/>
      <c r="W1092" s="643" t="n"/>
      <c r="AA1092" s="643" t="n"/>
      <c r="AE1092" s="643" t="n"/>
      <c r="AI1092" s="643" t="n"/>
      <c r="AM1092" s="643" t="n"/>
      <c r="AQ1092" s="643" t="n"/>
      <c r="AU1092" s="643" t="n"/>
      <c r="AY1092" s="643" t="n"/>
      <c r="BC1092" s="643" t="n"/>
      <c r="BG1092" s="643" t="n"/>
    </row>
    <row r="1093" s="1168" customFormat="1" ht="12.75" customHeight="1">
      <c r="F1093" s="643" t="n"/>
      <c r="K1093" s="643" t="n"/>
      <c r="O1093" s="643" t="n"/>
      <c r="S1093" s="643" t="n"/>
      <c r="W1093" s="643" t="n"/>
      <c r="AA1093" s="643" t="n"/>
      <c r="AE1093" s="643" t="n"/>
      <c r="AI1093" s="643" t="n"/>
      <c r="AM1093" s="643" t="n"/>
      <c r="AQ1093" s="643" t="n"/>
      <c r="AU1093" s="643" t="n"/>
      <c r="AY1093" s="643" t="n"/>
      <c r="BC1093" s="643" t="n"/>
      <c r="BG1093" s="643" t="n"/>
    </row>
    <row r="1094" s="1168" customFormat="1" ht="12.75" customHeight="1">
      <c r="F1094" s="643" t="n"/>
      <c r="K1094" s="643" t="n"/>
      <c r="O1094" s="643" t="n"/>
      <c r="S1094" s="643" t="n"/>
      <c r="W1094" s="643" t="n"/>
      <c r="AA1094" s="643" t="n"/>
      <c r="AE1094" s="643" t="n"/>
      <c r="AI1094" s="643" t="n"/>
      <c r="AM1094" s="643" t="n"/>
      <c r="AQ1094" s="643" t="n"/>
      <c r="AU1094" s="643" t="n"/>
      <c r="AY1094" s="643" t="n"/>
      <c r="BC1094" s="643" t="n"/>
      <c r="BG1094" s="643" t="n"/>
    </row>
    <row r="1095" s="1168" customFormat="1" ht="12.75" customHeight="1">
      <c r="F1095" s="643" t="n"/>
      <c r="K1095" s="643" t="n"/>
      <c r="O1095" s="643" t="n"/>
      <c r="S1095" s="643" t="n"/>
      <c r="W1095" s="643" t="n"/>
      <c r="AA1095" s="643" t="n"/>
      <c r="AE1095" s="643" t="n"/>
      <c r="AI1095" s="643" t="n"/>
      <c r="AM1095" s="643" t="n"/>
      <c r="AQ1095" s="643" t="n"/>
      <c r="AU1095" s="643" t="n"/>
      <c r="AY1095" s="643" t="n"/>
      <c r="BC1095" s="643" t="n"/>
      <c r="BG1095" s="643" t="n"/>
    </row>
    <row r="1096" s="1168" customFormat="1" ht="12.75" customHeight="1">
      <c r="F1096" s="643" t="n"/>
      <c r="K1096" s="643" t="n"/>
      <c r="O1096" s="643" t="n"/>
      <c r="S1096" s="643" t="n"/>
      <c r="W1096" s="643" t="n"/>
      <c r="AA1096" s="643" t="n"/>
      <c r="AE1096" s="643" t="n"/>
      <c r="AI1096" s="643" t="n"/>
      <c r="AM1096" s="643" t="n"/>
      <c r="AQ1096" s="643" t="n"/>
      <c r="AU1096" s="643" t="n"/>
      <c r="AY1096" s="643" t="n"/>
      <c r="BC1096" s="643" t="n"/>
      <c r="BG1096" s="643" t="n"/>
    </row>
    <row r="1097" s="1168" customFormat="1" ht="12.75" customHeight="1">
      <c r="F1097" s="643" t="n"/>
      <c r="K1097" s="643" t="n"/>
      <c r="O1097" s="643" t="n"/>
      <c r="S1097" s="643" t="n"/>
      <c r="W1097" s="643" t="n"/>
      <c r="AA1097" s="643" t="n"/>
      <c r="AE1097" s="643" t="n"/>
      <c r="AI1097" s="643" t="n"/>
      <c r="AM1097" s="643" t="n"/>
      <c r="AQ1097" s="643" t="n"/>
      <c r="AU1097" s="643" t="n"/>
      <c r="AY1097" s="643" t="n"/>
      <c r="BC1097" s="643" t="n"/>
      <c r="BG1097" s="643" t="n"/>
    </row>
    <row r="1098" s="1168" customFormat="1" ht="12.75" customHeight="1">
      <c r="F1098" s="643" t="n"/>
      <c r="K1098" s="643" t="n"/>
      <c r="O1098" s="643" t="n"/>
      <c r="S1098" s="643" t="n"/>
      <c r="W1098" s="643" t="n"/>
      <c r="AA1098" s="643" t="n"/>
      <c r="AE1098" s="643" t="n"/>
      <c r="AI1098" s="643" t="n"/>
      <c r="AM1098" s="643" t="n"/>
      <c r="AQ1098" s="643" t="n"/>
      <c r="AU1098" s="643" t="n"/>
      <c r="AY1098" s="643" t="n"/>
      <c r="BC1098" s="643" t="n"/>
      <c r="BG1098" s="643" t="n"/>
    </row>
    <row r="1099" s="1168" customFormat="1" ht="12.75" customHeight="1">
      <c r="F1099" s="643" t="n"/>
      <c r="K1099" s="643" t="n"/>
      <c r="O1099" s="643" t="n"/>
      <c r="S1099" s="643" t="n"/>
      <c r="W1099" s="643" t="n"/>
      <c r="AA1099" s="643" t="n"/>
      <c r="AE1099" s="643" t="n"/>
      <c r="AI1099" s="643" t="n"/>
      <c r="AM1099" s="643" t="n"/>
      <c r="AQ1099" s="643" t="n"/>
      <c r="AU1099" s="643" t="n"/>
      <c r="AY1099" s="643" t="n"/>
      <c r="BC1099" s="643" t="n"/>
      <c r="BG1099" s="643" t="n"/>
    </row>
    <row r="1100" s="1168" customFormat="1" ht="12.75" customHeight="1">
      <c r="F1100" s="643" t="n"/>
      <c r="K1100" s="643" t="n"/>
      <c r="O1100" s="643" t="n"/>
      <c r="S1100" s="643" t="n"/>
      <c r="W1100" s="643" t="n"/>
      <c r="AA1100" s="643" t="n"/>
      <c r="AE1100" s="643" t="n"/>
      <c r="AI1100" s="643" t="n"/>
      <c r="AM1100" s="643" t="n"/>
      <c r="AQ1100" s="643" t="n"/>
      <c r="AU1100" s="643" t="n"/>
      <c r="AY1100" s="643" t="n"/>
      <c r="BC1100" s="643" t="n"/>
      <c r="BG1100" s="643" t="n"/>
    </row>
    <row r="1101" s="1168" customFormat="1" ht="12.75" customHeight="1">
      <c r="F1101" s="643" t="n"/>
      <c r="K1101" s="643" t="n"/>
      <c r="O1101" s="643" t="n"/>
      <c r="S1101" s="643" t="n"/>
      <c r="W1101" s="643" t="n"/>
      <c r="AA1101" s="643" t="n"/>
      <c r="AE1101" s="643" t="n"/>
      <c r="AI1101" s="643" t="n"/>
      <c r="AM1101" s="643" t="n"/>
      <c r="AQ1101" s="643" t="n"/>
      <c r="AU1101" s="643" t="n"/>
      <c r="AY1101" s="643" t="n"/>
      <c r="BC1101" s="643" t="n"/>
      <c r="BG1101" s="643" t="n"/>
    </row>
    <row r="1102" s="1168" customFormat="1" ht="12.75" customHeight="1">
      <c r="F1102" s="643" t="n"/>
      <c r="K1102" s="643" t="n"/>
      <c r="O1102" s="643" t="n"/>
      <c r="S1102" s="643" t="n"/>
      <c r="W1102" s="643" t="n"/>
      <c r="AA1102" s="643" t="n"/>
      <c r="AE1102" s="643" t="n"/>
      <c r="AI1102" s="643" t="n"/>
      <c r="AM1102" s="643" t="n"/>
      <c r="AQ1102" s="643" t="n"/>
      <c r="AU1102" s="643" t="n"/>
      <c r="AY1102" s="643" t="n"/>
      <c r="BC1102" s="643" t="n"/>
      <c r="BG1102" s="643" t="n"/>
    </row>
    <row r="1103" s="1168" customFormat="1" ht="12.75" customHeight="1">
      <c r="F1103" s="643" t="n"/>
      <c r="K1103" s="643" t="n"/>
      <c r="O1103" s="643" t="n"/>
      <c r="S1103" s="643" t="n"/>
      <c r="W1103" s="643" t="n"/>
      <c r="AA1103" s="643" t="n"/>
      <c r="AE1103" s="643" t="n"/>
      <c r="AI1103" s="643" t="n"/>
      <c r="AM1103" s="643" t="n"/>
      <c r="AQ1103" s="643" t="n"/>
      <c r="AU1103" s="643" t="n"/>
      <c r="AY1103" s="643" t="n"/>
      <c r="BC1103" s="643" t="n"/>
      <c r="BG1103" s="643" t="n"/>
    </row>
    <row r="1104" s="1168" customFormat="1" ht="12.75" customHeight="1">
      <c r="F1104" s="643" t="n"/>
      <c r="K1104" s="643" t="n"/>
      <c r="O1104" s="643" t="n"/>
      <c r="S1104" s="643" t="n"/>
      <c r="W1104" s="643" t="n"/>
      <c r="AA1104" s="643" t="n"/>
      <c r="AE1104" s="643" t="n"/>
      <c r="AI1104" s="643" t="n"/>
      <c r="AM1104" s="643" t="n"/>
      <c r="AQ1104" s="643" t="n"/>
      <c r="AU1104" s="643" t="n"/>
      <c r="AY1104" s="643" t="n"/>
      <c r="BC1104" s="643" t="n"/>
      <c r="BG1104" s="643" t="n"/>
    </row>
    <row r="1105" s="1168" customFormat="1" ht="12.75" customHeight="1">
      <c r="F1105" s="643" t="n"/>
      <c r="K1105" s="643" t="n"/>
      <c r="O1105" s="643" t="n"/>
      <c r="S1105" s="643" t="n"/>
      <c r="W1105" s="643" t="n"/>
      <c r="AA1105" s="643" t="n"/>
      <c r="AE1105" s="643" t="n"/>
      <c r="AI1105" s="643" t="n"/>
      <c r="AM1105" s="643" t="n"/>
      <c r="AQ1105" s="643" t="n"/>
      <c r="AU1105" s="643" t="n"/>
      <c r="AY1105" s="643" t="n"/>
      <c r="BC1105" s="643" t="n"/>
      <c r="BG1105" s="643" t="n"/>
    </row>
    <row r="1106" s="1168" customFormat="1" ht="12.75" customHeight="1">
      <c r="F1106" s="643" t="n"/>
      <c r="K1106" s="643" t="n"/>
      <c r="O1106" s="643" t="n"/>
      <c r="S1106" s="643" t="n"/>
      <c r="W1106" s="643" t="n"/>
      <c r="AA1106" s="643" t="n"/>
      <c r="AE1106" s="643" t="n"/>
      <c r="AI1106" s="643" t="n"/>
      <c r="AM1106" s="643" t="n"/>
      <c r="AQ1106" s="643" t="n"/>
      <c r="AU1106" s="643" t="n"/>
      <c r="AY1106" s="643" t="n"/>
      <c r="BC1106" s="643" t="n"/>
      <c r="BG1106" s="643" t="n"/>
    </row>
    <row r="1107" s="1168" customFormat="1" ht="12.75" customHeight="1">
      <c r="F1107" s="643" t="n"/>
      <c r="K1107" s="643" t="n"/>
      <c r="O1107" s="643" t="n"/>
      <c r="S1107" s="643" t="n"/>
      <c r="W1107" s="643" t="n"/>
      <c r="AA1107" s="643" t="n"/>
      <c r="AE1107" s="643" t="n"/>
      <c r="AI1107" s="643" t="n"/>
      <c r="AM1107" s="643" t="n"/>
      <c r="AQ1107" s="643" t="n"/>
      <c r="AU1107" s="643" t="n"/>
      <c r="AY1107" s="643" t="n"/>
      <c r="BC1107" s="643" t="n"/>
      <c r="BG1107" s="643" t="n"/>
    </row>
    <row r="1108" s="1168" customFormat="1" ht="12.75" customHeight="1">
      <c r="F1108" s="643" t="n"/>
      <c r="K1108" s="643" t="n"/>
      <c r="O1108" s="643" t="n"/>
      <c r="S1108" s="643" t="n"/>
      <c r="W1108" s="643" t="n"/>
      <c r="AA1108" s="643" t="n"/>
      <c r="AE1108" s="643" t="n"/>
      <c r="AI1108" s="643" t="n"/>
      <c r="AM1108" s="643" t="n"/>
      <c r="AQ1108" s="643" t="n"/>
      <c r="AU1108" s="643" t="n"/>
      <c r="AY1108" s="643" t="n"/>
      <c r="BC1108" s="643" t="n"/>
      <c r="BG1108" s="643" t="n"/>
    </row>
    <row r="1109" s="1168" customFormat="1" ht="12.75" customHeight="1">
      <c r="F1109" s="643" t="n"/>
      <c r="K1109" s="643" t="n"/>
      <c r="O1109" s="643" t="n"/>
      <c r="S1109" s="643" t="n"/>
      <c r="W1109" s="643" t="n"/>
      <c r="AA1109" s="643" t="n"/>
      <c r="AE1109" s="643" t="n"/>
      <c r="AI1109" s="643" t="n"/>
      <c r="AM1109" s="643" t="n"/>
      <c r="AQ1109" s="643" t="n"/>
      <c r="AU1109" s="643" t="n"/>
      <c r="AY1109" s="643" t="n"/>
      <c r="BC1109" s="643" t="n"/>
      <c r="BG1109" s="643" t="n"/>
    </row>
    <row r="1110" s="1168" customFormat="1" ht="12.75" customHeight="1">
      <c r="F1110" s="643" t="n"/>
      <c r="K1110" s="643" t="n"/>
      <c r="O1110" s="643" t="n"/>
      <c r="S1110" s="643" t="n"/>
      <c r="W1110" s="643" t="n"/>
      <c r="AA1110" s="643" t="n"/>
      <c r="AE1110" s="643" t="n"/>
      <c r="AI1110" s="643" t="n"/>
      <c r="AM1110" s="643" t="n"/>
      <c r="AQ1110" s="643" t="n"/>
      <c r="AU1110" s="643" t="n"/>
      <c r="AY1110" s="643" t="n"/>
      <c r="BC1110" s="643" t="n"/>
      <c r="BG1110" s="643" t="n"/>
    </row>
    <row r="1111" s="1168" customFormat="1" ht="12.75" customHeight="1">
      <c r="F1111" s="643" t="n"/>
      <c r="K1111" s="643" t="n"/>
      <c r="O1111" s="643" t="n"/>
      <c r="S1111" s="643" t="n"/>
      <c r="W1111" s="643" t="n"/>
      <c r="AA1111" s="643" t="n"/>
      <c r="AE1111" s="643" t="n"/>
      <c r="AI1111" s="643" t="n"/>
      <c r="AM1111" s="643" t="n"/>
      <c r="AQ1111" s="643" t="n"/>
      <c r="AU1111" s="643" t="n"/>
      <c r="AY1111" s="643" t="n"/>
      <c r="BC1111" s="643" t="n"/>
      <c r="BG1111" s="643" t="n"/>
    </row>
    <row r="1112" s="1168" customFormat="1" ht="12.75" customHeight="1">
      <c r="F1112" s="643" t="n"/>
      <c r="K1112" s="643" t="n"/>
      <c r="O1112" s="643" t="n"/>
      <c r="S1112" s="643" t="n"/>
      <c r="W1112" s="643" t="n"/>
      <c r="AA1112" s="643" t="n"/>
      <c r="AE1112" s="643" t="n"/>
      <c r="AI1112" s="643" t="n"/>
      <c r="AM1112" s="643" t="n"/>
      <c r="AQ1112" s="643" t="n"/>
      <c r="AU1112" s="643" t="n"/>
      <c r="AY1112" s="643" t="n"/>
      <c r="BC1112" s="643" t="n"/>
      <c r="BG1112" s="643" t="n"/>
    </row>
    <row r="1113" s="1168" customFormat="1" ht="12.75" customHeight="1">
      <c r="F1113" s="643" t="n"/>
      <c r="K1113" s="643" t="n"/>
      <c r="O1113" s="643" t="n"/>
      <c r="S1113" s="643" t="n"/>
      <c r="W1113" s="643" t="n"/>
      <c r="AA1113" s="643" t="n"/>
      <c r="AE1113" s="643" t="n"/>
      <c r="AI1113" s="643" t="n"/>
      <c r="AM1113" s="643" t="n"/>
      <c r="AQ1113" s="643" t="n"/>
      <c r="AU1113" s="643" t="n"/>
      <c r="AY1113" s="643" t="n"/>
      <c r="BC1113" s="643" t="n"/>
      <c r="BG1113" s="643" t="n"/>
    </row>
    <row r="1114" s="1168" customFormat="1" ht="12.75" customHeight="1">
      <c r="F1114" s="643" t="n"/>
      <c r="K1114" s="643" t="n"/>
      <c r="O1114" s="643" t="n"/>
      <c r="S1114" s="643" t="n"/>
      <c r="W1114" s="643" t="n"/>
      <c r="AA1114" s="643" t="n"/>
      <c r="AE1114" s="643" t="n"/>
      <c r="AI1114" s="643" t="n"/>
      <c r="AM1114" s="643" t="n"/>
      <c r="AQ1114" s="643" t="n"/>
      <c r="AU1114" s="643" t="n"/>
      <c r="AY1114" s="643" t="n"/>
      <c r="BC1114" s="643" t="n"/>
      <c r="BG1114" s="643" t="n"/>
    </row>
    <row r="1115" s="1168" customFormat="1" ht="12.75" customHeight="1">
      <c r="F1115" s="643" t="n"/>
      <c r="K1115" s="643" t="n"/>
      <c r="O1115" s="643" t="n"/>
      <c r="S1115" s="643" t="n"/>
      <c r="W1115" s="643" t="n"/>
      <c r="AA1115" s="643" t="n"/>
      <c r="AE1115" s="643" t="n"/>
      <c r="AI1115" s="643" t="n"/>
      <c r="AM1115" s="643" t="n"/>
      <c r="AQ1115" s="643" t="n"/>
      <c r="AU1115" s="643" t="n"/>
      <c r="AY1115" s="643" t="n"/>
      <c r="BC1115" s="643" t="n"/>
      <c r="BG1115" s="643" t="n"/>
    </row>
    <row r="1116" s="1168" customFormat="1" ht="12.75" customHeight="1">
      <c r="F1116" s="643" t="n"/>
      <c r="K1116" s="643" t="n"/>
      <c r="O1116" s="643" t="n"/>
      <c r="S1116" s="643" t="n"/>
      <c r="W1116" s="643" t="n"/>
      <c r="AA1116" s="643" t="n"/>
      <c r="AE1116" s="643" t="n"/>
      <c r="AI1116" s="643" t="n"/>
      <c r="AM1116" s="643" t="n"/>
      <c r="AQ1116" s="643" t="n"/>
      <c r="AU1116" s="643" t="n"/>
      <c r="AY1116" s="643" t="n"/>
      <c r="BC1116" s="643" t="n"/>
      <c r="BG1116" s="643" t="n"/>
    </row>
    <row r="1117" s="1168" customFormat="1" ht="12.75" customHeight="1">
      <c r="F1117" s="643" t="n"/>
      <c r="K1117" s="643" t="n"/>
      <c r="O1117" s="643" t="n"/>
      <c r="S1117" s="643" t="n"/>
      <c r="W1117" s="643" t="n"/>
      <c r="AA1117" s="643" t="n"/>
      <c r="AE1117" s="643" t="n"/>
      <c r="AI1117" s="643" t="n"/>
      <c r="AM1117" s="643" t="n"/>
      <c r="AQ1117" s="643" t="n"/>
      <c r="AU1117" s="643" t="n"/>
      <c r="AY1117" s="643" t="n"/>
      <c r="BC1117" s="643" t="n"/>
      <c r="BG1117" s="643" t="n"/>
    </row>
    <row r="1118" s="1168" customFormat="1" ht="12.75" customHeight="1">
      <c r="F1118" s="643" t="n"/>
      <c r="K1118" s="643" t="n"/>
      <c r="O1118" s="643" t="n"/>
      <c r="S1118" s="643" t="n"/>
      <c r="W1118" s="643" t="n"/>
      <c r="AA1118" s="643" t="n"/>
      <c r="AE1118" s="643" t="n"/>
      <c r="AI1118" s="643" t="n"/>
      <c r="AM1118" s="643" t="n"/>
      <c r="AQ1118" s="643" t="n"/>
      <c r="AU1118" s="643" t="n"/>
      <c r="AY1118" s="643" t="n"/>
      <c r="BC1118" s="643" t="n"/>
      <c r="BG1118" s="643" t="n"/>
    </row>
    <row r="1119" s="1168" customFormat="1" ht="12.75" customHeight="1">
      <c r="F1119" s="643" t="n"/>
      <c r="K1119" s="643" t="n"/>
      <c r="O1119" s="643" t="n"/>
      <c r="S1119" s="643" t="n"/>
      <c r="W1119" s="643" t="n"/>
      <c r="AA1119" s="643" t="n"/>
      <c r="AE1119" s="643" t="n"/>
      <c r="AI1119" s="643" t="n"/>
      <c r="AM1119" s="643" t="n"/>
      <c r="AQ1119" s="643" t="n"/>
      <c r="AU1119" s="643" t="n"/>
      <c r="AY1119" s="643" t="n"/>
      <c r="BC1119" s="643" t="n"/>
      <c r="BG1119" s="643" t="n"/>
    </row>
    <row r="1120" s="1168" customFormat="1" ht="12.75" customHeight="1">
      <c r="F1120" s="643" t="n"/>
      <c r="K1120" s="643" t="n"/>
      <c r="O1120" s="643" t="n"/>
      <c r="S1120" s="643" t="n"/>
      <c r="W1120" s="643" t="n"/>
      <c r="AA1120" s="643" t="n"/>
      <c r="AE1120" s="643" t="n"/>
      <c r="AI1120" s="643" t="n"/>
      <c r="AM1120" s="643" t="n"/>
      <c r="AQ1120" s="643" t="n"/>
      <c r="AU1120" s="643" t="n"/>
      <c r="AY1120" s="643" t="n"/>
      <c r="BC1120" s="643" t="n"/>
      <c r="BG1120" s="643" t="n"/>
    </row>
    <row r="1121" s="1168" customFormat="1" ht="12.75" customHeight="1">
      <c r="F1121" s="643" t="n"/>
      <c r="K1121" s="643" t="n"/>
      <c r="O1121" s="643" t="n"/>
      <c r="S1121" s="643" t="n"/>
      <c r="W1121" s="643" t="n"/>
      <c r="AA1121" s="643" t="n"/>
      <c r="AE1121" s="643" t="n"/>
      <c r="AI1121" s="643" t="n"/>
      <c r="AM1121" s="643" t="n"/>
      <c r="AQ1121" s="643" t="n"/>
      <c r="AU1121" s="643" t="n"/>
      <c r="AY1121" s="643" t="n"/>
      <c r="BC1121" s="643" t="n"/>
      <c r="BG1121" s="643" t="n"/>
    </row>
    <row r="1122" s="1168" customFormat="1" ht="12.75" customHeight="1">
      <c r="F1122" s="643" t="n"/>
      <c r="K1122" s="643" t="n"/>
      <c r="O1122" s="643" t="n"/>
      <c r="S1122" s="643" t="n"/>
      <c r="W1122" s="643" t="n"/>
      <c r="AA1122" s="643" t="n"/>
      <c r="AE1122" s="643" t="n"/>
      <c r="AI1122" s="643" t="n"/>
      <c r="AM1122" s="643" t="n"/>
      <c r="AQ1122" s="643" t="n"/>
      <c r="AU1122" s="643" t="n"/>
      <c r="AY1122" s="643" t="n"/>
      <c r="BC1122" s="643" t="n"/>
      <c r="BG1122" s="643" t="n"/>
    </row>
    <row r="1123" s="1168" customFormat="1" ht="12.75" customHeight="1">
      <c r="F1123" s="643" t="n"/>
      <c r="K1123" s="643" t="n"/>
      <c r="O1123" s="643" t="n"/>
      <c r="S1123" s="643" t="n"/>
      <c r="W1123" s="643" t="n"/>
      <c r="AA1123" s="643" t="n"/>
      <c r="AE1123" s="643" t="n"/>
      <c r="AI1123" s="643" t="n"/>
      <c r="AM1123" s="643" t="n"/>
      <c r="AQ1123" s="643" t="n"/>
      <c r="AU1123" s="643" t="n"/>
      <c r="AY1123" s="643" t="n"/>
      <c r="BC1123" s="643" t="n"/>
      <c r="BG1123" s="643" t="n"/>
    </row>
    <row r="1124" s="1168" customFormat="1" ht="12.75" customHeight="1">
      <c r="F1124" s="643" t="n"/>
      <c r="K1124" s="643" t="n"/>
      <c r="O1124" s="643" t="n"/>
      <c r="S1124" s="643" t="n"/>
      <c r="W1124" s="643" t="n"/>
      <c r="AA1124" s="643" t="n"/>
      <c r="AE1124" s="643" t="n"/>
      <c r="AI1124" s="643" t="n"/>
      <c r="AM1124" s="643" t="n"/>
      <c r="AQ1124" s="643" t="n"/>
      <c r="AU1124" s="643" t="n"/>
      <c r="AY1124" s="643" t="n"/>
      <c r="BC1124" s="643" t="n"/>
      <c r="BG1124" s="643" t="n"/>
    </row>
    <row r="1125" s="1168" customFormat="1" ht="12.75" customHeight="1">
      <c r="F1125" s="643" t="n"/>
      <c r="K1125" s="643" t="n"/>
      <c r="O1125" s="643" t="n"/>
      <c r="S1125" s="643" t="n"/>
      <c r="W1125" s="643" t="n"/>
      <c r="AA1125" s="643" t="n"/>
      <c r="AE1125" s="643" t="n"/>
      <c r="AI1125" s="643" t="n"/>
      <c r="AM1125" s="643" t="n"/>
      <c r="AQ1125" s="643" t="n"/>
      <c r="AU1125" s="643" t="n"/>
      <c r="AY1125" s="643" t="n"/>
      <c r="BC1125" s="643" t="n"/>
      <c r="BG1125" s="643" t="n"/>
    </row>
    <row r="1126" s="1168" customFormat="1" ht="12.75" customHeight="1">
      <c r="F1126" s="643" t="n"/>
      <c r="K1126" s="643" t="n"/>
      <c r="O1126" s="643" t="n"/>
      <c r="S1126" s="643" t="n"/>
      <c r="W1126" s="643" t="n"/>
      <c r="AA1126" s="643" t="n"/>
      <c r="AE1126" s="643" t="n"/>
      <c r="AI1126" s="643" t="n"/>
      <c r="AM1126" s="643" t="n"/>
      <c r="AQ1126" s="643" t="n"/>
      <c r="AU1126" s="643" t="n"/>
      <c r="AY1126" s="643" t="n"/>
      <c r="BC1126" s="643" t="n"/>
      <c r="BG1126" s="643" t="n"/>
    </row>
    <row r="1127" s="1168" customFormat="1" ht="12.75" customHeight="1">
      <c r="F1127" s="643" t="n"/>
      <c r="K1127" s="643" t="n"/>
      <c r="O1127" s="643" t="n"/>
      <c r="S1127" s="643" t="n"/>
      <c r="W1127" s="643" t="n"/>
      <c r="AA1127" s="643" t="n"/>
      <c r="AE1127" s="643" t="n"/>
      <c r="AI1127" s="643" t="n"/>
      <c r="AM1127" s="643" t="n"/>
      <c r="AQ1127" s="643" t="n"/>
      <c r="AU1127" s="643" t="n"/>
      <c r="AY1127" s="643" t="n"/>
      <c r="BC1127" s="643" t="n"/>
      <c r="BG1127" s="643" t="n"/>
    </row>
    <row r="1128" s="1168" customFormat="1" ht="12.75" customHeight="1">
      <c r="F1128" s="643" t="n"/>
      <c r="K1128" s="643" t="n"/>
      <c r="O1128" s="643" t="n"/>
      <c r="S1128" s="643" t="n"/>
      <c r="W1128" s="643" t="n"/>
      <c r="AA1128" s="643" t="n"/>
      <c r="AE1128" s="643" t="n"/>
      <c r="AI1128" s="643" t="n"/>
      <c r="AM1128" s="643" t="n"/>
      <c r="AQ1128" s="643" t="n"/>
      <c r="AU1128" s="643" t="n"/>
      <c r="AY1128" s="643" t="n"/>
      <c r="BC1128" s="643" t="n"/>
      <c r="BG1128" s="643" t="n"/>
    </row>
    <row r="1129" s="1168" customFormat="1" ht="12.75" customHeight="1">
      <c r="F1129" s="643" t="n"/>
      <c r="K1129" s="643" t="n"/>
      <c r="O1129" s="643" t="n"/>
      <c r="S1129" s="643" t="n"/>
      <c r="W1129" s="643" t="n"/>
      <c r="AA1129" s="643" t="n"/>
      <c r="AE1129" s="643" t="n"/>
      <c r="AI1129" s="643" t="n"/>
      <c r="AM1129" s="643" t="n"/>
      <c r="AQ1129" s="643" t="n"/>
      <c r="AU1129" s="643" t="n"/>
      <c r="AY1129" s="643" t="n"/>
      <c r="BC1129" s="643" t="n"/>
      <c r="BG1129" s="643" t="n"/>
    </row>
    <row r="1130" s="1168" customFormat="1" ht="12.75" customHeight="1">
      <c r="F1130" s="643" t="n"/>
      <c r="K1130" s="643" t="n"/>
      <c r="O1130" s="643" t="n"/>
      <c r="S1130" s="643" t="n"/>
      <c r="W1130" s="643" t="n"/>
      <c r="AA1130" s="643" t="n"/>
      <c r="AE1130" s="643" t="n"/>
      <c r="AI1130" s="643" t="n"/>
      <c r="AM1130" s="643" t="n"/>
      <c r="AQ1130" s="643" t="n"/>
      <c r="AU1130" s="643" t="n"/>
      <c r="AY1130" s="643" t="n"/>
      <c r="BC1130" s="643" t="n"/>
      <c r="BG1130" s="643" t="n"/>
    </row>
    <row r="1131" s="1168" customFormat="1" ht="12.75" customHeight="1">
      <c r="F1131" s="643" t="n"/>
      <c r="K1131" s="643" t="n"/>
      <c r="O1131" s="643" t="n"/>
      <c r="S1131" s="643" t="n"/>
      <c r="W1131" s="643" t="n"/>
      <c r="AA1131" s="643" t="n"/>
      <c r="AE1131" s="643" t="n"/>
      <c r="AI1131" s="643" t="n"/>
      <c r="AM1131" s="643" t="n"/>
      <c r="AQ1131" s="643" t="n"/>
      <c r="AU1131" s="643" t="n"/>
      <c r="AY1131" s="643" t="n"/>
      <c r="BC1131" s="643" t="n"/>
      <c r="BG1131" s="643" t="n"/>
    </row>
    <row r="1132" s="1168" customFormat="1" ht="12.75" customHeight="1">
      <c r="F1132" s="643" t="n"/>
      <c r="K1132" s="643" t="n"/>
      <c r="O1132" s="643" t="n"/>
      <c r="S1132" s="643" t="n"/>
      <c r="W1132" s="643" t="n"/>
      <c r="AA1132" s="643" t="n"/>
      <c r="AE1132" s="643" t="n"/>
      <c r="AI1132" s="643" t="n"/>
      <c r="AM1132" s="643" t="n"/>
      <c r="AQ1132" s="643" t="n"/>
      <c r="AU1132" s="643" t="n"/>
      <c r="AY1132" s="643" t="n"/>
      <c r="BC1132" s="643" t="n"/>
      <c r="BG1132" s="643" t="n"/>
    </row>
    <row r="1133" s="1168" customFormat="1" ht="12.75" customHeight="1">
      <c r="F1133" s="643" t="n"/>
      <c r="K1133" s="643" t="n"/>
      <c r="O1133" s="643" t="n"/>
      <c r="S1133" s="643" t="n"/>
      <c r="W1133" s="643" t="n"/>
      <c r="AA1133" s="643" t="n"/>
      <c r="AE1133" s="643" t="n"/>
      <c r="AI1133" s="643" t="n"/>
      <c r="AM1133" s="643" t="n"/>
      <c r="AQ1133" s="643" t="n"/>
      <c r="AU1133" s="643" t="n"/>
      <c r="AY1133" s="643" t="n"/>
      <c r="BC1133" s="643" t="n"/>
      <c r="BG1133" s="643" t="n"/>
    </row>
    <row r="1134" s="1168" customFormat="1" ht="12.75" customHeight="1">
      <c r="F1134" s="643" t="n"/>
      <c r="K1134" s="643" t="n"/>
      <c r="O1134" s="643" t="n"/>
      <c r="S1134" s="643" t="n"/>
      <c r="W1134" s="643" t="n"/>
      <c r="AA1134" s="643" t="n"/>
      <c r="AE1134" s="643" t="n"/>
      <c r="AI1134" s="643" t="n"/>
      <c r="AM1134" s="643" t="n"/>
      <c r="AQ1134" s="643" t="n"/>
      <c r="AU1134" s="643" t="n"/>
      <c r="AY1134" s="643" t="n"/>
      <c r="BC1134" s="643" t="n"/>
      <c r="BG1134" s="643" t="n"/>
    </row>
    <row r="1135" s="1168" customFormat="1" ht="12.75" customHeight="1">
      <c r="F1135" s="643" t="n"/>
      <c r="K1135" s="643" t="n"/>
      <c r="O1135" s="643" t="n"/>
      <c r="S1135" s="643" t="n"/>
      <c r="W1135" s="643" t="n"/>
      <c r="AA1135" s="643" t="n"/>
      <c r="AE1135" s="643" t="n"/>
      <c r="AI1135" s="643" t="n"/>
      <c r="AM1135" s="643" t="n"/>
      <c r="AQ1135" s="643" t="n"/>
      <c r="AU1135" s="643" t="n"/>
      <c r="AY1135" s="643" t="n"/>
      <c r="BC1135" s="643" t="n"/>
      <c r="BG1135" s="643" t="n"/>
    </row>
    <row r="1136" s="1168" customFormat="1" ht="12.75" customHeight="1">
      <c r="F1136" s="643" t="n"/>
      <c r="K1136" s="643" t="n"/>
      <c r="O1136" s="643" t="n"/>
      <c r="S1136" s="643" t="n"/>
      <c r="W1136" s="643" t="n"/>
      <c r="AA1136" s="643" t="n"/>
      <c r="AE1136" s="643" t="n"/>
      <c r="AI1136" s="643" t="n"/>
      <c r="AM1136" s="643" t="n"/>
      <c r="AQ1136" s="643" t="n"/>
      <c r="AU1136" s="643" t="n"/>
      <c r="AY1136" s="643" t="n"/>
      <c r="BC1136" s="643" t="n"/>
      <c r="BG1136" s="643" t="n"/>
    </row>
    <row r="1137" s="1168" customFormat="1" ht="12.75" customHeight="1">
      <c r="F1137" s="643" t="n"/>
      <c r="K1137" s="643" t="n"/>
      <c r="O1137" s="643" t="n"/>
      <c r="S1137" s="643" t="n"/>
      <c r="W1137" s="643" t="n"/>
      <c r="AA1137" s="643" t="n"/>
      <c r="AE1137" s="643" t="n"/>
      <c r="AI1137" s="643" t="n"/>
      <c r="AM1137" s="643" t="n"/>
      <c r="AQ1137" s="643" t="n"/>
      <c r="AU1137" s="643" t="n"/>
      <c r="AY1137" s="643" t="n"/>
      <c r="BC1137" s="643" t="n"/>
      <c r="BG1137" s="643" t="n"/>
    </row>
    <row r="1138" s="1168" customFormat="1" ht="12.75" customHeight="1">
      <c r="F1138" s="643" t="n"/>
      <c r="K1138" s="643" t="n"/>
      <c r="O1138" s="643" t="n"/>
      <c r="S1138" s="643" t="n"/>
      <c r="W1138" s="643" t="n"/>
      <c r="AA1138" s="643" t="n"/>
      <c r="AE1138" s="643" t="n"/>
      <c r="AI1138" s="643" t="n"/>
      <c r="AM1138" s="643" t="n"/>
      <c r="AQ1138" s="643" t="n"/>
      <c r="AU1138" s="643" t="n"/>
      <c r="AY1138" s="643" t="n"/>
      <c r="BC1138" s="643" t="n"/>
      <c r="BG1138" s="643" t="n"/>
    </row>
    <row r="1139" s="1168" customFormat="1" ht="12.75" customHeight="1">
      <c r="F1139" s="643" t="n"/>
      <c r="K1139" s="643" t="n"/>
      <c r="O1139" s="643" t="n"/>
      <c r="S1139" s="643" t="n"/>
      <c r="W1139" s="643" t="n"/>
      <c r="AA1139" s="643" t="n"/>
      <c r="AE1139" s="643" t="n"/>
      <c r="AI1139" s="643" t="n"/>
      <c r="AM1139" s="643" t="n"/>
      <c r="AQ1139" s="643" t="n"/>
      <c r="AU1139" s="643" t="n"/>
      <c r="AY1139" s="643" t="n"/>
      <c r="BC1139" s="643" t="n"/>
      <c r="BG1139" s="643" t="n"/>
    </row>
    <row r="1140" s="1168" customFormat="1" ht="12.75" customHeight="1">
      <c r="F1140" s="643" t="n"/>
      <c r="K1140" s="643" t="n"/>
      <c r="O1140" s="643" t="n"/>
      <c r="S1140" s="643" t="n"/>
      <c r="W1140" s="643" t="n"/>
      <c r="AA1140" s="643" t="n"/>
      <c r="AE1140" s="643" t="n"/>
      <c r="AI1140" s="643" t="n"/>
      <c r="AM1140" s="643" t="n"/>
      <c r="AQ1140" s="643" t="n"/>
      <c r="AU1140" s="643" t="n"/>
      <c r="AY1140" s="643" t="n"/>
      <c r="BC1140" s="643" t="n"/>
      <c r="BG1140" s="643" t="n"/>
    </row>
    <row r="1141" s="1168" customFormat="1" ht="12.75" customHeight="1">
      <c r="F1141" s="643" t="n"/>
      <c r="K1141" s="643" t="n"/>
      <c r="O1141" s="643" t="n"/>
      <c r="S1141" s="643" t="n"/>
      <c r="W1141" s="643" t="n"/>
      <c r="AA1141" s="643" t="n"/>
      <c r="AE1141" s="643" t="n"/>
      <c r="AI1141" s="643" t="n"/>
      <c r="AM1141" s="643" t="n"/>
      <c r="AQ1141" s="643" t="n"/>
      <c r="AU1141" s="643" t="n"/>
      <c r="AY1141" s="643" t="n"/>
      <c r="BC1141" s="643" t="n"/>
      <c r="BG1141" s="643" t="n"/>
    </row>
    <row r="1142" s="1168" customFormat="1" ht="12.75" customHeight="1">
      <c r="F1142" s="643" t="n"/>
      <c r="K1142" s="643" t="n"/>
      <c r="O1142" s="643" t="n"/>
      <c r="S1142" s="643" t="n"/>
      <c r="W1142" s="643" t="n"/>
      <c r="AA1142" s="643" t="n"/>
      <c r="AE1142" s="643" t="n"/>
      <c r="AI1142" s="643" t="n"/>
      <c r="AM1142" s="643" t="n"/>
      <c r="AQ1142" s="643" t="n"/>
      <c r="AU1142" s="643" t="n"/>
      <c r="AY1142" s="643" t="n"/>
      <c r="BC1142" s="643" t="n"/>
      <c r="BG1142" s="643" t="n"/>
    </row>
    <row r="1143" s="1168" customFormat="1" ht="12.75" customHeight="1">
      <c r="F1143" s="643" t="n"/>
      <c r="K1143" s="643" t="n"/>
      <c r="O1143" s="643" t="n"/>
      <c r="S1143" s="643" t="n"/>
      <c r="W1143" s="643" t="n"/>
      <c r="AA1143" s="643" t="n"/>
      <c r="AE1143" s="643" t="n"/>
      <c r="AI1143" s="643" t="n"/>
      <c r="AM1143" s="643" t="n"/>
      <c r="AQ1143" s="643" t="n"/>
      <c r="AU1143" s="643" t="n"/>
      <c r="AY1143" s="643" t="n"/>
      <c r="BC1143" s="643" t="n"/>
      <c r="BG1143" s="643" t="n"/>
    </row>
    <row r="1144" s="1168" customFormat="1" ht="12.75" customHeight="1">
      <c r="F1144" s="643" t="n"/>
      <c r="K1144" s="643" t="n"/>
      <c r="O1144" s="643" t="n"/>
      <c r="S1144" s="643" t="n"/>
      <c r="W1144" s="643" t="n"/>
      <c r="AA1144" s="643" t="n"/>
      <c r="AE1144" s="643" t="n"/>
      <c r="AI1144" s="643" t="n"/>
      <c r="AM1144" s="643" t="n"/>
      <c r="AQ1144" s="643" t="n"/>
      <c r="AU1144" s="643" t="n"/>
      <c r="AY1144" s="643" t="n"/>
      <c r="BC1144" s="643" t="n"/>
      <c r="BG1144" s="643" t="n"/>
    </row>
    <row r="1145" s="1168" customFormat="1" ht="12.75" customHeight="1">
      <c r="F1145" s="643" t="n"/>
      <c r="K1145" s="643" t="n"/>
      <c r="O1145" s="643" t="n"/>
      <c r="S1145" s="643" t="n"/>
      <c r="W1145" s="643" t="n"/>
      <c r="AA1145" s="643" t="n"/>
      <c r="AE1145" s="643" t="n"/>
      <c r="AI1145" s="643" t="n"/>
      <c r="AM1145" s="643" t="n"/>
      <c r="AQ1145" s="643" t="n"/>
      <c r="AU1145" s="643" t="n"/>
      <c r="AY1145" s="643" t="n"/>
      <c r="BC1145" s="643" t="n"/>
      <c r="BG1145" s="643" t="n"/>
    </row>
    <row r="1146" s="1168" customFormat="1" ht="12.75" customHeight="1">
      <c r="F1146" s="643" t="n"/>
      <c r="K1146" s="643" t="n"/>
      <c r="O1146" s="643" t="n"/>
      <c r="S1146" s="643" t="n"/>
      <c r="W1146" s="643" t="n"/>
      <c r="AA1146" s="643" t="n"/>
      <c r="AE1146" s="643" t="n"/>
      <c r="AI1146" s="643" t="n"/>
      <c r="AM1146" s="643" t="n"/>
      <c r="AQ1146" s="643" t="n"/>
      <c r="AU1146" s="643" t="n"/>
      <c r="AY1146" s="643" t="n"/>
      <c r="BC1146" s="643" t="n"/>
      <c r="BG1146" s="643" t="n"/>
    </row>
    <row r="1147" s="1168" customFormat="1" ht="12.75" customHeight="1">
      <c r="F1147" s="643" t="n"/>
      <c r="K1147" s="643" t="n"/>
      <c r="O1147" s="643" t="n"/>
      <c r="S1147" s="643" t="n"/>
      <c r="W1147" s="643" t="n"/>
      <c r="AA1147" s="643" t="n"/>
      <c r="AE1147" s="643" t="n"/>
      <c r="AI1147" s="643" t="n"/>
      <c r="AM1147" s="643" t="n"/>
      <c r="AQ1147" s="643" t="n"/>
      <c r="AU1147" s="643" t="n"/>
      <c r="AY1147" s="643" t="n"/>
      <c r="BC1147" s="643" t="n"/>
      <c r="BG1147" s="643" t="n"/>
    </row>
    <row r="1148" s="1168" customFormat="1" ht="12.75" customHeight="1">
      <c r="F1148" s="643" t="n"/>
      <c r="K1148" s="643" t="n"/>
      <c r="O1148" s="643" t="n"/>
      <c r="S1148" s="643" t="n"/>
      <c r="W1148" s="643" t="n"/>
      <c r="AA1148" s="643" t="n"/>
      <c r="AE1148" s="643" t="n"/>
      <c r="AI1148" s="643" t="n"/>
      <c r="AM1148" s="643" t="n"/>
      <c r="AQ1148" s="643" t="n"/>
      <c r="AU1148" s="643" t="n"/>
      <c r="AY1148" s="643" t="n"/>
      <c r="BC1148" s="643" t="n"/>
      <c r="BG1148" s="643" t="n"/>
    </row>
    <row r="1149" s="1168" customFormat="1" ht="12.75" customHeight="1">
      <c r="F1149" s="643" t="n"/>
      <c r="K1149" s="643" t="n"/>
      <c r="O1149" s="643" t="n"/>
      <c r="S1149" s="643" t="n"/>
      <c r="W1149" s="643" t="n"/>
      <c r="AA1149" s="643" t="n"/>
      <c r="AE1149" s="643" t="n"/>
      <c r="AI1149" s="643" t="n"/>
      <c r="AM1149" s="643" t="n"/>
      <c r="AQ1149" s="643" t="n"/>
      <c r="AU1149" s="643" t="n"/>
      <c r="AY1149" s="643" t="n"/>
      <c r="BC1149" s="643" t="n"/>
      <c r="BG1149" s="643" t="n"/>
    </row>
    <row r="1150" s="1168" customFormat="1" ht="12.75" customHeight="1">
      <c r="F1150" s="643" t="n"/>
      <c r="K1150" s="643" t="n"/>
      <c r="O1150" s="643" t="n"/>
      <c r="S1150" s="643" t="n"/>
      <c r="W1150" s="643" t="n"/>
      <c r="AA1150" s="643" t="n"/>
      <c r="AE1150" s="643" t="n"/>
      <c r="AI1150" s="643" t="n"/>
      <c r="AM1150" s="643" t="n"/>
      <c r="AQ1150" s="643" t="n"/>
      <c r="AU1150" s="643" t="n"/>
      <c r="AY1150" s="643" t="n"/>
      <c r="BC1150" s="643" t="n"/>
      <c r="BG1150" s="643" t="n"/>
    </row>
    <row r="1151" s="1168" customFormat="1" ht="12.75" customHeight="1">
      <c r="F1151" s="643" t="n"/>
      <c r="K1151" s="643" t="n"/>
      <c r="O1151" s="643" t="n"/>
      <c r="S1151" s="643" t="n"/>
      <c r="W1151" s="643" t="n"/>
      <c r="AA1151" s="643" t="n"/>
      <c r="AE1151" s="643" t="n"/>
      <c r="AI1151" s="643" t="n"/>
      <c r="AM1151" s="643" t="n"/>
      <c r="AQ1151" s="643" t="n"/>
      <c r="AU1151" s="643" t="n"/>
      <c r="AY1151" s="643" t="n"/>
      <c r="BC1151" s="643" t="n"/>
      <c r="BG1151" s="643" t="n"/>
    </row>
    <row r="1152" s="1168" customFormat="1" ht="12.75" customHeight="1">
      <c r="F1152" s="643" t="n"/>
      <c r="K1152" s="643" t="n"/>
      <c r="O1152" s="643" t="n"/>
      <c r="S1152" s="643" t="n"/>
      <c r="W1152" s="643" t="n"/>
      <c r="AA1152" s="643" t="n"/>
      <c r="AE1152" s="643" t="n"/>
      <c r="AI1152" s="643" t="n"/>
      <c r="AM1152" s="643" t="n"/>
      <c r="AQ1152" s="643" t="n"/>
      <c r="AU1152" s="643" t="n"/>
      <c r="AY1152" s="643" t="n"/>
      <c r="BC1152" s="643" t="n"/>
      <c r="BG1152" s="643" t="n"/>
    </row>
    <row r="1153" s="1168" customFormat="1" ht="12.75" customHeight="1">
      <c r="F1153" s="643" t="n"/>
      <c r="K1153" s="643" t="n"/>
      <c r="O1153" s="643" t="n"/>
      <c r="S1153" s="643" t="n"/>
      <c r="W1153" s="643" t="n"/>
      <c r="AA1153" s="643" t="n"/>
      <c r="AE1153" s="643" t="n"/>
      <c r="AI1153" s="643" t="n"/>
      <c r="AM1153" s="643" t="n"/>
      <c r="AQ1153" s="643" t="n"/>
      <c r="AU1153" s="643" t="n"/>
      <c r="AY1153" s="643" t="n"/>
      <c r="BC1153" s="643" t="n"/>
      <c r="BG1153" s="643" t="n"/>
    </row>
    <row r="1154" s="1168" customFormat="1" ht="12.75" customHeight="1">
      <c r="F1154" s="643" t="n"/>
      <c r="K1154" s="643" t="n"/>
      <c r="O1154" s="643" t="n"/>
      <c r="S1154" s="643" t="n"/>
      <c r="W1154" s="643" t="n"/>
      <c r="AA1154" s="643" t="n"/>
      <c r="AE1154" s="643" t="n"/>
      <c r="AI1154" s="643" t="n"/>
      <c r="AM1154" s="643" t="n"/>
      <c r="AQ1154" s="643" t="n"/>
      <c r="AU1154" s="643" t="n"/>
      <c r="AY1154" s="643" t="n"/>
      <c r="BC1154" s="643" t="n"/>
      <c r="BG1154" s="643" t="n"/>
    </row>
    <row r="1155" s="1168" customFormat="1" ht="12.75" customHeight="1">
      <c r="F1155" s="643" t="n"/>
      <c r="K1155" s="643" t="n"/>
      <c r="O1155" s="643" t="n"/>
      <c r="S1155" s="643" t="n"/>
      <c r="W1155" s="643" t="n"/>
      <c r="AA1155" s="643" t="n"/>
      <c r="AE1155" s="643" t="n"/>
      <c r="AI1155" s="643" t="n"/>
      <c r="AM1155" s="643" t="n"/>
      <c r="AQ1155" s="643" t="n"/>
      <c r="AU1155" s="643" t="n"/>
      <c r="AY1155" s="643" t="n"/>
      <c r="BC1155" s="643" t="n"/>
      <c r="BG1155" s="643" t="n"/>
    </row>
    <row r="1156" s="1168" customFormat="1" ht="12.75" customHeight="1">
      <c r="F1156" s="643" t="n"/>
      <c r="K1156" s="643" t="n"/>
      <c r="O1156" s="643" t="n"/>
      <c r="S1156" s="643" t="n"/>
      <c r="W1156" s="643" t="n"/>
      <c r="AA1156" s="643" t="n"/>
      <c r="AE1156" s="643" t="n"/>
      <c r="AI1156" s="643" t="n"/>
      <c r="AM1156" s="643" t="n"/>
      <c r="AQ1156" s="643" t="n"/>
      <c r="AU1156" s="643" t="n"/>
      <c r="AY1156" s="643" t="n"/>
      <c r="BC1156" s="643" t="n"/>
      <c r="BG1156" s="643" t="n"/>
    </row>
    <row r="1157" s="1168" customFormat="1" ht="12.75" customHeight="1">
      <c r="F1157" s="643" t="n"/>
      <c r="K1157" s="643" t="n"/>
      <c r="O1157" s="643" t="n"/>
      <c r="S1157" s="643" t="n"/>
      <c r="W1157" s="643" t="n"/>
      <c r="AA1157" s="643" t="n"/>
      <c r="AE1157" s="643" t="n"/>
      <c r="AI1157" s="643" t="n"/>
      <c r="AM1157" s="643" t="n"/>
      <c r="AQ1157" s="643" t="n"/>
      <c r="AU1157" s="643" t="n"/>
      <c r="AY1157" s="643" t="n"/>
      <c r="BC1157" s="643" t="n"/>
      <c r="BG1157" s="643" t="n"/>
    </row>
    <row r="1158" s="1168" customFormat="1" ht="12.75" customHeight="1">
      <c r="F1158" s="643" t="n"/>
      <c r="K1158" s="643" t="n"/>
      <c r="O1158" s="643" t="n"/>
      <c r="S1158" s="643" t="n"/>
      <c r="W1158" s="643" t="n"/>
      <c r="AA1158" s="643" t="n"/>
      <c r="AE1158" s="643" t="n"/>
      <c r="AI1158" s="643" t="n"/>
      <c r="AM1158" s="643" t="n"/>
      <c r="AQ1158" s="643" t="n"/>
      <c r="AU1158" s="643" t="n"/>
      <c r="AY1158" s="643" t="n"/>
      <c r="BC1158" s="643" t="n"/>
      <c r="BG1158" s="643" t="n"/>
    </row>
    <row r="1159" s="1168" customFormat="1" ht="12.75" customHeight="1">
      <c r="F1159" s="643" t="n"/>
      <c r="K1159" s="643" t="n"/>
      <c r="O1159" s="643" t="n"/>
      <c r="S1159" s="643" t="n"/>
      <c r="W1159" s="643" t="n"/>
      <c r="AA1159" s="643" t="n"/>
      <c r="AE1159" s="643" t="n"/>
      <c r="AI1159" s="643" t="n"/>
      <c r="AM1159" s="643" t="n"/>
      <c r="AQ1159" s="643" t="n"/>
      <c r="AU1159" s="643" t="n"/>
      <c r="AY1159" s="643" t="n"/>
      <c r="BC1159" s="643" t="n"/>
      <c r="BG1159" s="643" t="n"/>
    </row>
    <row r="1160" s="1168" customFormat="1" ht="12.75" customHeight="1">
      <c r="F1160" s="643" t="n"/>
      <c r="K1160" s="643" t="n"/>
      <c r="O1160" s="643" t="n"/>
      <c r="S1160" s="643" t="n"/>
      <c r="W1160" s="643" t="n"/>
      <c r="AA1160" s="643" t="n"/>
      <c r="AE1160" s="643" t="n"/>
      <c r="AI1160" s="643" t="n"/>
      <c r="AM1160" s="643" t="n"/>
      <c r="AQ1160" s="643" t="n"/>
      <c r="AU1160" s="643" t="n"/>
      <c r="AY1160" s="643" t="n"/>
      <c r="BC1160" s="643" t="n"/>
      <c r="BG1160" s="643" t="n"/>
    </row>
    <row r="1161" s="1168" customFormat="1" ht="12.75" customHeight="1">
      <c r="F1161" s="643" t="n"/>
      <c r="K1161" s="643" t="n"/>
      <c r="O1161" s="643" t="n"/>
      <c r="S1161" s="643" t="n"/>
      <c r="W1161" s="643" t="n"/>
      <c r="AA1161" s="643" t="n"/>
      <c r="AE1161" s="643" t="n"/>
      <c r="AI1161" s="643" t="n"/>
      <c r="AM1161" s="643" t="n"/>
      <c r="AQ1161" s="643" t="n"/>
      <c r="AU1161" s="643" t="n"/>
      <c r="AY1161" s="643" t="n"/>
      <c r="BC1161" s="643" t="n"/>
      <c r="BG1161" s="643" t="n"/>
    </row>
    <row r="1162" s="1168" customFormat="1" ht="12.75" customHeight="1">
      <c r="F1162" s="643" t="n"/>
      <c r="K1162" s="643" t="n"/>
      <c r="O1162" s="643" t="n"/>
      <c r="S1162" s="643" t="n"/>
      <c r="W1162" s="643" t="n"/>
      <c r="AA1162" s="643" t="n"/>
      <c r="AE1162" s="643" t="n"/>
      <c r="AI1162" s="643" t="n"/>
      <c r="AM1162" s="643" t="n"/>
      <c r="AQ1162" s="643" t="n"/>
      <c r="AU1162" s="643" t="n"/>
      <c r="AY1162" s="643" t="n"/>
      <c r="BC1162" s="643" t="n"/>
      <c r="BG1162" s="643" t="n"/>
    </row>
    <row r="1163" s="1168" customFormat="1" ht="12.75" customHeight="1">
      <c r="F1163" s="643" t="n"/>
      <c r="K1163" s="643" t="n"/>
      <c r="O1163" s="643" t="n"/>
      <c r="S1163" s="643" t="n"/>
      <c r="W1163" s="643" t="n"/>
      <c r="AA1163" s="643" t="n"/>
      <c r="AE1163" s="643" t="n"/>
      <c r="AI1163" s="643" t="n"/>
      <c r="AM1163" s="643" t="n"/>
      <c r="AQ1163" s="643" t="n"/>
      <c r="AU1163" s="643" t="n"/>
      <c r="AY1163" s="643" t="n"/>
      <c r="BC1163" s="643" t="n"/>
      <c r="BG1163" s="643" t="n"/>
    </row>
    <row r="1164" s="1168" customFormat="1" ht="12.75" customHeight="1">
      <c r="F1164" s="643" t="n"/>
      <c r="K1164" s="643" t="n"/>
      <c r="O1164" s="643" t="n"/>
      <c r="S1164" s="643" t="n"/>
      <c r="W1164" s="643" t="n"/>
      <c r="AA1164" s="643" t="n"/>
      <c r="AE1164" s="643" t="n"/>
      <c r="AI1164" s="643" t="n"/>
      <c r="AM1164" s="643" t="n"/>
      <c r="AQ1164" s="643" t="n"/>
      <c r="AU1164" s="643" t="n"/>
      <c r="AY1164" s="643" t="n"/>
      <c r="BC1164" s="643" t="n"/>
      <c r="BG1164" s="643" t="n"/>
    </row>
    <row r="1165" s="1168" customFormat="1" ht="12.75" customHeight="1">
      <c r="F1165" s="643" t="n"/>
      <c r="K1165" s="643" t="n"/>
      <c r="O1165" s="643" t="n"/>
      <c r="S1165" s="643" t="n"/>
      <c r="W1165" s="643" t="n"/>
      <c r="AA1165" s="643" t="n"/>
      <c r="AE1165" s="643" t="n"/>
      <c r="AI1165" s="643" t="n"/>
      <c r="AM1165" s="643" t="n"/>
      <c r="AQ1165" s="643" t="n"/>
      <c r="AU1165" s="643" t="n"/>
      <c r="AY1165" s="643" t="n"/>
      <c r="BC1165" s="643" t="n"/>
      <c r="BG1165" s="643" t="n"/>
    </row>
    <row r="1166" s="1168" customFormat="1" ht="12.75" customHeight="1">
      <c r="F1166" s="643" t="n"/>
      <c r="K1166" s="643" t="n"/>
      <c r="O1166" s="643" t="n"/>
      <c r="S1166" s="643" t="n"/>
      <c r="W1166" s="643" t="n"/>
      <c r="AA1166" s="643" t="n"/>
      <c r="AE1166" s="643" t="n"/>
      <c r="AI1166" s="643" t="n"/>
      <c r="AM1166" s="643" t="n"/>
      <c r="AQ1166" s="643" t="n"/>
      <c r="AU1166" s="643" t="n"/>
      <c r="AY1166" s="643" t="n"/>
      <c r="BC1166" s="643" t="n"/>
      <c r="BG1166" s="643" t="n"/>
    </row>
    <row r="1167" s="1168" customFormat="1" ht="12.75" customHeight="1">
      <c r="F1167" s="643" t="n"/>
      <c r="K1167" s="643" t="n"/>
      <c r="O1167" s="643" t="n"/>
      <c r="S1167" s="643" t="n"/>
      <c r="W1167" s="643" t="n"/>
      <c r="AA1167" s="643" t="n"/>
      <c r="AE1167" s="643" t="n"/>
      <c r="AI1167" s="643" t="n"/>
      <c r="AM1167" s="643" t="n"/>
      <c r="AQ1167" s="643" t="n"/>
      <c r="AU1167" s="643" t="n"/>
      <c r="AY1167" s="643" t="n"/>
      <c r="BC1167" s="643" t="n"/>
      <c r="BG1167" s="643" t="n"/>
    </row>
    <row r="1168" s="1168" customFormat="1" ht="12.75" customHeight="1">
      <c r="F1168" s="643" t="n"/>
      <c r="K1168" s="643" t="n"/>
      <c r="O1168" s="643" t="n"/>
      <c r="S1168" s="643" t="n"/>
      <c r="W1168" s="643" t="n"/>
      <c r="AA1168" s="643" t="n"/>
      <c r="AE1168" s="643" t="n"/>
      <c r="AI1168" s="643" t="n"/>
      <c r="AM1168" s="643" t="n"/>
      <c r="AQ1168" s="643" t="n"/>
      <c r="AU1168" s="643" t="n"/>
      <c r="AY1168" s="643" t="n"/>
      <c r="BC1168" s="643" t="n"/>
      <c r="BG1168" s="643" t="n"/>
    </row>
    <row r="1169" s="1168" customFormat="1" ht="12.75" customHeight="1">
      <c r="F1169" s="643" t="n"/>
      <c r="K1169" s="643" t="n"/>
      <c r="O1169" s="643" t="n"/>
      <c r="S1169" s="643" t="n"/>
      <c r="W1169" s="643" t="n"/>
      <c r="AA1169" s="643" t="n"/>
      <c r="AE1169" s="643" t="n"/>
      <c r="AI1169" s="643" t="n"/>
      <c r="AM1169" s="643" t="n"/>
      <c r="AQ1169" s="643" t="n"/>
      <c r="AU1169" s="643" t="n"/>
      <c r="AY1169" s="643" t="n"/>
      <c r="BC1169" s="643" t="n"/>
      <c r="BG1169" s="643" t="n"/>
    </row>
    <row r="1170" s="1168" customFormat="1" ht="12.75" customHeight="1">
      <c r="F1170" s="643" t="n"/>
      <c r="K1170" s="643" t="n"/>
      <c r="O1170" s="643" t="n"/>
      <c r="S1170" s="643" t="n"/>
      <c r="W1170" s="643" t="n"/>
      <c r="AA1170" s="643" t="n"/>
      <c r="AE1170" s="643" t="n"/>
      <c r="AI1170" s="643" t="n"/>
      <c r="AM1170" s="643" t="n"/>
      <c r="AQ1170" s="643" t="n"/>
      <c r="AU1170" s="643" t="n"/>
      <c r="AY1170" s="643" t="n"/>
      <c r="BC1170" s="643" t="n"/>
      <c r="BG1170" s="643" t="n"/>
    </row>
    <row r="1171" s="1168" customFormat="1" ht="12.75" customHeight="1">
      <c r="F1171" s="643" t="n"/>
      <c r="K1171" s="643" t="n"/>
      <c r="O1171" s="643" t="n"/>
      <c r="S1171" s="643" t="n"/>
      <c r="W1171" s="643" t="n"/>
      <c r="AA1171" s="643" t="n"/>
      <c r="AE1171" s="643" t="n"/>
      <c r="AI1171" s="643" t="n"/>
      <c r="AM1171" s="643" t="n"/>
      <c r="AQ1171" s="643" t="n"/>
      <c r="AU1171" s="643" t="n"/>
      <c r="AY1171" s="643" t="n"/>
      <c r="BC1171" s="643" t="n"/>
      <c r="BG1171" s="643" t="n"/>
    </row>
    <row r="1172" s="1168" customFormat="1" ht="12.75" customHeight="1">
      <c r="F1172" s="643" t="n"/>
      <c r="K1172" s="643" t="n"/>
      <c r="O1172" s="643" t="n"/>
      <c r="S1172" s="643" t="n"/>
      <c r="W1172" s="643" t="n"/>
      <c r="AA1172" s="643" t="n"/>
      <c r="AE1172" s="643" t="n"/>
      <c r="AI1172" s="643" t="n"/>
      <c r="AM1172" s="643" t="n"/>
      <c r="AQ1172" s="643" t="n"/>
      <c r="AU1172" s="643" t="n"/>
      <c r="AY1172" s="643" t="n"/>
      <c r="BC1172" s="643" t="n"/>
      <c r="BG1172" s="643" t="n"/>
    </row>
    <row r="1173" s="1168" customFormat="1" ht="12.75" customHeight="1">
      <c r="F1173" s="643" t="n"/>
      <c r="K1173" s="643" t="n"/>
      <c r="O1173" s="643" t="n"/>
      <c r="S1173" s="643" t="n"/>
      <c r="W1173" s="643" t="n"/>
      <c r="AA1173" s="643" t="n"/>
      <c r="AE1173" s="643" t="n"/>
      <c r="AI1173" s="643" t="n"/>
      <c r="AM1173" s="643" t="n"/>
      <c r="AQ1173" s="643" t="n"/>
      <c r="AU1173" s="643" t="n"/>
      <c r="AY1173" s="643" t="n"/>
      <c r="BC1173" s="643" t="n"/>
      <c r="BG1173" s="643" t="n"/>
    </row>
    <row r="1174" s="1168" customFormat="1" ht="12.75" customHeight="1">
      <c r="F1174" s="643" t="n"/>
      <c r="K1174" s="643" t="n"/>
      <c r="O1174" s="643" t="n"/>
      <c r="S1174" s="643" t="n"/>
      <c r="W1174" s="643" t="n"/>
      <c r="AA1174" s="643" t="n"/>
      <c r="AE1174" s="643" t="n"/>
      <c r="AI1174" s="643" t="n"/>
      <c r="AM1174" s="643" t="n"/>
      <c r="AQ1174" s="643" t="n"/>
      <c r="AU1174" s="643" t="n"/>
      <c r="AY1174" s="643" t="n"/>
      <c r="BC1174" s="643" t="n"/>
      <c r="BG1174" s="643" t="n"/>
    </row>
    <row r="1175" s="1168" customFormat="1" ht="12.75" customHeight="1">
      <c r="F1175" s="643" t="n"/>
      <c r="K1175" s="643" t="n"/>
      <c r="O1175" s="643" t="n"/>
      <c r="S1175" s="643" t="n"/>
      <c r="W1175" s="643" t="n"/>
      <c r="AA1175" s="643" t="n"/>
      <c r="AE1175" s="643" t="n"/>
      <c r="AI1175" s="643" t="n"/>
      <c r="AM1175" s="643" t="n"/>
      <c r="AQ1175" s="643" t="n"/>
      <c r="AU1175" s="643" t="n"/>
      <c r="AY1175" s="643" t="n"/>
      <c r="BC1175" s="643" t="n"/>
      <c r="BG1175" s="643" t="n"/>
    </row>
    <row r="1176" s="1168" customFormat="1" ht="12.75" customHeight="1">
      <c r="F1176" s="643" t="n"/>
      <c r="K1176" s="643" t="n"/>
      <c r="O1176" s="643" t="n"/>
      <c r="S1176" s="643" t="n"/>
      <c r="W1176" s="643" t="n"/>
      <c r="AA1176" s="643" t="n"/>
      <c r="AE1176" s="643" t="n"/>
      <c r="AI1176" s="643" t="n"/>
      <c r="AM1176" s="643" t="n"/>
      <c r="AQ1176" s="643" t="n"/>
      <c r="AU1176" s="643" t="n"/>
      <c r="AY1176" s="643" t="n"/>
      <c r="BC1176" s="643" t="n"/>
      <c r="BG1176" s="643" t="n"/>
    </row>
    <row r="1177" s="1168" customFormat="1" ht="12.75" customHeight="1">
      <c r="F1177" s="643" t="n"/>
      <c r="K1177" s="643" t="n"/>
      <c r="O1177" s="643" t="n"/>
      <c r="S1177" s="643" t="n"/>
      <c r="W1177" s="643" t="n"/>
      <c r="AA1177" s="643" t="n"/>
      <c r="AE1177" s="643" t="n"/>
      <c r="AI1177" s="643" t="n"/>
      <c r="AM1177" s="643" t="n"/>
      <c r="AQ1177" s="643" t="n"/>
      <c r="AU1177" s="643" t="n"/>
      <c r="AY1177" s="643" t="n"/>
      <c r="BC1177" s="643" t="n"/>
      <c r="BG1177" s="643" t="n"/>
    </row>
    <row r="1178" s="1168" customFormat="1" ht="12.75" customHeight="1">
      <c r="F1178" s="643" t="n"/>
      <c r="K1178" s="643" t="n"/>
      <c r="O1178" s="643" t="n"/>
      <c r="S1178" s="643" t="n"/>
      <c r="W1178" s="643" t="n"/>
      <c r="AA1178" s="643" t="n"/>
      <c r="AE1178" s="643" t="n"/>
      <c r="AI1178" s="643" t="n"/>
      <c r="AM1178" s="643" t="n"/>
      <c r="AQ1178" s="643" t="n"/>
      <c r="AU1178" s="643" t="n"/>
      <c r="AY1178" s="643" t="n"/>
      <c r="BC1178" s="643" t="n"/>
      <c r="BG1178" s="643" t="n"/>
    </row>
    <row r="1179" s="1168" customFormat="1" ht="12.75" customHeight="1">
      <c r="F1179" s="643" t="n"/>
      <c r="K1179" s="643" t="n"/>
      <c r="O1179" s="643" t="n"/>
      <c r="S1179" s="643" t="n"/>
      <c r="W1179" s="643" t="n"/>
      <c r="AA1179" s="643" t="n"/>
      <c r="AE1179" s="643" t="n"/>
      <c r="AI1179" s="643" t="n"/>
      <c r="AM1179" s="643" t="n"/>
      <c r="AQ1179" s="643" t="n"/>
      <c r="AU1179" s="643" t="n"/>
      <c r="AY1179" s="643" t="n"/>
      <c r="BC1179" s="643" t="n"/>
      <c r="BG1179" s="643" t="n"/>
    </row>
    <row r="1180" s="1168" customFormat="1" ht="12.75" customHeight="1">
      <c r="F1180" s="643" t="n"/>
      <c r="K1180" s="643" t="n"/>
      <c r="O1180" s="643" t="n"/>
      <c r="S1180" s="643" t="n"/>
      <c r="W1180" s="643" t="n"/>
      <c r="AA1180" s="643" t="n"/>
      <c r="AE1180" s="643" t="n"/>
      <c r="AI1180" s="643" t="n"/>
      <c r="AM1180" s="643" t="n"/>
      <c r="AQ1180" s="643" t="n"/>
      <c r="AU1180" s="643" t="n"/>
      <c r="AY1180" s="643" t="n"/>
      <c r="BC1180" s="643" t="n"/>
      <c r="BG1180" s="643" t="n"/>
    </row>
    <row r="1181" s="1168" customFormat="1" ht="12.75" customHeight="1">
      <c r="F1181" s="643" t="n"/>
      <c r="K1181" s="643" t="n"/>
      <c r="O1181" s="643" t="n"/>
      <c r="S1181" s="643" t="n"/>
      <c r="W1181" s="643" t="n"/>
      <c r="AA1181" s="643" t="n"/>
      <c r="AE1181" s="643" t="n"/>
      <c r="AI1181" s="643" t="n"/>
      <c r="AM1181" s="643" t="n"/>
      <c r="AQ1181" s="643" t="n"/>
      <c r="AU1181" s="643" t="n"/>
      <c r="AY1181" s="643" t="n"/>
      <c r="BC1181" s="643" t="n"/>
      <c r="BG1181" s="643" t="n"/>
    </row>
    <row r="1182" s="1168" customFormat="1" ht="12.75" customHeight="1">
      <c r="F1182" s="643" t="n"/>
      <c r="K1182" s="643" t="n"/>
      <c r="O1182" s="643" t="n"/>
      <c r="S1182" s="643" t="n"/>
      <c r="W1182" s="643" t="n"/>
      <c r="AA1182" s="643" t="n"/>
      <c r="AE1182" s="643" t="n"/>
      <c r="AI1182" s="643" t="n"/>
      <c r="AM1182" s="643" t="n"/>
      <c r="AQ1182" s="643" t="n"/>
      <c r="AU1182" s="643" t="n"/>
      <c r="AY1182" s="643" t="n"/>
      <c r="BC1182" s="643" t="n"/>
      <c r="BG1182" s="643" t="n"/>
    </row>
    <row r="1183" s="1168" customFormat="1" ht="12.75" customHeight="1">
      <c r="F1183" s="643" t="n"/>
      <c r="K1183" s="643" t="n"/>
      <c r="O1183" s="643" t="n"/>
      <c r="S1183" s="643" t="n"/>
      <c r="W1183" s="643" t="n"/>
      <c r="AA1183" s="643" t="n"/>
      <c r="AE1183" s="643" t="n"/>
      <c r="AI1183" s="643" t="n"/>
      <c r="AM1183" s="643" t="n"/>
      <c r="AQ1183" s="643" t="n"/>
      <c r="AU1183" s="643" t="n"/>
      <c r="AY1183" s="643" t="n"/>
      <c r="BC1183" s="643" t="n"/>
      <c r="BG1183" s="643" t="n"/>
    </row>
    <row r="1184" s="1168" customFormat="1" ht="12.75" customHeight="1">
      <c r="F1184" s="643" t="n"/>
      <c r="K1184" s="643" t="n"/>
      <c r="O1184" s="643" t="n"/>
      <c r="S1184" s="643" t="n"/>
      <c r="W1184" s="643" t="n"/>
      <c r="AA1184" s="643" t="n"/>
      <c r="AE1184" s="643" t="n"/>
      <c r="AI1184" s="643" t="n"/>
      <c r="AM1184" s="643" t="n"/>
      <c r="AQ1184" s="643" t="n"/>
      <c r="AU1184" s="643" t="n"/>
      <c r="AY1184" s="643" t="n"/>
      <c r="BC1184" s="643" t="n"/>
      <c r="BG1184" s="643" t="n"/>
    </row>
    <row r="1185" s="1168" customFormat="1" ht="12.75" customHeight="1">
      <c r="F1185" s="643" t="n"/>
      <c r="K1185" s="643" t="n"/>
      <c r="O1185" s="643" t="n"/>
      <c r="S1185" s="643" t="n"/>
      <c r="W1185" s="643" t="n"/>
      <c r="AA1185" s="643" t="n"/>
      <c r="AE1185" s="643" t="n"/>
      <c r="AI1185" s="643" t="n"/>
      <c r="AM1185" s="643" t="n"/>
      <c r="AQ1185" s="643" t="n"/>
      <c r="AU1185" s="643" t="n"/>
      <c r="AY1185" s="643" t="n"/>
      <c r="BC1185" s="643" t="n"/>
      <c r="BG1185" s="643" t="n"/>
    </row>
    <row r="1186" s="1168" customFormat="1" ht="12.75" customHeight="1">
      <c r="F1186" s="643" t="n"/>
      <c r="K1186" s="643" t="n"/>
      <c r="O1186" s="643" t="n"/>
      <c r="S1186" s="643" t="n"/>
      <c r="W1186" s="643" t="n"/>
      <c r="AA1186" s="643" t="n"/>
      <c r="AE1186" s="643" t="n"/>
      <c r="AI1186" s="643" t="n"/>
      <c r="AM1186" s="643" t="n"/>
      <c r="AQ1186" s="643" t="n"/>
      <c r="AU1186" s="643" t="n"/>
      <c r="AY1186" s="643" t="n"/>
      <c r="BC1186" s="643" t="n"/>
      <c r="BG1186" s="643" t="n"/>
    </row>
    <row r="1187" s="1168" customFormat="1" ht="12.75" customHeight="1">
      <c r="F1187" s="643" t="n"/>
      <c r="K1187" s="643" t="n"/>
      <c r="O1187" s="643" t="n"/>
      <c r="S1187" s="643" t="n"/>
      <c r="W1187" s="643" t="n"/>
      <c r="AA1187" s="643" t="n"/>
      <c r="AE1187" s="643" t="n"/>
      <c r="AI1187" s="643" t="n"/>
      <c r="AM1187" s="643" t="n"/>
      <c r="AQ1187" s="643" t="n"/>
      <c r="AU1187" s="643" t="n"/>
      <c r="AY1187" s="643" t="n"/>
      <c r="BC1187" s="643" t="n"/>
      <c r="BG1187" s="643" t="n"/>
    </row>
    <row r="1188" s="1168" customFormat="1" ht="12.75" customHeight="1">
      <c r="F1188" s="643" t="n"/>
      <c r="K1188" s="643" t="n"/>
      <c r="O1188" s="643" t="n"/>
      <c r="S1188" s="643" t="n"/>
      <c r="W1188" s="643" t="n"/>
      <c r="AA1188" s="643" t="n"/>
      <c r="AE1188" s="643" t="n"/>
      <c r="AI1188" s="643" t="n"/>
      <c r="AM1188" s="643" t="n"/>
      <c r="AQ1188" s="643" t="n"/>
      <c r="AU1188" s="643" t="n"/>
      <c r="AY1188" s="643" t="n"/>
      <c r="BC1188" s="643" t="n"/>
      <c r="BG1188" s="643" t="n"/>
    </row>
    <row r="1189" s="1168" customFormat="1" ht="12.75" customHeight="1">
      <c r="F1189" s="643" t="n"/>
      <c r="K1189" s="643" t="n"/>
      <c r="O1189" s="643" t="n"/>
      <c r="S1189" s="643" t="n"/>
      <c r="W1189" s="643" t="n"/>
      <c r="AA1189" s="643" t="n"/>
      <c r="AE1189" s="643" t="n"/>
      <c r="AI1189" s="643" t="n"/>
      <c r="AM1189" s="643" t="n"/>
      <c r="AQ1189" s="643" t="n"/>
      <c r="AU1189" s="643" t="n"/>
      <c r="AY1189" s="643" t="n"/>
      <c r="BC1189" s="643" t="n"/>
      <c r="BG1189" s="643" t="n"/>
    </row>
    <row r="1190" s="1168" customFormat="1" ht="12.75" customHeight="1">
      <c r="F1190" s="643" t="n"/>
      <c r="K1190" s="643" t="n"/>
      <c r="O1190" s="643" t="n"/>
      <c r="S1190" s="643" t="n"/>
      <c r="W1190" s="643" t="n"/>
      <c r="AA1190" s="643" t="n"/>
      <c r="AE1190" s="643" t="n"/>
      <c r="AI1190" s="643" t="n"/>
      <c r="AM1190" s="643" t="n"/>
      <c r="AQ1190" s="643" t="n"/>
      <c r="AU1190" s="643" t="n"/>
      <c r="AY1190" s="643" t="n"/>
      <c r="BC1190" s="643" t="n"/>
      <c r="BG1190" s="643" t="n"/>
    </row>
    <row r="1191" s="1168" customFormat="1" ht="12.75" customHeight="1">
      <c r="F1191" s="643" t="n"/>
      <c r="K1191" s="643" t="n"/>
      <c r="O1191" s="643" t="n"/>
      <c r="S1191" s="643" t="n"/>
      <c r="W1191" s="643" t="n"/>
      <c r="AA1191" s="643" t="n"/>
      <c r="AE1191" s="643" t="n"/>
      <c r="AI1191" s="643" t="n"/>
      <c r="AM1191" s="643" t="n"/>
      <c r="AQ1191" s="643" t="n"/>
      <c r="AU1191" s="643" t="n"/>
      <c r="AY1191" s="643" t="n"/>
      <c r="BC1191" s="643" t="n"/>
      <c r="BG1191" s="643" t="n"/>
    </row>
    <row r="1192" s="1168" customFormat="1" ht="12.75" customHeight="1">
      <c r="F1192" s="643" t="n"/>
      <c r="K1192" s="643" t="n"/>
      <c r="O1192" s="643" t="n"/>
      <c r="S1192" s="643" t="n"/>
      <c r="W1192" s="643" t="n"/>
      <c r="AA1192" s="643" t="n"/>
      <c r="AE1192" s="643" t="n"/>
      <c r="AI1192" s="643" t="n"/>
      <c r="AM1192" s="643" t="n"/>
      <c r="AQ1192" s="643" t="n"/>
      <c r="AU1192" s="643" t="n"/>
      <c r="AY1192" s="643" t="n"/>
      <c r="BC1192" s="643" t="n"/>
      <c r="BG1192" s="643" t="n"/>
    </row>
    <row r="1193" s="1168" customFormat="1" ht="12.75" customHeight="1">
      <c r="F1193" s="643" t="n"/>
      <c r="K1193" s="643" t="n"/>
      <c r="O1193" s="643" t="n"/>
      <c r="S1193" s="643" t="n"/>
      <c r="W1193" s="643" t="n"/>
      <c r="AA1193" s="643" t="n"/>
      <c r="AE1193" s="643" t="n"/>
      <c r="AI1193" s="643" t="n"/>
      <c r="AM1193" s="643" t="n"/>
      <c r="AQ1193" s="643" t="n"/>
      <c r="AU1193" s="643" t="n"/>
      <c r="AY1193" s="643" t="n"/>
      <c r="BC1193" s="643" t="n"/>
      <c r="BG1193" s="643" t="n"/>
    </row>
    <row r="1194" s="1168" customFormat="1" ht="12.75" customHeight="1">
      <c r="F1194" s="643" t="n"/>
      <c r="K1194" s="643" t="n"/>
      <c r="O1194" s="643" t="n"/>
      <c r="S1194" s="643" t="n"/>
      <c r="W1194" s="643" t="n"/>
      <c r="AA1194" s="643" t="n"/>
      <c r="AE1194" s="643" t="n"/>
      <c r="AI1194" s="643" t="n"/>
      <c r="AM1194" s="643" t="n"/>
      <c r="AQ1194" s="643" t="n"/>
      <c r="AU1194" s="643" t="n"/>
      <c r="AY1194" s="643" t="n"/>
      <c r="BC1194" s="643" t="n"/>
      <c r="BG1194" s="643" t="n"/>
    </row>
    <row r="1195" s="1168" customFormat="1" ht="12.75" customHeight="1">
      <c r="F1195" s="643" t="n"/>
      <c r="K1195" s="643" t="n"/>
      <c r="O1195" s="643" t="n"/>
      <c r="S1195" s="643" t="n"/>
      <c r="W1195" s="643" t="n"/>
      <c r="AA1195" s="643" t="n"/>
      <c r="AE1195" s="643" t="n"/>
      <c r="AI1195" s="643" t="n"/>
      <c r="AM1195" s="643" t="n"/>
      <c r="AQ1195" s="643" t="n"/>
      <c r="AU1195" s="643" t="n"/>
      <c r="AY1195" s="643" t="n"/>
      <c r="BC1195" s="643" t="n"/>
      <c r="BG1195" s="643" t="n"/>
    </row>
    <row r="1196" s="1168" customFormat="1" ht="12.75" customHeight="1">
      <c r="F1196" s="643" t="n"/>
      <c r="K1196" s="643" t="n"/>
      <c r="O1196" s="643" t="n"/>
      <c r="S1196" s="643" t="n"/>
      <c r="W1196" s="643" t="n"/>
      <c r="AA1196" s="643" t="n"/>
      <c r="AE1196" s="643" t="n"/>
      <c r="AI1196" s="643" t="n"/>
      <c r="AM1196" s="643" t="n"/>
      <c r="AQ1196" s="643" t="n"/>
      <c r="AU1196" s="643" t="n"/>
      <c r="AY1196" s="643" t="n"/>
      <c r="BC1196" s="643" t="n"/>
      <c r="BG1196" s="643" t="n"/>
    </row>
    <row r="1197" s="1168" customFormat="1" ht="12.75" customHeight="1">
      <c r="F1197" s="643" t="n"/>
      <c r="K1197" s="643" t="n"/>
      <c r="O1197" s="643" t="n"/>
      <c r="S1197" s="643" t="n"/>
      <c r="W1197" s="643" t="n"/>
      <c r="AA1197" s="643" t="n"/>
      <c r="AE1197" s="643" t="n"/>
      <c r="AI1197" s="643" t="n"/>
      <c r="AM1197" s="643" t="n"/>
      <c r="AQ1197" s="643" t="n"/>
      <c r="AU1197" s="643" t="n"/>
      <c r="AY1197" s="643" t="n"/>
      <c r="BC1197" s="643" t="n"/>
      <c r="BG1197" s="643" t="n"/>
    </row>
    <row r="1198" s="1168" customFormat="1" ht="12.75" customHeight="1">
      <c r="F1198" s="643" t="n"/>
      <c r="K1198" s="643" t="n"/>
      <c r="O1198" s="643" t="n"/>
      <c r="S1198" s="643" t="n"/>
      <c r="W1198" s="643" t="n"/>
      <c r="AA1198" s="643" t="n"/>
      <c r="AE1198" s="643" t="n"/>
      <c r="AI1198" s="643" t="n"/>
      <c r="AM1198" s="643" t="n"/>
      <c r="AQ1198" s="643" t="n"/>
      <c r="AU1198" s="643" t="n"/>
      <c r="AY1198" s="643" t="n"/>
      <c r="BC1198" s="643" t="n"/>
      <c r="BG1198" s="643" t="n"/>
    </row>
    <row r="1199" s="1168" customFormat="1" ht="12.75" customHeight="1">
      <c r="F1199" s="643" t="n"/>
      <c r="K1199" s="643" t="n"/>
      <c r="O1199" s="643" t="n"/>
      <c r="S1199" s="643" t="n"/>
      <c r="W1199" s="643" t="n"/>
      <c r="AA1199" s="643" t="n"/>
      <c r="AE1199" s="643" t="n"/>
      <c r="AI1199" s="643" t="n"/>
      <c r="AM1199" s="643" t="n"/>
      <c r="AQ1199" s="643" t="n"/>
      <c r="AU1199" s="643" t="n"/>
      <c r="AY1199" s="643" t="n"/>
      <c r="BC1199" s="643" t="n"/>
      <c r="BG1199" s="643" t="n"/>
    </row>
    <row r="1200" s="1168" customFormat="1" ht="12.75" customHeight="1">
      <c r="F1200" s="643" t="n"/>
      <c r="K1200" s="643" t="n"/>
      <c r="O1200" s="643" t="n"/>
      <c r="S1200" s="643" t="n"/>
      <c r="W1200" s="643" t="n"/>
      <c r="AA1200" s="643" t="n"/>
      <c r="AE1200" s="643" t="n"/>
      <c r="AI1200" s="643" t="n"/>
      <c r="AM1200" s="643" t="n"/>
      <c r="AQ1200" s="643" t="n"/>
      <c r="AU1200" s="643" t="n"/>
      <c r="AY1200" s="643" t="n"/>
      <c r="BC1200" s="643" t="n"/>
      <c r="BG1200" s="643" t="n"/>
    </row>
    <row r="1201" s="1168" customFormat="1" ht="12.75" customHeight="1">
      <c r="F1201" s="643" t="n"/>
      <c r="K1201" s="643" t="n"/>
      <c r="O1201" s="643" t="n"/>
      <c r="S1201" s="643" t="n"/>
      <c r="W1201" s="643" t="n"/>
      <c r="AA1201" s="643" t="n"/>
      <c r="AE1201" s="643" t="n"/>
      <c r="AI1201" s="643" t="n"/>
      <c r="AM1201" s="643" t="n"/>
      <c r="AQ1201" s="643" t="n"/>
      <c r="AU1201" s="643" t="n"/>
      <c r="AY1201" s="643" t="n"/>
      <c r="BC1201" s="643" t="n"/>
      <c r="BG1201" s="643" t="n"/>
    </row>
    <row r="1202" s="1168" customFormat="1" ht="12.75" customHeight="1">
      <c r="F1202" s="643" t="n"/>
      <c r="K1202" s="643" t="n"/>
      <c r="O1202" s="643" t="n"/>
      <c r="S1202" s="643" t="n"/>
      <c r="W1202" s="643" t="n"/>
      <c r="AA1202" s="643" t="n"/>
      <c r="AE1202" s="643" t="n"/>
      <c r="AI1202" s="643" t="n"/>
      <c r="AM1202" s="643" t="n"/>
      <c r="AQ1202" s="643" t="n"/>
      <c r="AU1202" s="643" t="n"/>
      <c r="AY1202" s="643" t="n"/>
      <c r="BC1202" s="643" t="n"/>
      <c r="BG1202" s="643" t="n"/>
    </row>
    <row r="1203" s="1168" customFormat="1" ht="12.75" customHeight="1">
      <c r="F1203" s="643" t="n"/>
      <c r="K1203" s="643" t="n"/>
      <c r="O1203" s="643" t="n"/>
      <c r="S1203" s="643" t="n"/>
      <c r="W1203" s="643" t="n"/>
      <c r="AA1203" s="643" t="n"/>
      <c r="AE1203" s="643" t="n"/>
      <c r="AI1203" s="643" t="n"/>
      <c r="AM1203" s="643" t="n"/>
      <c r="AQ1203" s="643" t="n"/>
      <c r="AU1203" s="643" t="n"/>
      <c r="AY1203" s="643" t="n"/>
      <c r="BC1203" s="643" t="n"/>
      <c r="BG1203" s="643" t="n"/>
    </row>
    <row r="1204" s="1168" customFormat="1" ht="12.75" customHeight="1">
      <c r="F1204" s="643" t="n"/>
      <c r="K1204" s="643" t="n"/>
      <c r="O1204" s="643" t="n"/>
      <c r="S1204" s="643" t="n"/>
      <c r="W1204" s="643" t="n"/>
      <c r="AA1204" s="643" t="n"/>
      <c r="AE1204" s="643" t="n"/>
      <c r="AI1204" s="643" t="n"/>
      <c r="AM1204" s="643" t="n"/>
      <c r="AQ1204" s="643" t="n"/>
      <c r="AU1204" s="643" t="n"/>
      <c r="AY1204" s="643" t="n"/>
      <c r="BC1204" s="643" t="n"/>
      <c r="BG1204" s="643" t="n"/>
    </row>
    <row r="1205" s="1168" customFormat="1" ht="12.75" customHeight="1">
      <c r="F1205" s="643" t="n"/>
      <c r="K1205" s="643" t="n"/>
      <c r="O1205" s="643" t="n"/>
      <c r="S1205" s="643" t="n"/>
      <c r="W1205" s="643" t="n"/>
      <c r="AA1205" s="643" t="n"/>
      <c r="AE1205" s="643" t="n"/>
      <c r="AI1205" s="643" t="n"/>
      <c r="AM1205" s="643" t="n"/>
      <c r="AQ1205" s="643" t="n"/>
      <c r="AU1205" s="643" t="n"/>
      <c r="AY1205" s="643" t="n"/>
      <c r="BC1205" s="643" t="n"/>
      <c r="BG1205" s="643" t="n"/>
    </row>
    <row r="1206" s="1168" customFormat="1" ht="12.75" customHeight="1">
      <c r="F1206" s="643" t="n"/>
      <c r="K1206" s="643" t="n"/>
      <c r="O1206" s="643" t="n"/>
      <c r="S1206" s="643" t="n"/>
      <c r="W1206" s="643" t="n"/>
      <c r="AA1206" s="643" t="n"/>
      <c r="AE1206" s="643" t="n"/>
      <c r="AI1206" s="643" t="n"/>
      <c r="AM1206" s="643" t="n"/>
      <c r="AQ1206" s="643" t="n"/>
      <c r="AU1206" s="643" t="n"/>
      <c r="AY1206" s="643" t="n"/>
      <c r="BC1206" s="643" t="n"/>
      <c r="BG1206" s="643" t="n"/>
    </row>
    <row r="1207" s="1168" customFormat="1" ht="12.75" customHeight="1">
      <c r="F1207" s="643" t="n"/>
      <c r="K1207" s="643" t="n"/>
      <c r="O1207" s="643" t="n"/>
      <c r="S1207" s="643" t="n"/>
      <c r="W1207" s="643" t="n"/>
      <c r="AA1207" s="643" t="n"/>
      <c r="AE1207" s="643" t="n"/>
      <c r="AI1207" s="643" t="n"/>
      <c r="AM1207" s="643" t="n"/>
      <c r="AQ1207" s="643" t="n"/>
      <c r="AU1207" s="643" t="n"/>
      <c r="AY1207" s="643" t="n"/>
      <c r="BC1207" s="643" t="n"/>
      <c r="BG1207" s="643" t="n"/>
    </row>
    <row r="1208" s="1168" customFormat="1" ht="12.75" customHeight="1">
      <c r="F1208" s="643" t="n"/>
      <c r="K1208" s="643" t="n"/>
      <c r="O1208" s="643" t="n"/>
      <c r="S1208" s="643" t="n"/>
      <c r="W1208" s="643" t="n"/>
      <c r="AA1208" s="643" t="n"/>
      <c r="AE1208" s="643" t="n"/>
      <c r="AI1208" s="643" t="n"/>
      <c r="AM1208" s="643" t="n"/>
      <c r="AQ1208" s="643" t="n"/>
      <c r="AU1208" s="643" t="n"/>
      <c r="AY1208" s="643" t="n"/>
      <c r="BC1208" s="643" t="n"/>
      <c r="BG1208" s="643" t="n"/>
    </row>
    <row r="1209" s="1168" customFormat="1" ht="12.75" customHeight="1">
      <c r="F1209" s="643" t="n"/>
      <c r="K1209" s="643" t="n"/>
      <c r="O1209" s="643" t="n"/>
      <c r="S1209" s="643" t="n"/>
      <c r="W1209" s="643" t="n"/>
      <c r="AA1209" s="643" t="n"/>
      <c r="AE1209" s="643" t="n"/>
      <c r="AI1209" s="643" t="n"/>
      <c r="AM1209" s="643" t="n"/>
      <c r="AQ1209" s="643" t="n"/>
      <c r="AU1209" s="643" t="n"/>
      <c r="AY1209" s="643" t="n"/>
      <c r="BC1209" s="643" t="n"/>
      <c r="BG1209" s="643" t="n"/>
    </row>
    <row r="1210" s="1168" customFormat="1" ht="12.75" customHeight="1">
      <c r="F1210" s="643" t="n"/>
      <c r="K1210" s="643" t="n"/>
      <c r="O1210" s="643" t="n"/>
      <c r="S1210" s="643" t="n"/>
      <c r="W1210" s="643" t="n"/>
      <c r="AA1210" s="643" t="n"/>
      <c r="AE1210" s="643" t="n"/>
      <c r="AI1210" s="643" t="n"/>
      <c r="AM1210" s="643" t="n"/>
      <c r="AQ1210" s="643" t="n"/>
      <c r="AU1210" s="643" t="n"/>
      <c r="AY1210" s="643" t="n"/>
      <c r="BC1210" s="643" t="n"/>
      <c r="BG1210" s="643" t="n"/>
    </row>
    <row r="1211" s="1168" customFormat="1" ht="12.75" customHeight="1">
      <c r="F1211" s="643" t="n"/>
      <c r="K1211" s="643" t="n"/>
      <c r="O1211" s="643" t="n"/>
      <c r="S1211" s="643" t="n"/>
      <c r="W1211" s="643" t="n"/>
      <c r="AA1211" s="643" t="n"/>
      <c r="AE1211" s="643" t="n"/>
      <c r="AI1211" s="643" t="n"/>
      <c r="AM1211" s="643" t="n"/>
      <c r="AQ1211" s="643" t="n"/>
      <c r="AU1211" s="643" t="n"/>
      <c r="AY1211" s="643" t="n"/>
      <c r="BC1211" s="643" t="n"/>
      <c r="BG1211" s="643" t="n"/>
    </row>
    <row r="1212" s="1168" customFormat="1" ht="12.75" customHeight="1">
      <c r="F1212" s="643" t="n"/>
      <c r="K1212" s="643" t="n"/>
      <c r="O1212" s="643" t="n"/>
      <c r="S1212" s="643" t="n"/>
      <c r="W1212" s="643" t="n"/>
      <c r="AA1212" s="643" t="n"/>
      <c r="AE1212" s="643" t="n"/>
      <c r="AI1212" s="643" t="n"/>
      <c r="AM1212" s="643" t="n"/>
      <c r="AQ1212" s="643" t="n"/>
      <c r="AU1212" s="643" t="n"/>
      <c r="AY1212" s="643" t="n"/>
      <c r="BC1212" s="643" t="n"/>
      <c r="BG1212" s="643" t="n"/>
    </row>
    <row r="1213" s="1168" customFormat="1" ht="12.75" customHeight="1">
      <c r="F1213" s="643" t="n"/>
      <c r="K1213" s="643" t="n"/>
      <c r="O1213" s="643" t="n"/>
      <c r="S1213" s="643" t="n"/>
      <c r="W1213" s="643" t="n"/>
      <c r="AA1213" s="643" t="n"/>
      <c r="AE1213" s="643" t="n"/>
      <c r="AI1213" s="643" t="n"/>
      <c r="AM1213" s="643" t="n"/>
      <c r="AQ1213" s="643" t="n"/>
      <c r="AU1213" s="643" t="n"/>
      <c r="AY1213" s="643" t="n"/>
      <c r="BC1213" s="643" t="n"/>
      <c r="BG1213" s="643" t="n"/>
    </row>
    <row r="1214" s="1168" customFormat="1" ht="12.75" customHeight="1">
      <c r="F1214" s="643" t="n"/>
      <c r="K1214" s="643" t="n"/>
      <c r="O1214" s="643" t="n"/>
      <c r="S1214" s="643" t="n"/>
      <c r="W1214" s="643" t="n"/>
      <c r="AA1214" s="643" t="n"/>
      <c r="AE1214" s="643" t="n"/>
      <c r="AI1214" s="643" t="n"/>
      <c r="AM1214" s="643" t="n"/>
      <c r="AQ1214" s="643" t="n"/>
      <c r="AU1214" s="643" t="n"/>
      <c r="AY1214" s="643" t="n"/>
      <c r="BC1214" s="643" t="n"/>
      <c r="BG1214" s="643" t="n"/>
    </row>
    <row r="1215" s="1168" customFormat="1" ht="12.75" customHeight="1">
      <c r="F1215" s="643" t="n"/>
      <c r="K1215" s="643" t="n"/>
      <c r="O1215" s="643" t="n"/>
      <c r="S1215" s="643" t="n"/>
      <c r="W1215" s="643" t="n"/>
      <c r="AA1215" s="643" t="n"/>
      <c r="AE1215" s="643" t="n"/>
      <c r="AI1215" s="643" t="n"/>
      <c r="AM1215" s="643" t="n"/>
      <c r="AQ1215" s="643" t="n"/>
      <c r="AU1215" s="643" t="n"/>
      <c r="AY1215" s="643" t="n"/>
      <c r="BC1215" s="643" t="n"/>
      <c r="BG1215" s="643" t="n"/>
    </row>
    <row r="1216" s="1168" customFormat="1" ht="12.75" customHeight="1">
      <c r="F1216" s="643" t="n"/>
      <c r="K1216" s="643" t="n"/>
      <c r="O1216" s="643" t="n"/>
      <c r="S1216" s="643" t="n"/>
      <c r="W1216" s="643" t="n"/>
      <c r="AA1216" s="643" t="n"/>
      <c r="AE1216" s="643" t="n"/>
      <c r="AI1216" s="643" t="n"/>
      <c r="AM1216" s="643" t="n"/>
      <c r="AQ1216" s="643" t="n"/>
      <c r="AU1216" s="643" t="n"/>
      <c r="AY1216" s="643" t="n"/>
      <c r="BC1216" s="643" t="n"/>
      <c r="BG1216" s="643" t="n"/>
    </row>
    <row r="1217" s="1168" customFormat="1" ht="12.75" customHeight="1">
      <c r="F1217" s="643" t="n"/>
      <c r="K1217" s="643" t="n"/>
      <c r="O1217" s="643" t="n"/>
      <c r="S1217" s="643" t="n"/>
      <c r="W1217" s="643" t="n"/>
      <c r="AA1217" s="643" t="n"/>
      <c r="AE1217" s="643" t="n"/>
      <c r="AI1217" s="643" t="n"/>
      <c r="AM1217" s="643" t="n"/>
      <c r="AQ1217" s="643" t="n"/>
      <c r="AU1217" s="643" t="n"/>
      <c r="AY1217" s="643" t="n"/>
      <c r="BC1217" s="643" t="n"/>
      <c r="BG1217" s="643" t="n"/>
    </row>
    <row r="1218" s="1168" customFormat="1" ht="12.75" customHeight="1">
      <c r="F1218" s="643" t="n"/>
      <c r="K1218" s="643" t="n"/>
      <c r="O1218" s="643" t="n"/>
      <c r="S1218" s="643" t="n"/>
      <c r="W1218" s="643" t="n"/>
      <c r="AA1218" s="643" t="n"/>
      <c r="AE1218" s="643" t="n"/>
      <c r="AI1218" s="643" t="n"/>
      <c r="AM1218" s="643" t="n"/>
      <c r="AQ1218" s="643" t="n"/>
      <c r="AU1218" s="643" t="n"/>
      <c r="AY1218" s="643" t="n"/>
      <c r="BC1218" s="643" t="n"/>
      <c r="BG1218" s="643" t="n"/>
    </row>
    <row r="1219" s="1168" customFormat="1" ht="12.75" customHeight="1">
      <c r="F1219" s="643" t="n"/>
      <c r="K1219" s="643" t="n"/>
      <c r="O1219" s="643" t="n"/>
      <c r="S1219" s="643" t="n"/>
      <c r="W1219" s="643" t="n"/>
      <c r="AA1219" s="643" t="n"/>
      <c r="AE1219" s="643" t="n"/>
      <c r="AI1219" s="643" t="n"/>
      <c r="AM1219" s="643" t="n"/>
      <c r="AQ1219" s="643" t="n"/>
      <c r="AU1219" s="643" t="n"/>
      <c r="AY1219" s="643" t="n"/>
      <c r="BC1219" s="643" t="n"/>
      <c r="BG1219" s="643" t="n"/>
    </row>
    <row r="1220" s="1168" customFormat="1" ht="12.75" customHeight="1">
      <c r="F1220" s="643" t="n"/>
      <c r="K1220" s="643" t="n"/>
      <c r="O1220" s="643" t="n"/>
      <c r="S1220" s="643" t="n"/>
      <c r="W1220" s="643" t="n"/>
      <c r="AA1220" s="643" t="n"/>
      <c r="AE1220" s="643" t="n"/>
      <c r="AI1220" s="643" t="n"/>
      <c r="AM1220" s="643" t="n"/>
      <c r="AQ1220" s="643" t="n"/>
      <c r="AU1220" s="643" t="n"/>
      <c r="AY1220" s="643" t="n"/>
      <c r="BC1220" s="643" t="n"/>
      <c r="BG1220" s="643" t="n"/>
    </row>
    <row r="1221" s="1168" customFormat="1" ht="12.75" customHeight="1">
      <c r="F1221" s="643" t="n"/>
      <c r="K1221" s="643" t="n"/>
      <c r="O1221" s="643" t="n"/>
      <c r="S1221" s="643" t="n"/>
      <c r="W1221" s="643" t="n"/>
      <c r="AA1221" s="643" t="n"/>
      <c r="AE1221" s="643" t="n"/>
      <c r="AI1221" s="643" t="n"/>
      <c r="AM1221" s="643" t="n"/>
      <c r="AQ1221" s="643" t="n"/>
      <c r="AU1221" s="643" t="n"/>
      <c r="AY1221" s="643" t="n"/>
      <c r="BC1221" s="643" t="n"/>
      <c r="BG1221" s="643" t="n"/>
    </row>
    <row r="1222" s="1168" customFormat="1" ht="12.75" customHeight="1">
      <c r="F1222" s="643" t="n"/>
      <c r="K1222" s="643" t="n"/>
      <c r="O1222" s="643" t="n"/>
      <c r="S1222" s="643" t="n"/>
      <c r="W1222" s="643" t="n"/>
      <c r="AA1222" s="643" t="n"/>
      <c r="AE1222" s="643" t="n"/>
      <c r="AI1222" s="643" t="n"/>
      <c r="AM1222" s="643" t="n"/>
      <c r="AQ1222" s="643" t="n"/>
      <c r="AU1222" s="643" t="n"/>
      <c r="AY1222" s="643" t="n"/>
      <c r="BC1222" s="643" t="n"/>
      <c r="BG1222" s="643" t="n"/>
    </row>
    <row r="1223" s="1168" customFormat="1" ht="12.75" customHeight="1">
      <c r="F1223" s="643" t="n"/>
      <c r="K1223" s="643" t="n"/>
      <c r="O1223" s="643" t="n"/>
      <c r="S1223" s="643" t="n"/>
      <c r="W1223" s="643" t="n"/>
      <c r="AA1223" s="643" t="n"/>
      <c r="AE1223" s="643" t="n"/>
      <c r="AI1223" s="643" t="n"/>
      <c r="AM1223" s="643" t="n"/>
      <c r="AQ1223" s="643" t="n"/>
      <c r="AU1223" s="643" t="n"/>
      <c r="AY1223" s="643" t="n"/>
      <c r="BC1223" s="643" t="n"/>
      <c r="BG1223" s="643" t="n"/>
    </row>
    <row r="1224" s="1168" customFormat="1" ht="12.75" customHeight="1">
      <c r="F1224" s="643" t="n"/>
      <c r="K1224" s="643" t="n"/>
      <c r="O1224" s="643" t="n"/>
      <c r="S1224" s="643" t="n"/>
      <c r="W1224" s="643" t="n"/>
      <c r="AA1224" s="643" t="n"/>
      <c r="AE1224" s="643" t="n"/>
      <c r="AI1224" s="643" t="n"/>
      <c r="AM1224" s="643" t="n"/>
      <c r="AQ1224" s="643" t="n"/>
      <c r="AU1224" s="643" t="n"/>
      <c r="AY1224" s="643" t="n"/>
      <c r="BC1224" s="643" t="n"/>
      <c r="BG1224" s="643" t="n"/>
    </row>
    <row r="1225" s="1168" customFormat="1" ht="12.75" customHeight="1">
      <c r="F1225" s="643" t="n"/>
      <c r="K1225" s="643" t="n"/>
      <c r="O1225" s="643" t="n"/>
      <c r="S1225" s="643" t="n"/>
      <c r="W1225" s="643" t="n"/>
      <c r="AA1225" s="643" t="n"/>
      <c r="AE1225" s="643" t="n"/>
      <c r="AI1225" s="643" t="n"/>
      <c r="AM1225" s="643" t="n"/>
      <c r="AQ1225" s="643" t="n"/>
      <c r="AU1225" s="643" t="n"/>
      <c r="AY1225" s="643" t="n"/>
      <c r="BC1225" s="643" t="n"/>
      <c r="BG1225" s="643" t="n"/>
    </row>
    <row r="1226" s="1168" customFormat="1" ht="12.75" customHeight="1">
      <c r="F1226" s="643" t="n"/>
      <c r="K1226" s="643" t="n"/>
      <c r="O1226" s="643" t="n"/>
      <c r="S1226" s="643" t="n"/>
      <c r="W1226" s="643" t="n"/>
      <c r="AA1226" s="643" t="n"/>
      <c r="AE1226" s="643" t="n"/>
      <c r="AI1226" s="643" t="n"/>
      <c r="AM1226" s="643" t="n"/>
      <c r="AQ1226" s="643" t="n"/>
      <c r="AU1226" s="643" t="n"/>
      <c r="AY1226" s="643" t="n"/>
      <c r="BC1226" s="643" t="n"/>
      <c r="BG1226" s="643" t="n"/>
    </row>
    <row r="1227" s="1168" customFormat="1" ht="12.75" customHeight="1">
      <c r="F1227" s="643" t="n"/>
      <c r="K1227" s="643" t="n"/>
      <c r="O1227" s="643" t="n"/>
      <c r="S1227" s="643" t="n"/>
      <c r="W1227" s="643" t="n"/>
      <c r="AA1227" s="643" t="n"/>
      <c r="AE1227" s="643" t="n"/>
      <c r="AI1227" s="643" t="n"/>
      <c r="AM1227" s="643" t="n"/>
      <c r="AQ1227" s="643" t="n"/>
      <c r="AU1227" s="643" t="n"/>
      <c r="AY1227" s="643" t="n"/>
      <c r="BC1227" s="643" t="n"/>
      <c r="BG1227" s="643" t="n"/>
    </row>
    <row r="1228" s="1168" customFormat="1" ht="12.75" customHeight="1">
      <c r="F1228" s="643" t="n"/>
      <c r="K1228" s="643" t="n"/>
      <c r="O1228" s="643" t="n"/>
      <c r="S1228" s="643" t="n"/>
      <c r="W1228" s="643" t="n"/>
      <c r="AA1228" s="643" t="n"/>
      <c r="AE1228" s="643" t="n"/>
      <c r="AI1228" s="643" t="n"/>
      <c r="AM1228" s="643" t="n"/>
      <c r="AQ1228" s="643" t="n"/>
      <c r="AU1228" s="643" t="n"/>
      <c r="AY1228" s="643" t="n"/>
      <c r="BC1228" s="643" t="n"/>
      <c r="BG1228" s="643" t="n"/>
    </row>
    <row r="1229" s="1168" customFormat="1" ht="12.75" customHeight="1">
      <c r="F1229" s="643" t="n"/>
      <c r="K1229" s="643" t="n"/>
      <c r="O1229" s="643" t="n"/>
      <c r="S1229" s="643" t="n"/>
      <c r="W1229" s="643" t="n"/>
      <c r="AA1229" s="643" t="n"/>
      <c r="AE1229" s="643" t="n"/>
      <c r="AI1229" s="643" t="n"/>
      <c r="AM1229" s="643" t="n"/>
      <c r="AQ1229" s="643" t="n"/>
      <c r="AU1229" s="643" t="n"/>
      <c r="AY1229" s="643" t="n"/>
      <c r="BC1229" s="643" t="n"/>
      <c r="BG1229" s="643" t="n"/>
    </row>
    <row r="1230" s="1168" customFormat="1" ht="12.75" customHeight="1">
      <c r="F1230" s="643" t="n"/>
      <c r="K1230" s="643" t="n"/>
      <c r="O1230" s="643" t="n"/>
      <c r="S1230" s="643" t="n"/>
      <c r="W1230" s="643" t="n"/>
      <c r="AA1230" s="643" t="n"/>
      <c r="AE1230" s="643" t="n"/>
      <c r="AI1230" s="643" t="n"/>
      <c r="AM1230" s="643" t="n"/>
      <c r="AQ1230" s="643" t="n"/>
      <c r="AU1230" s="643" t="n"/>
      <c r="AY1230" s="643" t="n"/>
      <c r="BC1230" s="643" t="n"/>
      <c r="BG1230" s="643" t="n"/>
    </row>
    <row r="1231" s="1168" customFormat="1" ht="12.75" customHeight="1">
      <c r="F1231" s="643" t="n"/>
      <c r="K1231" s="643" t="n"/>
      <c r="O1231" s="643" t="n"/>
      <c r="S1231" s="643" t="n"/>
      <c r="W1231" s="643" t="n"/>
      <c r="AA1231" s="643" t="n"/>
      <c r="AE1231" s="643" t="n"/>
      <c r="AI1231" s="643" t="n"/>
      <c r="AM1231" s="643" t="n"/>
      <c r="AQ1231" s="643" t="n"/>
      <c r="AU1231" s="643" t="n"/>
      <c r="AY1231" s="643" t="n"/>
      <c r="BC1231" s="643" t="n"/>
      <c r="BG1231" s="643" t="n"/>
    </row>
    <row r="1232" s="1168" customFormat="1" ht="12.75" customHeight="1">
      <c r="F1232" s="643" t="n"/>
      <c r="K1232" s="643" t="n"/>
      <c r="O1232" s="643" t="n"/>
      <c r="S1232" s="643" t="n"/>
      <c r="W1232" s="643" t="n"/>
      <c r="AA1232" s="643" t="n"/>
      <c r="AE1232" s="643" t="n"/>
      <c r="AI1232" s="643" t="n"/>
      <c r="AM1232" s="643" t="n"/>
      <c r="AQ1232" s="643" t="n"/>
      <c r="AU1232" s="643" t="n"/>
      <c r="AY1232" s="643" t="n"/>
      <c r="BC1232" s="643" t="n"/>
      <c r="BG1232" s="643" t="n"/>
    </row>
    <row r="1233" s="1168" customFormat="1" ht="12.75" customHeight="1">
      <c r="F1233" s="643" t="n"/>
      <c r="K1233" s="643" t="n"/>
      <c r="O1233" s="643" t="n"/>
      <c r="S1233" s="643" t="n"/>
      <c r="W1233" s="643" t="n"/>
      <c r="AA1233" s="643" t="n"/>
      <c r="AE1233" s="643" t="n"/>
      <c r="AI1233" s="643" t="n"/>
      <c r="AM1233" s="643" t="n"/>
      <c r="AQ1233" s="643" t="n"/>
      <c r="AU1233" s="643" t="n"/>
      <c r="AY1233" s="643" t="n"/>
      <c r="BC1233" s="643" t="n"/>
      <c r="BG1233" s="643" t="n"/>
    </row>
    <row r="1234" s="1168" customFormat="1" ht="12.75" customHeight="1">
      <c r="F1234" s="643" t="n"/>
      <c r="K1234" s="643" t="n"/>
      <c r="O1234" s="643" t="n"/>
      <c r="S1234" s="643" t="n"/>
      <c r="W1234" s="643" t="n"/>
      <c r="AA1234" s="643" t="n"/>
      <c r="AE1234" s="643" t="n"/>
      <c r="AI1234" s="643" t="n"/>
      <c r="AM1234" s="643" t="n"/>
      <c r="AQ1234" s="643" t="n"/>
      <c r="AU1234" s="643" t="n"/>
      <c r="AY1234" s="643" t="n"/>
      <c r="BC1234" s="643" t="n"/>
      <c r="BG1234" s="643" t="n"/>
    </row>
    <row r="1235" s="1168" customFormat="1" ht="12.75" customHeight="1">
      <c r="F1235" s="643" t="n"/>
      <c r="K1235" s="643" t="n"/>
      <c r="O1235" s="643" t="n"/>
      <c r="S1235" s="643" t="n"/>
      <c r="W1235" s="643" t="n"/>
      <c r="AA1235" s="643" t="n"/>
      <c r="AE1235" s="643" t="n"/>
      <c r="AI1235" s="643" t="n"/>
      <c r="AM1235" s="643" t="n"/>
      <c r="AQ1235" s="643" t="n"/>
      <c r="AU1235" s="643" t="n"/>
      <c r="AY1235" s="643" t="n"/>
      <c r="BC1235" s="643" t="n"/>
      <c r="BG1235" s="643" t="n"/>
    </row>
    <row r="1236" s="1168" customFormat="1" ht="12.75" customHeight="1">
      <c r="F1236" s="643" t="n"/>
      <c r="K1236" s="643" t="n"/>
      <c r="O1236" s="643" t="n"/>
      <c r="S1236" s="643" t="n"/>
      <c r="W1236" s="643" t="n"/>
      <c r="AA1236" s="643" t="n"/>
      <c r="AE1236" s="643" t="n"/>
      <c r="AI1236" s="643" t="n"/>
      <c r="AM1236" s="643" t="n"/>
      <c r="AQ1236" s="643" t="n"/>
      <c r="AU1236" s="643" t="n"/>
      <c r="AY1236" s="643" t="n"/>
      <c r="BC1236" s="643" t="n"/>
      <c r="BG1236" s="643" t="n"/>
    </row>
    <row r="1237" s="1168" customFormat="1" ht="12.75" customHeight="1">
      <c r="F1237" s="643" t="n"/>
      <c r="K1237" s="643" t="n"/>
      <c r="O1237" s="643" t="n"/>
      <c r="S1237" s="643" t="n"/>
      <c r="W1237" s="643" t="n"/>
      <c r="AA1237" s="643" t="n"/>
      <c r="AE1237" s="643" t="n"/>
      <c r="AI1237" s="643" t="n"/>
      <c r="AM1237" s="643" t="n"/>
      <c r="AQ1237" s="643" t="n"/>
      <c r="AU1237" s="643" t="n"/>
      <c r="AY1237" s="643" t="n"/>
      <c r="BC1237" s="643" t="n"/>
      <c r="BG1237" s="643" t="n"/>
    </row>
    <row r="1238" s="1168" customFormat="1" ht="12.75" customHeight="1">
      <c r="F1238" s="643" t="n"/>
      <c r="K1238" s="643" t="n"/>
      <c r="O1238" s="643" t="n"/>
      <c r="S1238" s="643" t="n"/>
      <c r="W1238" s="643" t="n"/>
      <c r="AA1238" s="643" t="n"/>
      <c r="AE1238" s="643" t="n"/>
      <c r="AI1238" s="643" t="n"/>
      <c r="AM1238" s="643" t="n"/>
      <c r="AQ1238" s="643" t="n"/>
      <c r="AU1238" s="643" t="n"/>
      <c r="AY1238" s="643" t="n"/>
      <c r="BC1238" s="643" t="n"/>
      <c r="BG1238" s="643" t="n"/>
    </row>
    <row r="1239" s="1168" customFormat="1" ht="12.75" customHeight="1">
      <c r="F1239" s="643" t="n"/>
      <c r="K1239" s="643" t="n"/>
      <c r="O1239" s="643" t="n"/>
      <c r="S1239" s="643" t="n"/>
      <c r="W1239" s="643" t="n"/>
      <c r="AA1239" s="643" t="n"/>
      <c r="AE1239" s="643" t="n"/>
      <c r="AI1239" s="643" t="n"/>
      <c r="AM1239" s="643" t="n"/>
      <c r="AQ1239" s="643" t="n"/>
      <c r="AU1239" s="643" t="n"/>
      <c r="AY1239" s="643" t="n"/>
      <c r="BC1239" s="643" t="n"/>
      <c r="BG1239" s="643" t="n"/>
    </row>
    <row r="1240" s="1168" customFormat="1" ht="12.75" customHeight="1">
      <c r="F1240" s="643" t="n"/>
      <c r="K1240" s="643" t="n"/>
      <c r="O1240" s="643" t="n"/>
      <c r="S1240" s="643" t="n"/>
      <c r="W1240" s="643" t="n"/>
      <c r="AA1240" s="643" t="n"/>
      <c r="AE1240" s="643" t="n"/>
      <c r="AI1240" s="643" t="n"/>
      <c r="AM1240" s="643" t="n"/>
      <c r="AQ1240" s="643" t="n"/>
      <c r="AU1240" s="643" t="n"/>
      <c r="AY1240" s="643" t="n"/>
      <c r="BC1240" s="643" t="n"/>
      <c r="BG1240" s="643" t="n"/>
    </row>
    <row r="1241" s="1168" customFormat="1" ht="12.75" customHeight="1">
      <c r="F1241" s="643" t="n"/>
      <c r="K1241" s="643" t="n"/>
      <c r="O1241" s="643" t="n"/>
      <c r="S1241" s="643" t="n"/>
      <c r="W1241" s="643" t="n"/>
      <c r="AA1241" s="643" t="n"/>
      <c r="AE1241" s="643" t="n"/>
      <c r="AI1241" s="643" t="n"/>
      <c r="AM1241" s="643" t="n"/>
      <c r="AQ1241" s="643" t="n"/>
      <c r="AU1241" s="643" t="n"/>
      <c r="AY1241" s="643" t="n"/>
      <c r="BC1241" s="643" t="n"/>
      <c r="BG1241" s="643" t="n"/>
    </row>
    <row r="1242" s="1168" customFormat="1" ht="12.75" customHeight="1">
      <c r="F1242" s="643" t="n"/>
      <c r="K1242" s="643" t="n"/>
      <c r="O1242" s="643" t="n"/>
      <c r="S1242" s="643" t="n"/>
      <c r="W1242" s="643" t="n"/>
      <c r="AA1242" s="643" t="n"/>
      <c r="AE1242" s="643" t="n"/>
      <c r="AI1242" s="643" t="n"/>
      <c r="AM1242" s="643" t="n"/>
      <c r="AQ1242" s="643" t="n"/>
      <c r="AU1242" s="643" t="n"/>
      <c r="AY1242" s="643" t="n"/>
      <c r="BC1242" s="643" t="n"/>
      <c r="BG1242" s="643" t="n"/>
    </row>
    <row r="1243" s="1168" customFormat="1" ht="12.75" customHeight="1">
      <c r="F1243" s="643" t="n"/>
      <c r="K1243" s="643" t="n"/>
      <c r="O1243" s="643" t="n"/>
      <c r="S1243" s="643" t="n"/>
      <c r="W1243" s="643" t="n"/>
      <c r="AA1243" s="643" t="n"/>
      <c r="AE1243" s="643" t="n"/>
      <c r="AI1243" s="643" t="n"/>
      <c r="AM1243" s="643" t="n"/>
      <c r="AQ1243" s="643" t="n"/>
      <c r="AU1243" s="643" t="n"/>
      <c r="AY1243" s="643" t="n"/>
      <c r="BC1243" s="643" t="n"/>
      <c r="BG1243" s="643" t="n"/>
    </row>
    <row r="1244" s="1168" customFormat="1" ht="12.75" customHeight="1">
      <c r="F1244" s="643" t="n"/>
      <c r="K1244" s="643" t="n"/>
      <c r="O1244" s="643" t="n"/>
      <c r="S1244" s="643" t="n"/>
      <c r="W1244" s="643" t="n"/>
      <c r="AA1244" s="643" t="n"/>
      <c r="AE1244" s="643" t="n"/>
      <c r="AI1244" s="643" t="n"/>
      <c r="AM1244" s="643" t="n"/>
      <c r="AQ1244" s="643" t="n"/>
      <c r="AU1244" s="643" t="n"/>
      <c r="AY1244" s="643" t="n"/>
      <c r="BC1244" s="643" t="n"/>
      <c r="BG1244" s="643" t="n"/>
    </row>
    <row r="1245" s="1168" customFormat="1" ht="12.75" customHeight="1">
      <c r="F1245" s="643" t="n"/>
      <c r="K1245" s="643" t="n"/>
      <c r="O1245" s="643" t="n"/>
      <c r="S1245" s="643" t="n"/>
      <c r="W1245" s="643" t="n"/>
      <c r="AA1245" s="643" t="n"/>
      <c r="AE1245" s="643" t="n"/>
      <c r="AI1245" s="643" t="n"/>
      <c r="AM1245" s="643" t="n"/>
      <c r="AQ1245" s="643" t="n"/>
      <c r="AU1245" s="643" t="n"/>
      <c r="AY1245" s="643" t="n"/>
      <c r="BC1245" s="643" t="n"/>
      <c r="BG1245" s="643" t="n"/>
    </row>
    <row r="1246" s="1168" customFormat="1" ht="12.75" customHeight="1">
      <c r="F1246" s="643" t="n"/>
      <c r="K1246" s="643" t="n"/>
      <c r="O1246" s="643" t="n"/>
      <c r="S1246" s="643" t="n"/>
      <c r="W1246" s="643" t="n"/>
      <c r="AA1246" s="643" t="n"/>
      <c r="AE1246" s="643" t="n"/>
      <c r="AI1246" s="643" t="n"/>
      <c r="AM1246" s="643" t="n"/>
      <c r="AQ1246" s="643" t="n"/>
      <c r="AU1246" s="643" t="n"/>
      <c r="AY1246" s="643" t="n"/>
      <c r="BC1246" s="643" t="n"/>
      <c r="BG1246" s="643" t="n"/>
    </row>
    <row r="1247" s="1168" customFormat="1" ht="12.75" customHeight="1">
      <c r="F1247" s="643" t="n"/>
      <c r="K1247" s="643" t="n"/>
      <c r="O1247" s="643" t="n"/>
      <c r="S1247" s="643" t="n"/>
      <c r="W1247" s="643" t="n"/>
      <c r="AA1247" s="643" t="n"/>
      <c r="AE1247" s="643" t="n"/>
      <c r="AI1247" s="643" t="n"/>
      <c r="AM1247" s="643" t="n"/>
      <c r="AQ1247" s="643" t="n"/>
      <c r="AU1247" s="643" t="n"/>
      <c r="AY1247" s="643" t="n"/>
      <c r="BC1247" s="643" t="n"/>
      <c r="BG1247" s="643" t="n"/>
    </row>
    <row r="1248" s="1168" customFormat="1" ht="12.75" customHeight="1">
      <c r="F1248" s="643" t="n"/>
      <c r="K1248" s="643" t="n"/>
      <c r="O1248" s="643" t="n"/>
      <c r="S1248" s="643" t="n"/>
      <c r="W1248" s="643" t="n"/>
      <c r="AA1248" s="643" t="n"/>
      <c r="AE1248" s="643" t="n"/>
      <c r="AI1248" s="643" t="n"/>
      <c r="AM1248" s="643" t="n"/>
      <c r="AQ1248" s="643" t="n"/>
      <c r="AU1248" s="643" t="n"/>
      <c r="AY1248" s="643" t="n"/>
      <c r="BC1248" s="643" t="n"/>
      <c r="BG1248" s="643" t="n"/>
    </row>
    <row r="1249" s="1168" customFormat="1" ht="12.75" customHeight="1">
      <c r="F1249" s="643" t="n"/>
      <c r="K1249" s="643" t="n"/>
      <c r="O1249" s="643" t="n"/>
      <c r="S1249" s="643" t="n"/>
      <c r="W1249" s="643" t="n"/>
      <c r="AA1249" s="643" t="n"/>
      <c r="AE1249" s="643" t="n"/>
      <c r="AI1249" s="643" t="n"/>
      <c r="AM1249" s="643" t="n"/>
      <c r="AQ1249" s="643" t="n"/>
      <c r="AU1249" s="643" t="n"/>
      <c r="AY1249" s="643" t="n"/>
      <c r="BC1249" s="643" t="n"/>
      <c r="BG1249" s="643" t="n"/>
    </row>
    <row r="1250" s="1168" customFormat="1" ht="12.75" customHeight="1">
      <c r="F1250" s="643" t="n"/>
      <c r="K1250" s="643" t="n"/>
      <c r="O1250" s="643" t="n"/>
      <c r="S1250" s="643" t="n"/>
      <c r="W1250" s="643" t="n"/>
      <c r="AA1250" s="643" t="n"/>
      <c r="AE1250" s="643" t="n"/>
      <c r="AI1250" s="643" t="n"/>
      <c r="AM1250" s="643" t="n"/>
      <c r="AQ1250" s="643" t="n"/>
      <c r="AU1250" s="643" t="n"/>
      <c r="AY1250" s="643" t="n"/>
      <c r="BC1250" s="643" t="n"/>
      <c r="BG1250" s="643" t="n"/>
    </row>
    <row r="1251" s="1168" customFormat="1" ht="12.75" customHeight="1">
      <c r="F1251" s="643" t="n"/>
      <c r="K1251" s="643" t="n"/>
      <c r="O1251" s="643" t="n"/>
      <c r="S1251" s="643" t="n"/>
      <c r="W1251" s="643" t="n"/>
      <c r="AA1251" s="643" t="n"/>
      <c r="AE1251" s="643" t="n"/>
      <c r="AI1251" s="643" t="n"/>
      <c r="AM1251" s="643" t="n"/>
      <c r="AQ1251" s="643" t="n"/>
      <c r="AU1251" s="643" t="n"/>
      <c r="AY1251" s="643" t="n"/>
      <c r="BC1251" s="643" t="n"/>
      <c r="BG1251" s="643" t="n"/>
    </row>
    <row r="1252" s="1168" customFormat="1" ht="12.75" customHeight="1">
      <c r="F1252" s="643" t="n"/>
      <c r="K1252" s="643" t="n"/>
      <c r="O1252" s="643" t="n"/>
      <c r="S1252" s="643" t="n"/>
      <c r="W1252" s="643" t="n"/>
      <c r="AA1252" s="643" t="n"/>
      <c r="AE1252" s="643" t="n"/>
      <c r="AI1252" s="643" t="n"/>
      <c r="AM1252" s="643" t="n"/>
      <c r="AQ1252" s="643" t="n"/>
      <c r="AU1252" s="643" t="n"/>
      <c r="AY1252" s="643" t="n"/>
      <c r="BC1252" s="643" t="n"/>
      <c r="BG1252" s="643" t="n"/>
    </row>
    <row r="1253" s="1168" customFormat="1" ht="12.75" customHeight="1">
      <c r="F1253" s="643" t="n"/>
      <c r="K1253" s="643" t="n"/>
      <c r="O1253" s="643" t="n"/>
      <c r="S1253" s="643" t="n"/>
      <c r="W1253" s="643" t="n"/>
      <c r="AA1253" s="643" t="n"/>
      <c r="AE1253" s="643" t="n"/>
      <c r="AI1253" s="643" t="n"/>
      <c r="AM1253" s="643" t="n"/>
      <c r="AQ1253" s="643" t="n"/>
      <c r="AU1253" s="643" t="n"/>
      <c r="AY1253" s="643" t="n"/>
      <c r="BC1253" s="643" t="n"/>
      <c r="BG1253" s="643" t="n"/>
    </row>
    <row r="1254" s="1168" customFormat="1" ht="12.75" customHeight="1">
      <c r="F1254" s="643" t="n"/>
      <c r="K1254" s="643" t="n"/>
      <c r="O1254" s="643" t="n"/>
      <c r="S1254" s="643" t="n"/>
      <c r="W1254" s="643" t="n"/>
      <c r="AA1254" s="643" t="n"/>
      <c r="AE1254" s="643" t="n"/>
      <c r="AI1254" s="643" t="n"/>
      <c r="AM1254" s="643" t="n"/>
      <c r="AQ1254" s="643" t="n"/>
      <c r="AU1254" s="643" t="n"/>
      <c r="AY1254" s="643" t="n"/>
      <c r="BC1254" s="643" t="n"/>
      <c r="BG1254" s="643" t="n"/>
    </row>
    <row r="1255" s="1168" customFormat="1" ht="12.75" customHeight="1">
      <c r="F1255" s="643" t="n"/>
      <c r="K1255" s="643" t="n"/>
      <c r="O1255" s="643" t="n"/>
      <c r="S1255" s="643" t="n"/>
      <c r="W1255" s="643" t="n"/>
      <c r="AA1255" s="643" t="n"/>
      <c r="AE1255" s="643" t="n"/>
      <c r="AI1255" s="643" t="n"/>
      <c r="AM1255" s="643" t="n"/>
      <c r="AQ1255" s="643" t="n"/>
      <c r="AU1255" s="643" t="n"/>
      <c r="AY1255" s="643" t="n"/>
      <c r="BC1255" s="643" t="n"/>
      <c r="BG1255" s="643" t="n"/>
    </row>
    <row r="1256" s="1168" customFormat="1" ht="12.75" customHeight="1">
      <c r="F1256" s="643" t="n"/>
      <c r="K1256" s="643" t="n"/>
      <c r="O1256" s="643" t="n"/>
      <c r="S1256" s="643" t="n"/>
      <c r="W1256" s="643" t="n"/>
      <c r="AA1256" s="643" t="n"/>
      <c r="AE1256" s="643" t="n"/>
      <c r="AI1256" s="643" t="n"/>
      <c r="AM1256" s="643" t="n"/>
      <c r="AQ1256" s="643" t="n"/>
      <c r="AU1256" s="643" t="n"/>
      <c r="AY1256" s="643" t="n"/>
      <c r="BC1256" s="643" t="n"/>
      <c r="BG1256" s="643" t="n"/>
    </row>
    <row r="1257" s="1168" customFormat="1" ht="12.75" customHeight="1">
      <c r="F1257" s="643" t="n"/>
      <c r="K1257" s="643" t="n"/>
      <c r="O1257" s="643" t="n"/>
      <c r="S1257" s="643" t="n"/>
      <c r="W1257" s="643" t="n"/>
      <c r="AA1257" s="643" t="n"/>
      <c r="AE1257" s="643" t="n"/>
      <c r="AI1257" s="643" t="n"/>
      <c r="AM1257" s="643" t="n"/>
      <c r="AQ1257" s="643" t="n"/>
      <c r="AU1257" s="643" t="n"/>
      <c r="AY1257" s="643" t="n"/>
      <c r="BC1257" s="643" t="n"/>
      <c r="BG1257" s="643" t="n"/>
    </row>
    <row r="1258" s="1168" customFormat="1" ht="12.75" customHeight="1">
      <c r="F1258" s="643" t="n"/>
      <c r="K1258" s="643" t="n"/>
      <c r="O1258" s="643" t="n"/>
      <c r="S1258" s="643" t="n"/>
      <c r="W1258" s="643" t="n"/>
      <c r="AA1258" s="643" t="n"/>
      <c r="AE1258" s="643" t="n"/>
      <c r="AI1258" s="643" t="n"/>
      <c r="AM1258" s="643" t="n"/>
      <c r="AQ1258" s="643" t="n"/>
      <c r="AU1258" s="643" t="n"/>
      <c r="AY1258" s="643" t="n"/>
      <c r="BC1258" s="643" t="n"/>
      <c r="BG1258" s="643" t="n"/>
    </row>
    <row r="1259" s="1168" customFormat="1" ht="12.75" customHeight="1">
      <c r="F1259" s="643" t="n"/>
      <c r="K1259" s="643" t="n"/>
      <c r="O1259" s="643" t="n"/>
      <c r="S1259" s="643" t="n"/>
      <c r="W1259" s="643" t="n"/>
      <c r="AA1259" s="643" t="n"/>
      <c r="AE1259" s="643" t="n"/>
      <c r="AI1259" s="643" t="n"/>
      <c r="AM1259" s="643" t="n"/>
      <c r="AQ1259" s="643" t="n"/>
      <c r="AU1259" s="643" t="n"/>
      <c r="AY1259" s="643" t="n"/>
      <c r="BC1259" s="643" t="n"/>
      <c r="BG1259" s="643" t="n"/>
    </row>
    <row r="1260" s="1168" customFormat="1" ht="12.75" customHeight="1">
      <c r="F1260" s="643" t="n"/>
      <c r="K1260" s="643" t="n"/>
      <c r="O1260" s="643" t="n"/>
      <c r="S1260" s="643" t="n"/>
      <c r="W1260" s="643" t="n"/>
      <c r="AA1260" s="643" t="n"/>
      <c r="AE1260" s="643" t="n"/>
      <c r="AI1260" s="643" t="n"/>
      <c r="AM1260" s="643" t="n"/>
      <c r="AQ1260" s="643" t="n"/>
      <c r="AU1260" s="643" t="n"/>
      <c r="AY1260" s="643" t="n"/>
      <c r="BC1260" s="643" t="n"/>
      <c r="BG1260" s="643" t="n"/>
    </row>
    <row r="1261" s="1168" customFormat="1" ht="12.75" customHeight="1">
      <c r="F1261" s="643" t="n"/>
      <c r="K1261" s="643" t="n"/>
      <c r="O1261" s="643" t="n"/>
      <c r="S1261" s="643" t="n"/>
      <c r="W1261" s="643" t="n"/>
      <c r="AA1261" s="643" t="n"/>
      <c r="AE1261" s="643" t="n"/>
      <c r="AI1261" s="643" t="n"/>
      <c r="AM1261" s="643" t="n"/>
      <c r="AQ1261" s="643" t="n"/>
      <c r="AU1261" s="643" t="n"/>
      <c r="AY1261" s="643" t="n"/>
      <c r="BC1261" s="643" t="n"/>
      <c r="BG1261" s="643" t="n"/>
    </row>
    <row r="1262" s="1168" customFormat="1" ht="12.75" customHeight="1">
      <c r="F1262" s="643" t="n"/>
      <c r="K1262" s="643" t="n"/>
      <c r="O1262" s="643" t="n"/>
      <c r="S1262" s="643" t="n"/>
      <c r="W1262" s="643" t="n"/>
      <c r="AA1262" s="643" t="n"/>
      <c r="AE1262" s="643" t="n"/>
      <c r="AI1262" s="643" t="n"/>
      <c r="AM1262" s="643" t="n"/>
      <c r="AQ1262" s="643" t="n"/>
      <c r="AU1262" s="643" t="n"/>
      <c r="AY1262" s="643" t="n"/>
      <c r="BC1262" s="643" t="n"/>
      <c r="BG1262" s="643" t="n"/>
    </row>
    <row r="1263" s="1168" customFormat="1" ht="12.75" customHeight="1">
      <c r="F1263" s="643" t="n"/>
      <c r="K1263" s="643" t="n"/>
      <c r="O1263" s="643" t="n"/>
      <c r="S1263" s="643" t="n"/>
      <c r="W1263" s="643" t="n"/>
      <c r="AA1263" s="643" t="n"/>
      <c r="AE1263" s="643" t="n"/>
      <c r="AI1263" s="643" t="n"/>
      <c r="AM1263" s="643" t="n"/>
      <c r="AQ1263" s="643" t="n"/>
      <c r="AU1263" s="643" t="n"/>
      <c r="AY1263" s="643" t="n"/>
      <c r="BC1263" s="643" t="n"/>
      <c r="BG1263" s="643" t="n"/>
    </row>
    <row r="1264" s="1168" customFormat="1" ht="12.75" customHeight="1">
      <c r="F1264" s="643" t="n"/>
      <c r="K1264" s="643" t="n"/>
      <c r="O1264" s="643" t="n"/>
      <c r="S1264" s="643" t="n"/>
      <c r="W1264" s="643" t="n"/>
      <c r="AA1264" s="643" t="n"/>
      <c r="AE1264" s="643" t="n"/>
      <c r="AI1264" s="643" t="n"/>
      <c r="AM1264" s="643" t="n"/>
      <c r="AQ1264" s="643" t="n"/>
      <c r="AU1264" s="643" t="n"/>
      <c r="AY1264" s="643" t="n"/>
      <c r="BC1264" s="643" t="n"/>
      <c r="BG1264" s="643" t="n"/>
    </row>
    <row r="1265" s="1168" customFormat="1" ht="12.75" customHeight="1">
      <c r="F1265" s="643" t="n"/>
      <c r="K1265" s="643" t="n"/>
      <c r="O1265" s="643" t="n"/>
      <c r="S1265" s="643" t="n"/>
      <c r="W1265" s="643" t="n"/>
      <c r="AA1265" s="643" t="n"/>
      <c r="AE1265" s="643" t="n"/>
      <c r="AI1265" s="643" t="n"/>
      <c r="AM1265" s="643" t="n"/>
      <c r="AQ1265" s="643" t="n"/>
      <c r="AU1265" s="643" t="n"/>
      <c r="AY1265" s="643" t="n"/>
      <c r="BC1265" s="643" t="n"/>
      <c r="BG1265" s="643" t="n"/>
    </row>
    <row r="1266" s="1168" customFormat="1" ht="12.75" customHeight="1">
      <c r="F1266" s="643" t="n"/>
      <c r="K1266" s="643" t="n"/>
      <c r="O1266" s="643" t="n"/>
      <c r="S1266" s="643" t="n"/>
      <c r="W1266" s="643" t="n"/>
      <c r="AA1266" s="643" t="n"/>
      <c r="AE1266" s="643" t="n"/>
      <c r="AI1266" s="643" t="n"/>
      <c r="AM1266" s="643" t="n"/>
      <c r="AQ1266" s="643" t="n"/>
      <c r="AU1266" s="643" t="n"/>
      <c r="AY1266" s="643" t="n"/>
      <c r="BC1266" s="643" t="n"/>
      <c r="BG1266" s="643" t="n"/>
    </row>
    <row r="1267" s="1168" customFormat="1" ht="12.75" customHeight="1">
      <c r="F1267" s="643" t="n"/>
      <c r="K1267" s="643" t="n"/>
      <c r="O1267" s="643" t="n"/>
      <c r="S1267" s="643" t="n"/>
      <c r="W1267" s="643" t="n"/>
      <c r="AA1267" s="643" t="n"/>
      <c r="AE1267" s="643" t="n"/>
      <c r="AI1267" s="643" t="n"/>
      <c r="AM1267" s="643" t="n"/>
      <c r="AQ1267" s="643" t="n"/>
      <c r="AU1267" s="643" t="n"/>
      <c r="AY1267" s="643" t="n"/>
      <c r="BC1267" s="643" t="n"/>
      <c r="BG1267" s="643" t="n"/>
    </row>
    <row r="1268" s="1168" customFormat="1" ht="12.75" customHeight="1">
      <c r="F1268" s="643" t="n"/>
      <c r="K1268" s="643" t="n"/>
      <c r="O1268" s="643" t="n"/>
      <c r="S1268" s="643" t="n"/>
      <c r="W1268" s="643" t="n"/>
      <c r="AA1268" s="643" t="n"/>
      <c r="AE1268" s="643" t="n"/>
      <c r="AI1268" s="643" t="n"/>
      <c r="AM1268" s="643" t="n"/>
      <c r="AQ1268" s="643" t="n"/>
      <c r="AU1268" s="643" t="n"/>
      <c r="AY1268" s="643" t="n"/>
      <c r="BC1268" s="643" t="n"/>
      <c r="BG1268" s="643" t="n"/>
    </row>
    <row r="1269" s="1168" customFormat="1" ht="12.75" customHeight="1">
      <c r="F1269" s="643" t="n"/>
      <c r="K1269" s="643" t="n"/>
      <c r="O1269" s="643" t="n"/>
      <c r="S1269" s="643" t="n"/>
      <c r="W1269" s="643" t="n"/>
      <c r="AA1269" s="643" t="n"/>
      <c r="AE1269" s="643" t="n"/>
      <c r="AI1269" s="643" t="n"/>
      <c r="AM1269" s="643" t="n"/>
      <c r="AQ1269" s="643" t="n"/>
      <c r="AU1269" s="643" t="n"/>
      <c r="AY1269" s="643" t="n"/>
      <c r="BC1269" s="643" t="n"/>
      <c r="BG1269" s="643" t="n"/>
    </row>
    <row r="1270" s="1168" customFormat="1" ht="12.75" customHeight="1">
      <c r="F1270" s="643" t="n"/>
      <c r="K1270" s="643" t="n"/>
      <c r="O1270" s="643" t="n"/>
      <c r="S1270" s="643" t="n"/>
      <c r="W1270" s="643" t="n"/>
      <c r="AA1270" s="643" t="n"/>
      <c r="AE1270" s="643" t="n"/>
      <c r="AI1270" s="643" t="n"/>
      <c r="AM1270" s="643" t="n"/>
      <c r="AQ1270" s="643" t="n"/>
      <c r="AU1270" s="643" t="n"/>
      <c r="AY1270" s="643" t="n"/>
      <c r="BC1270" s="643" t="n"/>
      <c r="BG1270" s="643" t="n"/>
    </row>
    <row r="1271" s="1168" customFormat="1" ht="12.75" customHeight="1">
      <c r="F1271" s="643" t="n"/>
      <c r="K1271" s="643" t="n"/>
      <c r="O1271" s="643" t="n"/>
      <c r="S1271" s="643" t="n"/>
      <c r="W1271" s="643" t="n"/>
      <c r="AA1271" s="643" t="n"/>
      <c r="AE1271" s="643" t="n"/>
      <c r="AI1271" s="643" t="n"/>
      <c r="AM1271" s="643" t="n"/>
      <c r="AQ1271" s="643" t="n"/>
      <c r="AU1271" s="643" t="n"/>
      <c r="AY1271" s="643" t="n"/>
      <c r="BC1271" s="643" t="n"/>
      <c r="BG1271" s="643" t="n"/>
    </row>
    <row r="1272" s="1168" customFormat="1" ht="12.75" customHeight="1">
      <c r="F1272" s="643" t="n"/>
      <c r="K1272" s="643" t="n"/>
      <c r="O1272" s="643" t="n"/>
      <c r="S1272" s="643" t="n"/>
      <c r="W1272" s="643" t="n"/>
      <c r="AA1272" s="643" t="n"/>
      <c r="AE1272" s="643" t="n"/>
      <c r="AI1272" s="643" t="n"/>
      <c r="AM1272" s="643" t="n"/>
      <c r="AQ1272" s="643" t="n"/>
      <c r="AU1272" s="643" t="n"/>
      <c r="AY1272" s="643" t="n"/>
      <c r="BC1272" s="643" t="n"/>
      <c r="BG1272" s="643" t="n"/>
    </row>
    <row r="1273" s="1168" customFormat="1" ht="12.75" customHeight="1">
      <c r="F1273" s="643" t="n"/>
      <c r="K1273" s="643" t="n"/>
      <c r="O1273" s="643" t="n"/>
      <c r="S1273" s="643" t="n"/>
      <c r="W1273" s="643" t="n"/>
      <c r="AA1273" s="643" t="n"/>
      <c r="AE1273" s="643" t="n"/>
      <c r="AI1273" s="643" t="n"/>
      <c r="AM1273" s="643" t="n"/>
      <c r="AQ1273" s="643" t="n"/>
      <c r="AU1273" s="643" t="n"/>
      <c r="AY1273" s="643" t="n"/>
      <c r="BC1273" s="643" t="n"/>
      <c r="BG1273" s="643" t="n"/>
    </row>
    <row r="1274" s="1168" customFormat="1" ht="12.75" customHeight="1">
      <c r="F1274" s="643" t="n"/>
      <c r="K1274" s="643" t="n"/>
      <c r="O1274" s="643" t="n"/>
      <c r="S1274" s="643" t="n"/>
      <c r="W1274" s="643" t="n"/>
      <c r="AA1274" s="643" t="n"/>
      <c r="AE1274" s="643" t="n"/>
      <c r="AI1274" s="643" t="n"/>
      <c r="AM1274" s="643" t="n"/>
      <c r="AQ1274" s="643" t="n"/>
      <c r="AU1274" s="643" t="n"/>
      <c r="AY1274" s="643" t="n"/>
      <c r="BC1274" s="643" t="n"/>
      <c r="BG1274" s="643" t="n"/>
    </row>
    <row r="1275" s="1168" customFormat="1" ht="12.75" customHeight="1">
      <c r="F1275" s="643" t="n"/>
      <c r="K1275" s="643" t="n"/>
      <c r="O1275" s="643" t="n"/>
      <c r="S1275" s="643" t="n"/>
      <c r="W1275" s="643" t="n"/>
      <c r="AA1275" s="643" t="n"/>
      <c r="AE1275" s="643" t="n"/>
      <c r="AI1275" s="643" t="n"/>
      <c r="AM1275" s="643" t="n"/>
      <c r="AQ1275" s="643" t="n"/>
      <c r="AU1275" s="643" t="n"/>
      <c r="AY1275" s="643" t="n"/>
      <c r="BC1275" s="643" t="n"/>
      <c r="BG1275" s="643" t="n"/>
    </row>
    <row r="1276" s="1168" customFormat="1" ht="12.75" customHeight="1">
      <c r="F1276" s="643" t="n"/>
      <c r="K1276" s="643" t="n"/>
      <c r="O1276" s="643" t="n"/>
      <c r="S1276" s="643" t="n"/>
      <c r="W1276" s="643" t="n"/>
      <c r="AA1276" s="643" t="n"/>
      <c r="AE1276" s="643" t="n"/>
      <c r="AI1276" s="643" t="n"/>
      <c r="AM1276" s="643" t="n"/>
      <c r="AQ1276" s="643" t="n"/>
      <c r="AU1276" s="643" t="n"/>
      <c r="AY1276" s="643" t="n"/>
      <c r="BC1276" s="643" t="n"/>
      <c r="BG1276" s="643" t="n"/>
    </row>
  </sheetData>
  <mergeCells>
    <mergeCell ref="AV17:AX17"/>
    <mergeCell ref="AF16:AH16"/>
    <mergeCell ref="H46:J46"/>
    <mergeCell ref="BD17:BF17"/>
    <mergeCell ref="C270:E270"/>
    <mergeCell ref="AN16:AP16"/>
    <mergeCell ref="P46:R46"/>
    <mergeCell ref="AB46:AD46"/>
    <mergeCell ref="T83:V83"/>
    <mergeCell ref="L83:N83"/>
    <mergeCell ref="X83:Z83"/>
    <mergeCell ref="P17:R17"/>
    <mergeCell ref="H17:J17"/>
    <mergeCell ref="AF83:AH83"/>
    <mergeCell ref="AR16:AT16"/>
    <mergeCell ref="P16:R16"/>
    <mergeCell ref="H16:J16"/>
    <mergeCell ref="AZ16:BB16"/>
    <mergeCell ref="AR83:AT83"/>
    <mergeCell ref="AN46:AP46"/>
    <mergeCell ref="L10:N10"/>
    <mergeCell ref="M11:N11"/>
    <mergeCell ref="BD16:BF16"/>
    <mergeCell ref="AZ46:BB46"/>
    <mergeCell ref="AJ83:AL83"/>
    <mergeCell ref="AB17:AD17"/>
    <mergeCell ref="T17:V17"/>
    <mergeCell ref="AF17:AH17"/>
    <mergeCell ref="AV83:AX83"/>
    <mergeCell ref="AN17:AP17"/>
    <mergeCell ref="T16:V16"/>
    <mergeCell ref="BD83:BF83"/>
    <mergeCell ref="AR17:AT17"/>
    <mergeCell ref="AZ17:BB17"/>
    <mergeCell ref="T46:V46"/>
    <mergeCell ref="G10:G19"/>
    <mergeCell ref="AJ16:AL16"/>
    <mergeCell ref="L46:N46"/>
    <mergeCell ref="X46:Z46"/>
    <mergeCell ref="M12:N12"/>
    <mergeCell ref="AF46:AH46"/>
    <mergeCell ref="D52:D54"/>
    <mergeCell ref="P83:R83"/>
    <mergeCell ref="AB83:AD83"/>
    <mergeCell ref="L17:N17"/>
    <mergeCell ref="AV16:AX16"/>
    <mergeCell ref="AJ46:AL46"/>
    <mergeCell ref="L16:N16"/>
    <mergeCell ref="H10:J10"/>
    <mergeCell ref="AR46:AT46"/>
    <mergeCell ref="AV46:AX46"/>
    <mergeCell ref="X17:Z17"/>
    <mergeCell ref="BD46:BF46"/>
    <mergeCell ref="AN83:AP83"/>
    <mergeCell ref="AJ17:AL17"/>
    <mergeCell ref="AZ83:BB83"/>
    <mergeCell ref="H83:J83"/>
    <mergeCell ref="AB16:AD16"/>
    <mergeCell ref="X16:Z16"/>
  </mergeCells>
  <conditionalFormatting sqref="L24:L24 L25:L25 L26:L26 L42:L42 P24:P24 P25:P25 P26:P26 T24:T24 T25:T25 T26:T26 X24:X24 X25:X25 X26:X26 AB24:AB24 AB25:AB25 AB26:AB26 AF24:AF24 AF25:AF25 AF26:AF26 AJ24:AJ24 AJ25:AJ25 AJ26:AJ26 AN24:AN24 AN25:AN25 AN26:AN26 AR24:AR24 AR25:AR25 AR26:AR26 AV24:AV24 AV25:AV25 AV26:AV26 AZ24:AZ24 AZ25:AZ25 AZ26:AZ26">
    <cfRule type="cellIs" dxfId="0" priority="1" stopIfTrue="1" operator="lessThan">
      <formula>0</formula>
    </cfRule>
  </conditionalFormatting>
  <pageMargins left="0.7" right="0.7" top="0.75" bottom="0.75" header="0.3" footer="0.3"/>
  <drawing r:id="R79fbdbb9da1c4a3a"/>
</worksheet>
</file>

<file path=xl/worksheets/sheet8.xml><?xml version="1.0" encoding="utf-8"?>
<worksheet xmlns="http://schemas.openxmlformats.org/spreadsheetml/2006/main">
  <sheetViews>
    <sheetView showGridLines="0" workbookViewId="0"/>
  </sheetViews>
  <sheetFormatPr baseColWidth="8" defaultColWidth="8.333330154418945" defaultRowHeight="13.5"/>
  <cols>
    <col min="1" max="1" width="21.351600646972656" style="3136" customWidth="1"/>
    <col min="2" max="2" width="4.351560115814209" style="3136" customWidth="1"/>
    <col min="3" max="12" width="13" style="3136" customWidth="1"/>
    <col min="13" max="13" width="9.85155963897705" style="3136" customWidth="1"/>
    <col min="14" max="14" width="2.351560115814209" style="3136" customWidth="1"/>
    <col min="15" max="15" width="14.35159969329834" style="3136" customWidth="1"/>
    <col min="16" max="24" width="8.35155963897705" style="3136" customWidth="1"/>
    <col min="25" max="16384" width="8.35155963897705" style="3136" customWidth="1"/>
  </cols>
  <sheetData>
    <row r="1" s="3154" customFormat="1" ht="19.5" customHeight="1">
      <c r="A1" s="1655" t="inlineStr">
        <is>
          <t xml:space="preserve">STABILIZED OPERATING PRO FORMA</t>
        </is>
      </c>
      <c r="B1" s="1656" t="n"/>
      <c r="C1" s="1657" t="n"/>
      <c r="D1" s="1657" t="n"/>
      <c r="E1" s="1657" t="n"/>
      <c r="F1" s="538" t="n"/>
      <c r="G1" s="1658" t="n"/>
      <c r="H1" s="1658" t="n"/>
      <c r="I1" s="1658" t="n"/>
      <c r="J1" s="1658" t="n"/>
      <c r="K1" s="1658" t="n"/>
      <c r="L1" s="1659" t="inlineStr">
        <is>
          <t xml:space="preserve">MODEL REVISED: Mar 25, 2025</t>
        </is>
      </c>
      <c r="M1" s="11" t="n"/>
      <c r="N1" s="11" t="n"/>
      <c r="O1" s="1660" t="inlineStr">
        <is>
          <t xml:space="preserve">&gt;&gt;&gt;&gt;&gt;&gt;&gt;&gt;&gt;&gt;&gt;&gt;&gt;&gt;&gt;&gt;&gt;OUT OF PRINT AREA--&gt;</t>
        </is>
      </c>
      <c r="P1" s="11" t="n"/>
      <c r="Q1" s="11" t="n"/>
      <c r="R1" s="11" t="n"/>
      <c r="S1" s="11" t="n"/>
      <c r="T1" s="11" t="n"/>
      <c r="U1" s="11" t="n"/>
      <c r="V1" s="11" t="n"/>
      <c r="W1" s="11" t="n"/>
      <c r="X1" s="13" t="n"/>
    </row>
    <row r="2" s="3154" customFormat="1" ht="17.25" customHeight="1">
      <c r="A2" s="157" t="str">
        <f t="array" ref="A2">'Assumptions'!$D$6&amp;" / "&amp;'Assumptions'!$D$7&amp;" / "&amp;'Assumptions'!$D$9</f>
        <v>INDEPENDENT (No Flag) / SLEEP SPACE — 100-KEY PREFAB (50 EP + 50 E) / Austin, TX</v>
      </c>
      <c r="B2" s="1661" t="n"/>
      <c r="C2" s="1662" t="n"/>
      <c r="D2" s="1662" t="n"/>
      <c r="E2" s="1662" t="n"/>
      <c r="F2" s="1662" t="n"/>
      <c r="G2" s="1663" t="n"/>
      <c r="H2" s="1663" t="n"/>
      <c r="I2" s="1663" t="n"/>
      <c r="J2" s="1663" t="n"/>
      <c r="K2" s="1663" t="n"/>
      <c r="L2" s="1663" t="n"/>
      <c r="M2" s="26" t="n"/>
      <c r="N2" s="26" t="n"/>
      <c r="O2" s="26" t="n"/>
      <c r="P2" s="26" t="n"/>
      <c r="Q2" s="26" t="n"/>
      <c r="R2" s="26" t="n"/>
      <c r="S2" s="26" t="n"/>
      <c r="T2" s="26" t="n"/>
      <c r="U2" s="26" t="n"/>
      <c r="V2" s="26" t="n"/>
      <c r="W2" s="26" t="n"/>
      <c r="X2" s="27" t="n"/>
    </row>
    <row r="3" s="3154" customFormat="1" ht="13.5" customHeight="1">
      <c r="A3" s="580" t="str">
        <f t="array" ref="A3">'Assumptions'!$A$3</f>
        <v>Version Notes: Added 1st round of GPM Costs from Pinkerton and Laws. We anticipate further cost savings. </v>
      </c>
      <c r="B3" s="18" t="n"/>
      <c r="C3" s="18" t="n"/>
      <c r="D3" s="18" t="n"/>
      <c r="E3" s="18" t="n"/>
      <c r="F3" s="18" t="n"/>
      <c r="G3" s="1664" t="n"/>
      <c r="H3" s="1664" t="n"/>
      <c r="I3" s="1664" t="n"/>
      <c r="J3" s="1664" t="n"/>
      <c r="K3" s="1664" t="n"/>
      <c r="L3" s="1664" t="n"/>
      <c r="M3" s="26" t="n"/>
      <c r="N3" s="26" t="n"/>
      <c r="O3" s="26" t="n"/>
      <c r="P3" s="26" t="n"/>
      <c r="Q3" s="26" t="n"/>
      <c r="R3" s="26" t="n"/>
      <c r="S3" s="26" t="n"/>
      <c r="T3" s="26" t="n"/>
      <c r="U3" s="26" t="n"/>
      <c r="V3" s="26" t="n"/>
      <c r="W3" s="26" t="n"/>
      <c r="X3" s="27" t="n"/>
    </row>
    <row r="4" s="3154" customFormat="1" ht="13.5" customHeight="1">
      <c r="A4" s="549" t="n"/>
      <c r="B4" s="18" t="n"/>
      <c r="C4" s="3790" t="n"/>
      <c r="D4" s="3790" t="n"/>
      <c r="E4" s="3790" t="n"/>
      <c r="F4" s="3790" t="n"/>
      <c r="G4" s="3790" t="n"/>
      <c r="H4" s="3790" t="n"/>
      <c r="I4" s="3790" t="n"/>
      <c r="J4" s="3790" t="n"/>
      <c r="K4" s="3790" t="n"/>
      <c r="L4" s="3790" t="n"/>
      <c r="M4" s="26" t="n"/>
      <c r="N4" s="26" t="n"/>
      <c r="O4" s="26" t="n"/>
      <c r="P4" s="26" t="n"/>
      <c r="Q4" s="26" t="n"/>
      <c r="R4" s="26" t="n"/>
      <c r="S4" s="26" t="n"/>
      <c r="T4" s="26" t="n"/>
      <c r="U4" s="26" t="n"/>
      <c r="V4" s="26" t="n"/>
      <c r="W4" s="26" t="n"/>
      <c r="X4" s="27" t="n"/>
    </row>
    <row r="5" s="3154" customFormat="1" ht="13.5" customHeight="1">
      <c r="A5" s="604" t="n"/>
      <c r="B5" s="554" t="n"/>
      <c r="C5" s="3353" t="n">
        <v>1</v>
      </c>
      <c r="D5" s="3353" t="n">
        <f t="array" ref="D5">C5+1</f>
        <v>2</v>
      </c>
      <c r="E5" s="3353" t="n">
        <f t="array" ref="E5">D5+1</f>
        <v>3</v>
      </c>
      <c r="F5" s="3353" t="n">
        <f t="array" ref="F5">E5+1</f>
        <v>4</v>
      </c>
      <c r="G5" s="3353" t="n">
        <f t="array" ref="G5">F5+1</f>
        <v>5</v>
      </c>
      <c r="H5" s="3353" t="n">
        <f t="array" ref="H5">G5+1</f>
        <v>6</v>
      </c>
      <c r="I5" s="3353" t="n">
        <f t="array" ref="I5">H5+1</f>
        <v>7</v>
      </c>
      <c r="J5" s="3353" t="n">
        <f t="array" ref="J5">I5+1</f>
        <v>8</v>
      </c>
      <c r="K5" s="3353" t="n">
        <f t="array" ref="K5">J5+1</f>
        <v>9</v>
      </c>
      <c r="L5" s="3353" t="n">
        <f t="array" ref="L5">K5+1</f>
        <v>10</v>
      </c>
      <c r="M5" s="26" t="n"/>
      <c r="N5" s="26" t="n"/>
      <c r="O5" s="26" t="n"/>
      <c r="P5" s="1666" t="n"/>
      <c r="Q5" s="1666" t="n"/>
      <c r="R5" s="26" t="n"/>
      <c r="S5" s="26" t="n"/>
      <c r="T5" s="1666" t="n"/>
      <c r="U5" s="1666" t="n"/>
      <c r="V5" s="1666" t="n"/>
      <c r="W5" s="1666" t="n"/>
      <c r="X5" s="1667" t="n"/>
    </row>
    <row r="6" s="3154" customFormat="1" ht="13.5" customHeight="1">
      <c r="A6" s="602" t="inlineStr">
        <is>
          <t xml:space="preserve">ROOM REVENUE DETAILS</t>
        </is>
      </c>
      <c r="B6" s="554" t="n"/>
      <c r="C6" s="556" t="e">
        <f t="array" ref="C6">(YEAR('S&amp;U-Timeline'!$D$27))</f>
      </c>
      <c r="D6" s="556" t="e">
        <f t="array" ref="D6">C6+1</f>
      </c>
      <c r="E6" s="556" t="e">
        <f t="array" ref="E6">D6+1</f>
      </c>
      <c r="F6" s="556" t="e">
        <f t="array" ref="F6">E6+1</f>
      </c>
      <c r="G6" s="556" t="e">
        <f t="array" ref="G6">F6+1</f>
      </c>
      <c r="H6" s="556" t="e">
        <f t="array" ref="H6">G6+1</f>
      </c>
      <c r="I6" s="556" t="e">
        <f t="array" ref="I6">H6+1</f>
      </c>
      <c r="J6" s="556" t="e">
        <f t="array" ref="J6">I6+1</f>
      </c>
      <c r="K6" s="556" t="e">
        <f t="array" ref="K6">J6+1</f>
      </c>
      <c r="L6" s="556" t="e">
        <f t="array" ref="L6">K6+1</f>
      </c>
      <c r="M6" s="26" t="n"/>
      <c r="N6" s="26" t="n"/>
      <c r="O6" s="1666" t="n"/>
      <c r="P6" s="1666" t="n"/>
      <c r="Q6" s="1666" t="n"/>
      <c r="R6" s="26" t="n"/>
      <c r="S6" s="26" t="n"/>
      <c r="T6" s="1666" t="n"/>
      <c r="U6" s="1666" t="n"/>
      <c r="V6" s="1666" t="n"/>
      <c r="W6" s="1666" t="n"/>
      <c r="X6" s="1667" t="n"/>
    </row>
    <row r="7" s="3154" customFormat="1" ht="13.5" hidden="1" customHeight="1">
      <c r="A7" s="557" t="inlineStr">
        <is>
          <t xml:space="preserve">Days in Year (hide)</t>
        </is>
      </c>
      <c r="B7" s="18" t="n"/>
      <c r="C7" s="3791" t="e">
        <f t="array" ref="C7">VLOOKUP(C6,$R$10:$S$30,2,0)</f>
      </c>
      <c r="D7" s="3791" t="e">
        <f t="array" ref="D7">VLOOKUP(D6,$R$10:$S$30,2,0)</f>
      </c>
      <c r="E7" s="3791" t="e">
        <f t="array" ref="E7">VLOOKUP(E6,$R$10:$S$30,2,0)</f>
      </c>
      <c r="F7" s="3791" t="e">
        <f t="array" ref="F7">VLOOKUP(F6,$R$10:$S$30,2,0)</f>
      </c>
      <c r="G7" s="3791" t="e">
        <f t="array" ref="G7">VLOOKUP(G6,$R$10:$S$30,2,0)</f>
      </c>
      <c r="H7" s="3791" t="e">
        <f t="array" ref="H7">VLOOKUP(H6,$R$10:$S$30,2,0)</f>
      </c>
      <c r="I7" s="3791" t="e">
        <f t="array" ref="I7">VLOOKUP(I6,$R$10:$S$30,2,0)</f>
      </c>
      <c r="J7" s="3791" t="e">
        <f t="array" ref="J7">VLOOKUP(J6,$R$10:$S$30,2,0)</f>
      </c>
      <c r="K7" s="3791" t="e">
        <f t="array" ref="K7">VLOOKUP(K6,$R$10:$S$30,2,0)</f>
      </c>
      <c r="L7" s="3791" t="e">
        <f t="array" ref="L7">VLOOKUP(L6,$R$10:$S$30,2,0)</f>
      </c>
      <c r="M7" s="26" t="n"/>
      <c r="N7" s="26" t="n"/>
      <c r="O7" s="1666" t="n"/>
      <c r="P7" s="1666" t="n"/>
      <c r="Q7" s="1666" t="n"/>
      <c r="R7" s="26" t="n"/>
      <c r="S7" s="26" t="n"/>
      <c r="T7" s="1666" t="n"/>
      <c r="U7" s="1666" t="n"/>
      <c r="V7" s="1666" t="n"/>
      <c r="W7" s="1666" t="n"/>
      <c r="X7" s="1667" t="n"/>
    </row>
    <row r="8" s="3154" customFormat="1" ht="13.5" hidden="1" customHeight="1">
      <c r="A8" s="557" t="inlineStr">
        <is>
          <t xml:space="preserve">Guest Rooms (hide)</t>
        </is>
      </c>
      <c r="B8" s="18" t="n"/>
      <c r="C8" s="3792" t="n">
        <f t="array" ref="C8">'Project Summary'!I7</f>
        <v>100</v>
      </c>
      <c r="D8" s="3792" t="n">
        <f t="array" ref="D8">C8</f>
        <v>100</v>
      </c>
      <c r="E8" s="3792" t="n">
        <f t="array" ref="E8">C8</f>
        <v>100</v>
      </c>
      <c r="F8" s="3792" t="n">
        <f t="array" ref="F8">C8</f>
        <v>100</v>
      </c>
      <c r="G8" s="3792" t="n">
        <f t="array" ref="G8">C8</f>
        <v>100</v>
      </c>
      <c r="H8" s="3792" t="n">
        <f t="array" ref="H8">D8</f>
        <v>100</v>
      </c>
      <c r="I8" s="3792" t="n">
        <f t="array" ref="I8">H8</f>
        <v>100</v>
      </c>
      <c r="J8" s="3792" t="n">
        <f t="array" ref="J8">I8</f>
        <v>100</v>
      </c>
      <c r="K8" s="3792" t="n">
        <f t="array" ref="K8">J8</f>
        <v>100</v>
      </c>
      <c r="L8" s="3792" t="n">
        <f t="array" ref="L8">K8</f>
        <v>100</v>
      </c>
      <c r="M8" s="26" t="n"/>
      <c r="N8" s="26" t="n"/>
      <c r="O8" s="1666" t="n"/>
      <c r="P8" s="1666" t="n"/>
      <c r="Q8" s="1666" t="n"/>
      <c r="R8" s="26" t="n"/>
      <c r="S8" s="26" t="n"/>
      <c r="T8" s="1666" t="n"/>
      <c r="U8" s="1666" t="n"/>
      <c r="V8" s="1666" t="n"/>
      <c r="W8" s="1666" t="n"/>
      <c r="X8" s="1667" t="n"/>
    </row>
    <row r="9" s="3154" customFormat="1" ht="13.5" customHeight="1">
      <c r="A9" s="571" t="inlineStr">
        <is>
          <t xml:space="preserve">Available Rooms</t>
        </is>
      </c>
      <c r="B9" s="617" t="n"/>
      <c r="C9" s="3358" t="e">
        <f t="array" ref="C9">C8*C7</f>
      </c>
      <c r="D9" s="3358" t="e">
        <f t="array" ref="D9">D8*D7</f>
      </c>
      <c r="E9" s="3358" t="e">
        <f t="array" ref="E9">E8*E7</f>
      </c>
      <c r="F9" s="3358" t="e">
        <f t="array" ref="F9">F8*F7</f>
      </c>
      <c r="G9" s="3358" t="e">
        <f t="array" ref="G9">G8*G7</f>
      </c>
      <c r="H9" s="3358" t="e">
        <f t="array" ref="H9">H8*H7</f>
      </c>
      <c r="I9" s="3358" t="e">
        <f t="array" ref="I9">I8*I7</f>
      </c>
      <c r="J9" s="3358" t="e">
        <f t="array" ref="J9">J8*J7</f>
      </c>
      <c r="K9" s="3358" t="e">
        <f t="array" ref="K9">K8*K7</f>
      </c>
      <c r="L9" s="3358" t="e">
        <f t="array" ref="L9">L8*L7</f>
      </c>
      <c r="M9" s="26" t="n"/>
      <c r="N9" s="26" t="n"/>
      <c r="O9" s="1666" t="n"/>
      <c r="P9" s="1666" t="n"/>
      <c r="Q9" s="1666" t="n"/>
      <c r="R9" s="1670" t="inlineStr">
        <is>
          <t xml:space="preserve">LEAP YEAR TABLE</t>
        </is>
      </c>
      <c r="S9" s="1671" t="n"/>
      <c r="T9" s="1666" t="n"/>
      <c r="U9" s="1666" t="n"/>
      <c r="V9" s="1666" t="n"/>
      <c r="W9" s="1666" t="n"/>
      <c r="X9" s="1667" t="n"/>
    </row>
    <row r="10" s="3154" customFormat="1" ht="13.5" customHeight="1">
      <c r="A10" s="571" t="inlineStr">
        <is>
          <t xml:space="preserve">Occupied Rooms</t>
        </is>
      </c>
      <c r="B10" s="617" t="n"/>
      <c r="C10" s="3358" t="e">
        <f t="array" ref="C10">C7*C8*C11</f>
      </c>
      <c r="D10" s="3358" t="e">
        <f t="array" ref="D10">D8*D7*D11</f>
      </c>
      <c r="E10" s="3358" t="e">
        <f t="array" ref="E10">E8*E7*E11</f>
      </c>
      <c r="F10" s="3358" t="e">
        <f t="array" ref="F10">F8*F7*F11</f>
      </c>
      <c r="G10" s="3358" t="e">
        <f t="array" ref="G10">G8*G7*G11</f>
      </c>
      <c r="H10" s="3358" t="e">
        <f t="array" ref="H10">H8*H7*H11</f>
      </c>
      <c r="I10" s="3358" t="e">
        <f t="array" ref="I10">I8*I7*I11</f>
      </c>
      <c r="J10" s="3358" t="e">
        <f t="array" ref="J10">J8*J7*J11</f>
      </c>
      <c r="K10" s="3358" t="e">
        <f t="array" ref="K10">K8*K7*K11</f>
      </c>
      <c r="L10" s="3358" t="e">
        <f t="array" ref="L10">L8*L7*L11</f>
      </c>
      <c r="M10" s="26" t="n"/>
      <c r="N10" s="26" t="n"/>
      <c r="O10" s="1666" t="n"/>
      <c r="P10" s="1666" t="n"/>
      <c r="Q10" s="1666" t="n"/>
      <c r="R10" s="1672" t="e">
        <f t="array" ref="R10">C6</f>
      </c>
      <c r="S10" s="1672" t="e">
        <f t="array" ref="S10">IF(OR(MOD(R10,400)=0,AND(MOD(R10,4)=0,MOD(R10,100)&lt;&gt;0)),366,365)</f>
      </c>
      <c r="T10" s="1666" t="n"/>
      <c r="U10" s="1666" t="n"/>
      <c r="V10" s="1666" t="n"/>
      <c r="W10" s="1666" t="n"/>
      <c r="X10" s="1667" t="n"/>
    </row>
    <row r="11" s="3154" customFormat="1" ht="13.5" customHeight="1">
      <c r="A11" s="571" t="inlineStr">
        <is>
          <t xml:space="preserve">Occupancy %</t>
        </is>
      </c>
      <c r="B11" s="617" t="n"/>
      <c r="C11" s="3361" t="n">
        <f t="array" ref="C11">'Assumptions'!F30</f>
        <v>0.55</v>
      </c>
      <c r="D11" s="3361" t="n">
        <f t="array" ref="D11">'Assumptions'!G30</f>
        <v>0.65</v>
      </c>
      <c r="E11" s="3361" t="n">
        <f t="array" ref="E11">'Assumptions'!H30</f>
        <v>0.72</v>
      </c>
      <c r="F11" s="3361" t="n">
        <f t="array" ref="F11">'Assumptions'!I30</f>
        <v>0.72</v>
      </c>
      <c r="G11" s="3361" t="n">
        <f t="array" ref="G11">'Assumptions'!J30</f>
        <v>0.72</v>
      </c>
      <c r="H11" s="3361" t="n">
        <f t="array" ref="H11">'Assumptions'!K30</f>
        <v>0.72</v>
      </c>
      <c r="I11" s="3361" t="n">
        <f t="array" ref="I11">'Assumptions'!L30</f>
        <v>0.72</v>
      </c>
      <c r="J11" s="3361" t="n">
        <f t="array" ref="J11">'Assumptions'!M30</f>
        <v>0.72</v>
      </c>
      <c r="K11" s="3361" t="n">
        <f t="array" ref="K11">'Assumptions'!N30</f>
        <v>0.72</v>
      </c>
      <c r="L11" s="3361" t="n">
        <f t="array" ref="L11">'Assumptions'!O30</f>
        <v>0.72</v>
      </c>
      <c r="M11" s="26" t="n"/>
      <c r="N11" s="26" t="n"/>
      <c r="O11" s="1666" t="n"/>
      <c r="P11" s="1666" t="n"/>
      <c r="Q11" s="1666" t="n"/>
      <c r="R11" s="1672" t="e">
        <f t="array" ref="R11">R10+1</f>
      </c>
      <c r="S11" s="1672" t="e">
        <f t="array" ref="S11">IF(OR(MOD(R11,400)=0,AND(MOD(R11,4)=0,MOD(R11,100)&lt;&gt;0)),366,365)</f>
      </c>
      <c r="T11" s="1666" t="n"/>
      <c r="U11" s="1666" t="n"/>
      <c r="V11" s="1666" t="n"/>
      <c r="W11" s="1666" t="n"/>
      <c r="X11" s="1667" t="n"/>
    </row>
    <row r="12" s="3154" customFormat="1" ht="13.5" customHeight="1">
      <c r="A12" s="571" t="inlineStr">
        <is>
          <t xml:space="preserve">ADR</t>
        </is>
      </c>
      <c r="B12" s="617" t="n"/>
      <c r="C12" s="3793" t="n">
        <f t="array" ref="C12">'Assumptions'!F32</f>
        <v>74</v>
      </c>
      <c r="D12" s="3793" t="n">
        <f t="array" ref="D12">'Assumptions'!G32</f>
        <v>77.7</v>
      </c>
      <c r="E12" s="3793" t="n">
        <f t="array" ref="E12">'Assumptions'!H32</f>
        <v>80.808</v>
      </c>
      <c r="F12" s="3793" t="n">
        <f t="array" ref="F12">'Assumptions'!I32</f>
        <v>83.23224</v>
      </c>
      <c r="G12" s="3793" t="n">
        <f t="array" ref="G12">'Assumptions'!J32</f>
        <v>85.7292072</v>
      </c>
      <c r="H12" s="3793" t="n">
        <f t="array" ref="H12">'Assumptions'!K32</f>
        <v>88.30108341600001</v>
      </c>
      <c r="I12" s="3793" t="n">
        <f t="array" ref="I12">'Assumptions'!L32</f>
        <v>90.95011591848001</v>
      </c>
      <c r="J12" s="3793" t="n">
        <f t="array" ref="J12">'Assumptions'!M32</f>
        <v>93.6786193960344</v>
      </c>
      <c r="K12" s="3793" t="n">
        <f t="array" ref="K12">'Assumptions'!N32</f>
        <v>96.48897797791544</v>
      </c>
      <c r="L12" s="3793" t="n">
        <f t="array" ref="L12">'Assumptions'!O32</f>
        <v>99.38364731725291</v>
      </c>
      <c r="M12" s="26" t="n"/>
      <c r="N12" s="26" t="n"/>
      <c r="O12" s="1666" t="n"/>
      <c r="P12" s="1666" t="n"/>
      <c r="Q12" s="1666" t="n"/>
      <c r="R12" s="1672" t="e">
        <f t="array" ref="R12">R11+1</f>
      </c>
      <c r="S12" s="1672" t="e">
        <f t="array" ref="S12">IF(OR(MOD(R12,400)=0,AND(MOD(R12,4)=0,MOD(R12,100)&lt;&gt;0)),366,365)</f>
      </c>
      <c r="T12" s="1666" t="n"/>
      <c r="U12" s="1666" t="n"/>
      <c r="V12" s="1666" t="n"/>
      <c r="W12" s="1666" t="n"/>
      <c r="X12" s="1667" t="n"/>
    </row>
    <row r="13" s="3154" customFormat="1" ht="13.5" customHeight="1">
      <c r="A13" s="571" t="inlineStr">
        <is>
          <t xml:space="preserve">RevPAR</t>
        </is>
      </c>
      <c r="B13" s="617" t="n"/>
      <c r="C13" s="3793" t="n">
        <f t="array" ref="C13">C11*C12</f>
        <v>40.7</v>
      </c>
      <c r="D13" s="3793" t="n">
        <f t="array" ref="D13">D11*D12</f>
        <v>50.505</v>
      </c>
      <c r="E13" s="3793" t="n">
        <f t="array" ref="E13">E11*E12</f>
        <v>58.181760000000004</v>
      </c>
      <c r="F13" s="3793" t="n">
        <f t="array" ref="F13">F11*F12</f>
        <v>59.9272128</v>
      </c>
      <c r="G13" s="3793" t="n">
        <f t="array" ref="G13">G11*G12</f>
        <v>61.725029184</v>
      </c>
      <c r="H13" s="3793" t="n">
        <f t="array" ref="H13">H11*H12</f>
        <v>63.576780059520004</v>
      </c>
      <c r="I13" s="3793" t="n">
        <f t="array" ref="I13">I11*I12</f>
        <v>65.4840834613056</v>
      </c>
      <c r="J13" s="3793" t="n">
        <f t="array" ref="J13">J11*J12</f>
        <v>67.44860596514476</v>
      </c>
      <c r="K13" s="3793" t="n">
        <f t="array" ref="K13">K11*K12</f>
        <v>69.47206414409911</v>
      </c>
      <c r="L13" s="3793" t="n">
        <f t="array" ref="L13">L11*L12</f>
        <v>71.55622606842209</v>
      </c>
      <c r="M13" s="26" t="n"/>
      <c r="N13" s="26" t="n"/>
      <c r="O13" s="1666" t="n"/>
      <c r="P13" s="1674" t="n"/>
      <c r="Q13" s="1666" t="n"/>
      <c r="R13" s="1672" t="e">
        <f t="array" ref="R13">R12+1</f>
      </c>
      <c r="S13" s="1672" t="e">
        <f t="array" ref="S13">IF(OR(MOD(R13,400)=0,AND(MOD(R13,4)=0,MOD(R13,100)&lt;&gt;0)),366,365)</f>
      </c>
      <c r="T13" s="1666" t="n"/>
      <c r="U13" s="1666" t="n"/>
      <c r="V13" s="1666" t="n"/>
      <c r="W13" s="1666" t="n"/>
      <c r="X13" s="1667" t="n"/>
    </row>
    <row r="14" s="3154" customFormat="1" ht="13.5" customHeight="1">
      <c r="A14" s="571" t="inlineStr">
        <is>
          <t xml:space="preserve">RevPAR Growth</t>
        </is>
      </c>
      <c r="B14" s="617" t="n"/>
      <c r="C14" s="3794" t="n">
        <v>0</v>
      </c>
      <c r="D14" s="3361" t="n">
        <f t="array" ref="D14">(D13-C13)/C13</f>
        <v>0.24090909090909088</v>
      </c>
      <c r="E14" s="3361" t="n">
        <f t="array" ref="E14">(E13-D13)/D13</f>
        <v>0.15200000000000002</v>
      </c>
      <c r="F14" s="3361" t="n">
        <f t="array" ref="F14">(F13-E13)/E13</f>
        <v>0.02999999999999992</v>
      </c>
      <c r="G14" s="3361" t="n">
        <f t="array" ref="G14">(G13-F13)/F13</f>
        <v>0.030000000000000013</v>
      </c>
      <c r="H14" s="3361" t="n">
        <f t="array" ref="H14">(H13-G13)/G13</f>
        <v>0.030000000000000065</v>
      </c>
      <c r="I14" s="3361" t="n">
        <f t="array" ref="I14">(I13-H13)/H13</f>
        <v>0.029999999999999957</v>
      </c>
      <c r="J14" s="3361" t="n">
        <f t="array" ref="J14">(J13-I13)/I13</f>
        <v>0.029999999999999923</v>
      </c>
      <c r="K14" s="3361" t="n">
        <f t="array" ref="K14">(K13-J13)/J13</f>
        <v>0.029999999999999995</v>
      </c>
      <c r="L14" s="3361" t="n">
        <f t="array" ref="L14">(L13-K13)/K13</f>
        <v>0.03000000000000016</v>
      </c>
      <c r="M14" s="26" t="n"/>
      <c r="N14" s="26" t="n"/>
      <c r="O14" s="1666" t="n"/>
      <c r="P14" s="1674" t="n"/>
      <c r="Q14" s="1666" t="n"/>
      <c r="R14" s="1672" t="e">
        <f t="array" ref="R14">R13+1</f>
      </c>
      <c r="S14" s="1672" t="e">
        <f t="array" ref="S14">IF(OR(MOD(R14,400)=0,AND(MOD(R14,4)=0,MOD(R14,100)&lt;&gt;0)),366,365)</f>
      </c>
      <c r="T14" s="1666" t="n"/>
      <c r="U14" s="1666" t="n"/>
      <c r="V14" s="1666" t="n"/>
      <c r="W14" s="1666" t="n"/>
      <c r="X14" s="1667" t="n"/>
    </row>
    <row r="15" s="3154" customFormat="1" ht="13.5" customHeight="1">
      <c r="A15" s="571" t="inlineStr">
        <is>
          <t xml:space="preserve">TRevPAR</t>
        </is>
      </c>
      <c r="B15" s="617" t="n"/>
      <c r="C15" s="3793" t="e">
        <f t="array" ref="C15">C25/C9</f>
      </c>
      <c r="D15" s="3793" t="e">
        <f t="array" ref="D15">D25/D9</f>
      </c>
      <c r="E15" s="3793" t="e">
        <f t="array" ref="E15">E25/E9</f>
      </c>
      <c r="F15" s="3793" t="e">
        <f t="array" ref="F15">F25/F9</f>
      </c>
      <c r="G15" s="3793" t="e">
        <f t="array" ref="G15">G25/G9</f>
      </c>
      <c r="H15" s="3793" t="e">
        <f t="array" ref="H15">H25/H9</f>
      </c>
      <c r="I15" s="3793" t="e">
        <f t="array" ref="I15">I25/I9</f>
      </c>
      <c r="J15" s="3793" t="e">
        <f t="array" ref="J15">J25/J9</f>
      </c>
      <c r="K15" s="3793" t="e">
        <f t="array" ref="K15">K25/K9</f>
      </c>
      <c r="L15" s="3793" t="e">
        <f t="array" ref="L15">L25/L9</f>
      </c>
      <c r="M15" s="26" t="n"/>
      <c r="N15" s="26" t="n"/>
      <c r="O15" s="1666" t="n"/>
      <c r="P15" s="1674" t="n"/>
      <c r="Q15" s="1666" t="n"/>
      <c r="R15" s="1672" t="e">
        <f t="array" ref="R15">R14+1</f>
      </c>
      <c r="S15" s="1672" t="e">
        <f t="array" ref="S15">IF(OR(MOD(R15,400)=0,AND(MOD(R15,4)=0,MOD(R15,100)&lt;&gt;0)),366,365)</f>
      </c>
      <c r="T15" s="1666" t="n"/>
      <c r="U15" s="1666" t="n"/>
      <c r="V15" s="1666" t="n"/>
      <c r="W15" s="1666" t="n"/>
      <c r="X15" s="1667" t="n"/>
    </row>
    <row r="16" s="3154" customFormat="1" ht="13.5" customHeight="1">
      <c r="A16" s="571" t="inlineStr">
        <is>
          <t xml:space="preserve">GOPPAR</t>
        </is>
      </c>
      <c r="B16" s="617" t="n"/>
      <c r="C16" s="3793" t="e">
        <f t="array" ref="C16">C50/C9</f>
      </c>
      <c r="D16" s="3793" t="e">
        <f t="array" ref="D16">D50/D9</f>
      </c>
      <c r="E16" s="3793" t="e">
        <f t="array" ref="E16">E50/E9</f>
      </c>
      <c r="F16" s="3793" t="e">
        <f t="array" ref="F16">F50/F9</f>
      </c>
      <c r="G16" s="3793" t="e">
        <f t="array" ref="G16">G50/G9</f>
      </c>
      <c r="H16" s="3793" t="e">
        <f t="array" ref="H16">H50/H9</f>
      </c>
      <c r="I16" s="3793" t="e">
        <f t="array" ref="I16">I50/I9</f>
      </c>
      <c r="J16" s="3793" t="e">
        <f t="array" ref="J16">J50/J9</f>
      </c>
      <c r="K16" s="3793" t="e">
        <f t="array" ref="K16">K50/K9</f>
      </c>
      <c r="L16" s="3793" t="e">
        <f t="array" ref="L16">L50/L9</f>
      </c>
      <c r="M16" s="26" t="n"/>
      <c r="N16" s="26" t="n"/>
      <c r="O16" s="1666" t="n"/>
      <c r="P16" s="1674" t="n"/>
      <c r="Q16" s="1666" t="n"/>
      <c r="R16" s="1672" t="e">
        <f t="array" ref="R16">R15+1</f>
      </c>
      <c r="S16" s="1672" t="e">
        <f t="array" ref="S16">IF(OR(MOD(R16,400)=0,AND(MOD(R16,4)=0,MOD(R16,100)&lt;&gt;0)),366,365)</f>
      </c>
      <c r="T16" s="1666" t="n"/>
      <c r="U16" s="1666" t="n"/>
      <c r="V16" s="1666" t="n"/>
      <c r="W16" s="1666" t="n"/>
      <c r="X16" s="1667" t="n"/>
    </row>
    <row r="17" s="3154" customFormat="1" ht="13.5" customHeight="1">
      <c r="A17" s="571" t="inlineStr">
        <is>
          <t xml:space="preserve">GOP Margin %</t>
        </is>
      </c>
      <c r="B17" s="617" t="n"/>
      <c r="C17" s="3361" t="e">
        <f t="array" ref="C17">C50/C25</f>
      </c>
      <c r="D17" s="3361" t="e">
        <f t="array" ref="D17">D50/D25</f>
      </c>
      <c r="E17" s="3361" t="e">
        <f t="array" ref="E17">E50/E25</f>
      </c>
      <c r="F17" s="3361" t="e">
        <f t="array" ref="F17">F50/F25</f>
      </c>
      <c r="G17" s="3361" t="e">
        <f t="array" ref="G17">G50/G25</f>
      </c>
      <c r="H17" s="3361" t="e">
        <f t="array" ref="H17">H50/H25</f>
      </c>
      <c r="I17" s="3361" t="e">
        <f t="array" ref="I17">I50/I25</f>
      </c>
      <c r="J17" s="3361" t="e">
        <f t="array" ref="J17">J50/J25</f>
      </c>
      <c r="K17" s="3361" t="e">
        <f t="array" ref="K17">K50/K25</f>
      </c>
      <c r="L17" s="3361" t="e">
        <f t="array" ref="L17">L50/L25</f>
      </c>
      <c r="M17" s="26" t="n"/>
      <c r="N17" s="26" t="n"/>
      <c r="O17" s="1666" t="n"/>
      <c r="P17" s="1674" t="n"/>
      <c r="Q17" s="1666" t="n"/>
      <c r="R17" s="1672" t="e">
        <f t="array" ref="R17">R16+1</f>
      </c>
      <c r="S17" s="1672" t="e">
        <f t="array" ref="S17">IF(OR(MOD(R17,400)=0,AND(MOD(R17,4)=0,MOD(R17,100)&lt;&gt;0)),366,365)</f>
      </c>
      <c r="T17" s="1666" t="n"/>
      <c r="U17" s="1666" t="n"/>
      <c r="V17" s="1666" t="n"/>
      <c r="W17" s="1666" t="n"/>
      <c r="X17" s="1667" t="n"/>
    </row>
    <row r="18" s="3154" customFormat="1" ht="13.5" customHeight="1">
      <c r="A18" s="1676" t="inlineStr">
        <is>
          <t xml:space="preserve">NOI Margin %</t>
        </is>
      </c>
      <c r="B18" s="598" t="n"/>
      <c r="C18" s="3361" t="e">
        <f t="array" ref="C18">C59/C25</f>
      </c>
      <c r="D18" s="3361" t="e">
        <f t="array" ref="D18">D59/D25</f>
      </c>
      <c r="E18" s="3361" t="e">
        <f t="array" ref="E18">E59/E25</f>
      </c>
      <c r="F18" s="3361" t="e">
        <f t="array" ref="F18">F59/F25</f>
      </c>
      <c r="G18" s="3361" t="e">
        <f t="array" ref="G18">G59/G25</f>
      </c>
      <c r="H18" s="3361" t="e">
        <f t="array" ref="H18">H59/H25</f>
      </c>
      <c r="I18" s="3361" t="e">
        <f t="array" ref="I18">I59/I25</f>
      </c>
      <c r="J18" s="3361" t="e">
        <f t="array" ref="J18">J59/J25</f>
      </c>
      <c r="K18" s="3361" t="e">
        <f t="array" ref="K18">K59/K25</f>
      </c>
      <c r="L18" s="3361" t="e">
        <f t="array" ref="L18">L59/L25</f>
      </c>
      <c r="M18" s="26" t="n"/>
      <c r="N18" s="26" t="n"/>
      <c r="O18" s="1677" t="n"/>
      <c r="P18" s="1674" t="n"/>
      <c r="Q18" s="1666" t="n"/>
      <c r="R18" s="1672" t="e">
        <f t="array" ref="R18">R17+1</f>
      </c>
      <c r="S18" s="1672" t="e">
        <f t="array" ref="S18">IF(OR(MOD(R18,400)=0,AND(MOD(R18,4)=0,MOD(R18,100)&lt;&gt;0)),366,365)</f>
      </c>
      <c r="T18" s="1666" t="n"/>
      <c r="U18" s="1666" t="n"/>
      <c r="V18" s="1666" t="n"/>
      <c r="W18" s="1666" t="n"/>
      <c r="X18" s="1667" t="n"/>
    </row>
    <row r="19" s="3154" customFormat="1" ht="8" customHeight="1">
      <c r="A19" s="627" t="n"/>
      <c r="B19" s="26" t="n"/>
      <c r="C19" s="424" t="n"/>
      <c r="D19" s="424" t="n"/>
      <c r="E19" s="424" t="n"/>
      <c r="F19" s="424" t="n"/>
      <c r="G19" s="424" t="n"/>
      <c r="H19" s="424" t="n"/>
      <c r="I19" s="424" t="n"/>
      <c r="J19" s="424" t="n"/>
      <c r="K19" s="424" t="n"/>
      <c r="L19" s="424" t="n"/>
      <c r="M19" s="26" t="n"/>
      <c r="N19" s="26" t="n"/>
      <c r="O19" s="1666" t="n"/>
      <c r="P19" s="1666" t="n"/>
      <c r="Q19" s="1666" t="n"/>
      <c r="R19" s="1672" t="e">
        <f t="array" ref="R19">R18+1</f>
      </c>
      <c r="S19" s="1672" t="e">
        <f t="array" ref="S19">IF(OR(MOD(R19,400)=0,AND(MOD(R19,4)=0,MOD(R19,100)&lt;&gt;0)),366,365)</f>
      </c>
      <c r="T19" s="1666" t="n"/>
      <c r="U19" s="1666" t="n"/>
      <c r="V19" s="1666" t="n"/>
      <c r="W19" s="1666" t="n"/>
      <c r="X19" s="1667" t="n"/>
    </row>
    <row r="20" s="3154" customFormat="1" ht="14.25" customHeight="1">
      <c r="A20" s="1678" t="inlineStr">
        <is>
          <t xml:space="preserve">REVENUE</t>
        </is>
      </c>
      <c r="B20" s="1679" t="inlineStr">
        <is>
          <t xml:space="preserve">Note</t>
        </is>
      </c>
      <c r="C20" s="1680" t="e">
        <f t="array" ref="C20">C$6</f>
      </c>
      <c r="D20" s="1680" t="e">
        <f t="array" ref="D20">D$6</f>
      </c>
      <c r="E20" s="1680" t="e">
        <f t="array" ref="E20">E$6</f>
      </c>
      <c r="F20" s="1680" t="e">
        <f t="array" ref="F20">F$6</f>
      </c>
      <c r="G20" s="1680" t="e">
        <f t="array" ref="G20">G$6</f>
      </c>
      <c r="H20" s="1680" t="e">
        <f t="array" ref="H20">H$6</f>
      </c>
      <c r="I20" s="1680" t="e">
        <f t="array" ref="I20">I$6</f>
      </c>
      <c r="J20" s="1680" t="e">
        <f t="array" ref="J20">J$6</f>
      </c>
      <c r="K20" s="1680" t="e">
        <f t="array" ref="K20">K$6</f>
      </c>
      <c r="L20" s="1680" t="e">
        <f t="array" ref="L20">L$6</f>
      </c>
      <c r="M20" s="26" t="n"/>
      <c r="N20" s="26" t="n"/>
      <c r="O20" s="1681" t="inlineStr">
        <is>
          <t xml:space="preserve">ROW REF</t>
        </is>
      </c>
      <c r="P20" s="1666" t="n"/>
      <c r="Q20" s="1666" t="n"/>
      <c r="R20" s="1672" t="e">
        <f t="array" ref="R20">R19+1</f>
      </c>
      <c r="S20" s="1672" t="e">
        <f t="array" ref="S20">IF(OR(MOD(R20,400)=0,AND(MOD(R20,4)=0,MOD(R20,100)&lt;&gt;0)),366,365)</f>
      </c>
      <c r="T20" s="1666" t="n"/>
      <c r="U20" s="1666" t="n"/>
      <c r="V20" s="1666" t="n"/>
      <c r="W20" s="1666" t="n"/>
      <c r="X20" s="1667" t="n"/>
    </row>
    <row r="21" s="3154" customFormat="1" ht="13.5" customHeight="1">
      <c r="A21" s="1682" t="str">
        <f t="array" ref="A21">'Assumptions'!A38</f>
        <v>Rooms</v>
      </c>
      <c r="B21" s="1683" t="str">
        <f t="array" ref="B21">IF('Assumptions'!E38="","",'Assumptions'!E38)</f>
      </c>
      <c r="C21" s="3795" t="e">
        <f t="array" ref="C21">C10*C12</f>
      </c>
      <c r="D21" s="3795" t="e">
        <f t="array" ref="D21">D10*D12</f>
      </c>
      <c r="E21" s="3795" t="e">
        <f t="array" ref="E21">E10*E12</f>
      </c>
      <c r="F21" s="3795" t="e">
        <f t="array" ref="F21">F10*F12</f>
      </c>
      <c r="G21" s="3795" t="e">
        <f t="array" ref="G21">G10*G12</f>
      </c>
      <c r="H21" s="3795" t="e">
        <f t="array" ref="H21">H10*H12</f>
      </c>
      <c r="I21" s="3795" t="e">
        <f t="array" ref="I21">I10*I12</f>
      </c>
      <c r="J21" s="3795" t="e">
        <f t="array" ref="J21">J10*J12</f>
      </c>
      <c r="K21" s="3795" t="e">
        <f t="array" ref="K21">K10*K12</f>
      </c>
      <c r="L21" s="3795" t="e">
        <f t="array" ref="L21">L10*L12</f>
      </c>
      <c r="M21" s="26" t="n"/>
      <c r="N21" s="26" t="n"/>
      <c r="O21" s="26" t="n"/>
      <c r="P21" s="1666" t="n"/>
      <c r="Q21" s="1666" t="n"/>
      <c r="R21" s="1672" t="e">
        <f t="array" ref="R21">R20+1</f>
      </c>
      <c r="S21" s="1672" t="e">
        <f t="array" ref="S21">IF(OR(MOD(R21,400)=0,AND(MOD(R21,4)=0,MOD(R21,100)&lt;&gt;0)),366,365)</f>
      </c>
      <c r="T21" s="1666" t="n"/>
      <c r="U21" s="1666" t="n"/>
      <c r="V21" s="1666" t="n"/>
      <c r="W21" s="1666" t="n"/>
      <c r="X21" s="1667" t="n"/>
    </row>
    <row r="22" s="3154" customFormat="1" ht="13.5" customHeight="1">
      <c r="A22" s="580" t="str">
        <f t="array" ref="A22">'Assumptions'!A39</f>
        <v>Food &amp; Beverage</v>
      </c>
      <c r="B22" s="3796" t="n">
        <f t="array" ref="B22">IF('Assumptions'!E39="","",'Assumptions'!E39)</f>
        <v>1</v>
      </c>
      <c r="C22" s="3357" t="e">
        <f t="array" ref="C22">'Assumptions'!F39*C10</f>
      </c>
      <c r="D22" s="3357" t="e">
        <f t="array" ref="D22">C22*(1+'Assumptions'!G39)</f>
      </c>
      <c r="E22" s="3357" t="e">
        <f t="array" ref="E22">D22*(1+'Assumptions'!H39)</f>
      </c>
      <c r="F22" s="3357" t="e">
        <f t="array" ref="F22">E22*(1+'Assumptions'!I39)</f>
      </c>
      <c r="G22" s="3357" t="e">
        <f t="array" ref="G22">F22*(1+'Assumptions'!J39)</f>
      </c>
      <c r="H22" s="3357" t="e">
        <f t="array" ref="H22">G22*(1+'Assumptions'!K39)</f>
      </c>
      <c r="I22" s="3357" t="e">
        <f t="array" ref="I22">H22*(1+'Assumptions'!L39)</f>
      </c>
      <c r="J22" s="3357" t="e">
        <f t="array" ref="J22">I22*(1+'Assumptions'!M39)</f>
      </c>
      <c r="K22" s="3357" t="e">
        <f t="array" ref="K22">J22*(1+'Assumptions'!N39)</f>
      </c>
      <c r="L22" s="3357" t="e">
        <f t="array" ref="L22">K22*(1+'Assumptions'!O39)</f>
      </c>
      <c r="M22" s="26" t="n"/>
      <c r="N22" s="26" t="n"/>
      <c r="O22" s="1672" t="n"/>
      <c r="P22" s="1666" t="n"/>
      <c r="Q22" s="1666" t="n"/>
      <c r="R22" s="1672" t="e">
        <f t="array" ref="R22">R21+1</f>
      </c>
      <c r="S22" s="1672" t="e">
        <f t="array" ref="S22">IF(OR(MOD(R22,400)=0,AND(MOD(R22,4)=0,MOD(R22,100)&lt;&gt;0)),366,365)</f>
      </c>
      <c r="T22" s="1666" t="n"/>
      <c r="U22" s="1666" t="n"/>
      <c r="V22" s="1666" t="n"/>
      <c r="W22" s="1666" t="n"/>
      <c r="X22" s="1667" t="n"/>
    </row>
    <row r="23" s="3154" customFormat="1" ht="13.5" customHeight="1">
      <c r="A23" s="580" t="str">
        <f t="array" ref="A23">'Assumptions'!A40</f>
        <v>Meeting &amp; Banquet</v>
      </c>
      <c r="B23" s="3796" t="n">
        <f t="array" ref="B23">IF('Assumptions'!E40="","",'Assumptions'!E40)</f>
        <v>2</v>
      </c>
      <c r="C23" s="3357" t="n">
        <f t="array" ref="C23">'Assumptions'!F40</f>
        <v>0</v>
      </c>
      <c r="D23" s="3357" t="n">
        <f t="array" ref="D23">C23*(1+'Assumptions'!G40)</f>
        <v>0</v>
      </c>
      <c r="E23" s="3357" t="n">
        <f t="array" ref="E23">D23*(1+'Assumptions'!H40)</f>
        <v>0</v>
      </c>
      <c r="F23" s="3357" t="n">
        <f t="array" ref="F23">E23*(1+'Assumptions'!I40)</f>
        <v>0</v>
      </c>
      <c r="G23" s="3357" t="n">
        <f t="array" ref="G23">F23*(1+'Assumptions'!J40)</f>
        <v>0</v>
      </c>
      <c r="H23" s="3357" t="n">
        <f t="array" ref="H23">G23*(1+'Assumptions'!K40)</f>
        <v>0</v>
      </c>
      <c r="I23" s="3357" t="n">
        <f t="array" ref="I23">H23*(1+'Assumptions'!L40)</f>
        <v>0</v>
      </c>
      <c r="J23" s="3357" t="n">
        <f t="array" ref="J23">I23*(1+'Assumptions'!M40)</f>
        <v>0</v>
      </c>
      <c r="K23" s="3357" t="n">
        <f t="array" ref="K23">J23*(1+'Assumptions'!N40)</f>
        <v>0</v>
      </c>
      <c r="L23" s="3357" t="n">
        <f t="array" ref="L23">K23*(1+'Assumptions'!O40)</f>
        <v>0</v>
      </c>
      <c r="M23" s="26" t="n"/>
      <c r="N23" s="26" t="n"/>
      <c r="O23" s="1672" t="n"/>
      <c r="P23" s="1666" t="n"/>
      <c r="Q23" s="1666" t="n"/>
      <c r="R23" s="1672" t="e">
        <f t="array" ref="R23">R22+1</f>
      </c>
      <c r="S23" s="1672" t="e">
        <f t="array" ref="S23">IF(OR(MOD(R23,400)=0,AND(MOD(R23,4)=0,MOD(R23,100)&lt;&gt;0)),366,365)</f>
      </c>
      <c r="T23" s="1666" t="n"/>
      <c r="U23" s="1666" t="n"/>
      <c r="V23" s="1666" t="n"/>
      <c r="W23" s="1666" t="n"/>
      <c r="X23" s="1667" t="n"/>
    </row>
    <row r="24" s="3154" customFormat="1" ht="13.5" customHeight="1">
      <c r="A24" s="580" t="str">
        <f t="array" ref="A24">'Assumptions'!A41</f>
        <v>Misc Revenue/Vending</v>
      </c>
      <c r="B24" s="1686" t="str">
        <f t="array" ref="B24">IF('Assumptions'!E41="","",'Assumptions'!E41)</f>
      </c>
      <c r="C24" s="3797" t="e">
        <f t="array" ref="C24">'Assumptions'!F41*C10</f>
      </c>
      <c r="D24" s="3797" t="e">
        <f t="array" ref="D24">C24*(1+'Assumptions'!G41)</f>
      </c>
      <c r="E24" s="3797" t="e">
        <f t="array" ref="E24">D24*(1+'Assumptions'!H41)</f>
      </c>
      <c r="F24" s="3797" t="e">
        <f t="array" ref="F24">E24*(1+'Assumptions'!I41)</f>
      </c>
      <c r="G24" s="3797" t="e">
        <f t="array" ref="G24">F24*(1+'Assumptions'!J41)</f>
      </c>
      <c r="H24" s="3797" t="e">
        <f t="array" ref="H24">G24*(1+'Assumptions'!K41)</f>
      </c>
      <c r="I24" s="3797" t="e">
        <f t="array" ref="I24">H24*(1+'Assumptions'!L41)</f>
      </c>
      <c r="J24" s="3797" t="e">
        <f t="array" ref="J24">I24*(1+'Assumptions'!M41)</f>
      </c>
      <c r="K24" s="3797" t="e">
        <f t="array" ref="K24">J24*(1+'Assumptions'!N41)</f>
      </c>
      <c r="L24" s="3797" t="e">
        <f t="array" ref="L24">K24*(1+'Assumptions'!O41)</f>
      </c>
      <c r="M24" s="26" t="n"/>
      <c r="N24" s="26" t="n"/>
      <c r="O24" s="1672" t="n"/>
      <c r="P24" s="1666" t="n"/>
      <c r="Q24" s="1666" t="n"/>
      <c r="R24" s="1672" t="e">
        <f t="array" ref="R24">R23+1</f>
      </c>
      <c r="S24" s="1672" t="e">
        <f t="array" ref="S24">IF(OR(MOD(R24,400)=0,AND(MOD(R24,4)=0,MOD(R24,100)&lt;&gt;0)),366,365)</f>
      </c>
      <c r="T24" s="1666" t="n"/>
      <c r="U24" s="1666" t="n"/>
      <c r="V24" s="1666" t="n"/>
      <c r="W24" s="1666" t="n"/>
      <c r="X24" s="1667" t="n"/>
    </row>
    <row r="25" s="3154" customFormat="1" ht="13.5" customHeight="1">
      <c r="A25" s="557" t="inlineStr">
        <is>
          <t xml:space="preserve">Total Revenue</t>
        </is>
      </c>
      <c r="B25" s="18" t="n"/>
      <c r="C25" s="3798" t="e">
        <f t="array" ref="C25">SUM(C21:C24)</f>
      </c>
      <c r="D25" s="3798" t="e">
        <f t="array" ref="D25">SUM(D21:D24)</f>
      </c>
      <c r="E25" s="3798" t="e">
        <f t="array" ref="E25">SUM(E21:E24)</f>
      </c>
      <c r="F25" s="3798" t="e">
        <f t="array" ref="F25">SUM(F21:F24)</f>
      </c>
      <c r="G25" s="3798" t="e">
        <f t="array" ref="G25">SUM(G21:G24)</f>
      </c>
      <c r="H25" s="3798" t="e">
        <f t="array" ref="H25">SUM(H21:H24)</f>
      </c>
      <c r="I25" s="3798" t="e">
        <f t="array" ref="I25">SUM(I21:I24)</f>
      </c>
      <c r="J25" s="3798" t="e">
        <f t="array" ref="J25">SUM(J21:J24)</f>
      </c>
      <c r="K25" s="3798" t="e">
        <f t="array" ref="K25">SUM(K21:K24)</f>
      </c>
      <c r="L25" s="3798" t="e">
        <f t="array" ref="L25">SUM(L21:L24)</f>
      </c>
      <c r="M25" s="26" t="n"/>
      <c r="N25" s="26" t="n"/>
      <c r="O25" s="1672" t="n">
        <v>20</v>
      </c>
      <c r="P25" s="1666" t="n"/>
      <c r="Q25" s="1666" t="n"/>
      <c r="R25" s="1672" t="e">
        <f t="array" ref="R25">R24+1</f>
      </c>
      <c r="S25" s="1672" t="e">
        <f t="array" ref="S25">IF(OR(MOD(R25,400)=0,AND(MOD(R25,4)=0,MOD(R25,100)&lt;&gt;0)),366,365)</f>
      </c>
      <c r="T25" s="1666" t="n"/>
      <c r="U25" s="1666" t="n"/>
      <c r="V25" s="1666" t="n"/>
      <c r="W25" s="1666" t="n"/>
      <c r="X25" s="1667" t="n"/>
    </row>
    <row r="26" s="3154" customFormat="1" ht="8" customHeight="1">
      <c r="A26" s="627" t="n"/>
      <c r="B26" s="26" t="n"/>
      <c r="C26" s="424" t="n"/>
      <c r="D26" s="424" t="n"/>
      <c r="E26" s="424" t="n"/>
      <c r="F26" s="424" t="n"/>
      <c r="G26" s="424" t="n"/>
      <c r="H26" s="424" t="n"/>
      <c r="I26" s="424" t="n"/>
      <c r="J26" s="424" t="n"/>
      <c r="K26" s="424" t="n"/>
      <c r="L26" s="424" t="n"/>
      <c r="M26" s="26" t="n"/>
      <c r="N26" s="26" t="n"/>
      <c r="O26" s="1666" t="n"/>
      <c r="P26" s="1666" t="n"/>
      <c r="Q26" s="1666" t="n"/>
      <c r="R26" s="1672" t="e">
        <f t="array" ref="R26">R25+1</f>
      </c>
      <c r="S26" s="1672" t="e">
        <f t="array" ref="S26">IF(OR(MOD(R26,400)=0,AND(MOD(R26,4)=0,MOD(R26,100)&lt;&gt;0)),366,365)</f>
      </c>
      <c r="T26" s="1666" t="n"/>
      <c r="U26" s="1666" t="n"/>
      <c r="V26" s="1666" t="n"/>
      <c r="W26" s="1666" t="n"/>
      <c r="X26" s="1667" t="n"/>
    </row>
    <row r="27" s="3154" customFormat="1" ht="14.25" customHeight="1">
      <c r="A27" s="1678" t="inlineStr">
        <is>
          <t xml:space="preserve">DEPARTMENTAL EXPENSES</t>
        </is>
      </c>
      <c r="B27" s="1689" t="n"/>
      <c r="C27" s="1680" t="e">
        <f t="array" ref="C27">C$6</f>
      </c>
      <c r="D27" s="1680" t="e">
        <f t="array" ref="D27">D$6</f>
      </c>
      <c r="E27" s="1680" t="e">
        <f t="array" ref="E27">E$6</f>
      </c>
      <c r="F27" s="1680" t="e">
        <f t="array" ref="F27">F$6</f>
      </c>
      <c r="G27" s="1680" t="e">
        <f t="array" ref="G27">G$6</f>
      </c>
      <c r="H27" s="1680" t="e">
        <f t="array" ref="H27">H$6</f>
      </c>
      <c r="I27" s="1680" t="e">
        <f t="array" ref="I27">I$6</f>
      </c>
      <c r="J27" s="1680" t="e">
        <f t="array" ref="J27">J$6</f>
      </c>
      <c r="K27" s="1680" t="e">
        <f t="array" ref="K27">K$6</f>
      </c>
      <c r="L27" s="1680" t="e">
        <f t="array" ref="L27">L$6</f>
      </c>
      <c r="M27" s="26" t="n"/>
      <c r="N27" s="26" t="n"/>
      <c r="O27" s="1672" t="n"/>
      <c r="P27" s="1666" t="n"/>
      <c r="Q27" s="1666" t="n"/>
      <c r="R27" s="1672" t="e">
        <f t="array" ref="R27">R26+1</f>
      </c>
      <c r="S27" s="1672" t="e">
        <f t="array" ref="S27">IF(OR(MOD(R27,400)=0,AND(MOD(R27,4)=0,MOD(R27,100)&lt;&gt;0)),366,365)</f>
      </c>
      <c r="T27" s="1666" t="n"/>
      <c r="U27" s="1666" t="n"/>
      <c r="V27" s="1666" t="n"/>
      <c r="W27" s="1666" t="n"/>
      <c r="X27" s="1667" t="n"/>
    </row>
    <row r="28" s="3154" customFormat="1" ht="13.5" customHeight="1">
      <c r="A28" s="1682" t="str">
        <f t="array" ref="A28">'Assumptions'!A44</f>
        <v>Rooms</v>
      </c>
      <c r="B28" s="3799" t="n">
        <f t="array" ref="B28">IF('Assumptions'!E44="","",'Assumptions'!E44)</f>
        <v>3</v>
      </c>
      <c r="C28" s="3795" t="e">
        <f t="array" ref="C28">C21*'Assumptions'!F44</f>
      </c>
      <c r="D28" s="3795" t="e">
        <f t="array" ref="D28">D21*'Assumptions'!G44</f>
      </c>
      <c r="E28" s="3795" t="e">
        <f t="array" ref="E28">E21*'Assumptions'!H44</f>
      </c>
      <c r="F28" s="3795" t="e">
        <f t="array" ref="F28">F21*'Assumptions'!I44</f>
      </c>
      <c r="G28" s="3795" t="e">
        <f t="array" ref="G28">G21*'Assumptions'!J44</f>
      </c>
      <c r="H28" s="3795" t="e">
        <f t="array" ref="H28">H21*'Assumptions'!K44</f>
      </c>
      <c r="I28" s="3795" t="e">
        <f t="array" ref="I28">I21*'Assumptions'!L44</f>
      </c>
      <c r="J28" s="3795" t="e">
        <f t="array" ref="J28">J21*'Assumptions'!M44</f>
      </c>
      <c r="K28" s="3795" t="e">
        <f t="array" ref="K28">K21*'Assumptions'!N44</f>
      </c>
      <c r="L28" s="3795" t="e">
        <f t="array" ref="L28">L21*'Assumptions'!O44</f>
      </c>
      <c r="M28" s="26" t="n"/>
      <c r="N28" s="26" t="n"/>
      <c r="O28" s="1672" t="n"/>
      <c r="P28" s="1666" t="n"/>
      <c r="Q28" s="1666" t="n"/>
      <c r="R28" s="1672" t="e">
        <f t="array" ref="R28">R27+1</f>
      </c>
      <c r="S28" s="1672" t="e">
        <f t="array" ref="S28">IF(OR(MOD(R28,400)=0,AND(MOD(R28,4)=0,MOD(R28,100)&lt;&gt;0)),366,365)</f>
      </c>
      <c r="T28" s="1666" t="n"/>
      <c r="U28" s="1666" t="n"/>
      <c r="V28" s="1666" t="n"/>
      <c r="W28" s="1666" t="n"/>
      <c r="X28" s="1667" t="n"/>
    </row>
    <row r="29" s="3154" customFormat="1" ht="13.5" customHeight="1">
      <c r="A29" s="580" t="str">
        <f t="array" ref="A29">'Assumptions'!A45</f>
        <v>Food &amp; Beverage</v>
      </c>
      <c r="B29" s="1686" t="str">
        <f t="array" ref="B29">IF('Assumptions'!E45="","",'Assumptions'!E45)</f>
      </c>
      <c r="C29" s="3357" t="e">
        <f t="array" ref="C29">C22*'Assumptions'!F45</f>
      </c>
      <c r="D29" s="3357" t="e">
        <f t="array" ref="D29">D22*'Assumptions'!G45</f>
      </c>
      <c r="E29" s="3357" t="e">
        <f t="array" ref="E29">E22*'Assumptions'!H45</f>
      </c>
      <c r="F29" s="3357" t="e">
        <f t="array" ref="F29">F22*'Assumptions'!I45</f>
      </c>
      <c r="G29" s="3357" t="e">
        <f t="array" ref="G29">G22*'Assumptions'!J45</f>
      </c>
      <c r="H29" s="3357" t="e">
        <f t="array" ref="H29">H22*'Assumptions'!K45</f>
      </c>
      <c r="I29" s="3357" t="e">
        <f t="array" ref="I29">I22*'Assumptions'!L45</f>
      </c>
      <c r="J29" s="3357" t="e">
        <f t="array" ref="J29">J22*'Assumptions'!M45</f>
      </c>
      <c r="K29" s="3357" t="e">
        <f t="array" ref="K29">K22*'Assumptions'!N45</f>
      </c>
      <c r="L29" s="3357" t="e">
        <f t="array" ref="L29">L22*'Assumptions'!O45</f>
      </c>
      <c r="M29" s="26" t="n"/>
      <c r="N29" s="26" t="n"/>
      <c r="O29" s="1672" t="n"/>
      <c r="P29" s="1666" t="n"/>
      <c r="Q29" s="1666" t="n"/>
      <c r="R29" s="1672" t="e">
        <f t="array" ref="R29">R28+1</f>
      </c>
      <c r="S29" s="1672" t="e">
        <f t="array" ref="S29">IF(OR(MOD(R29,400)=0,AND(MOD(R29,4)=0,MOD(R29,100)&lt;&gt;0)),366,365)</f>
      </c>
      <c r="T29" s="1666" t="n"/>
      <c r="U29" s="1666" t="n"/>
      <c r="V29" s="1666" t="n"/>
      <c r="W29" s="1666" t="n"/>
      <c r="X29" s="1667" t="n"/>
    </row>
    <row r="30" s="3154" customFormat="1" ht="13.5" customHeight="1">
      <c r="A30" s="580" t="str">
        <f t="array" ref="A30">'Assumptions'!A46</f>
        <v>Meeting &amp; Banquet</v>
      </c>
      <c r="B30" s="1686" t="str">
        <f t="array" ref="B30">IF('Assumptions'!E46="","",'Assumptions'!E46)</f>
      </c>
      <c r="C30" s="3357" t="n">
        <f t="array" ref="C30">C23*'Assumptions'!F46</f>
        <v>0</v>
      </c>
      <c r="D30" s="3357" t="n">
        <f t="array" ref="D30">D23*'Assumptions'!G46</f>
        <v>0</v>
      </c>
      <c r="E30" s="3357" t="n">
        <f t="array" ref="E30">E23*'Assumptions'!H46</f>
        <v>0</v>
      </c>
      <c r="F30" s="3357" t="n">
        <f t="array" ref="F30">F23*'Assumptions'!I46</f>
        <v>0</v>
      </c>
      <c r="G30" s="3357" t="n">
        <f t="array" ref="G30">G23*'Assumptions'!J46</f>
        <v>0</v>
      </c>
      <c r="H30" s="3357" t="n">
        <f t="array" ref="H30">H23*'Assumptions'!K46</f>
        <v>0</v>
      </c>
      <c r="I30" s="3357" t="n">
        <f t="array" ref="I30">I23*'Assumptions'!L46</f>
        <v>0</v>
      </c>
      <c r="J30" s="3357" t="n">
        <f t="array" ref="J30">J23*'Assumptions'!M46</f>
        <v>0</v>
      </c>
      <c r="K30" s="3357" t="n">
        <f t="array" ref="K30">K23*'Assumptions'!N46</f>
        <v>0</v>
      </c>
      <c r="L30" s="3357" t="n">
        <f t="array" ref="L30">L23*'Assumptions'!O46</f>
        <v>0</v>
      </c>
      <c r="M30" s="26" t="n"/>
      <c r="N30" s="26" t="n"/>
      <c r="O30" s="1672" t="n"/>
      <c r="P30" s="1666" t="n"/>
      <c r="Q30" s="1666" t="n"/>
      <c r="R30" s="1672" t="e">
        <f t="array" ref="R30">R29+1</f>
      </c>
      <c r="S30" s="1672" t="e">
        <f t="array" ref="S30">IF(OR(MOD(R30,400)=0,AND(MOD(R30,4)=0,MOD(R30,100)&lt;&gt;0)),366,365)</f>
      </c>
      <c r="T30" s="1666" t="n"/>
      <c r="U30" s="1666" t="n"/>
      <c r="V30" s="1666" t="n"/>
      <c r="W30" s="1666" t="n"/>
      <c r="X30" s="1667" t="n"/>
    </row>
    <row r="31" s="3154" customFormat="1" ht="13.5" customHeight="1">
      <c r="A31" s="580" t="str">
        <f t="array" ref="A31">'Assumptions'!A47</f>
        <v>Misc Revenue/Vending</v>
      </c>
      <c r="B31" s="1686" t="str">
        <f t="array" ref="B31">IF('Assumptions'!E47="","",'Assumptions'!E47)</f>
      </c>
      <c r="C31" s="3797" t="e">
        <f t="array" ref="C31">C24*'Assumptions'!F47</f>
      </c>
      <c r="D31" s="3797" t="e">
        <f t="array" ref="D31">D24*'Assumptions'!G47</f>
      </c>
      <c r="E31" s="3797" t="e">
        <f t="array" ref="E31">E24*'Assumptions'!H47</f>
      </c>
      <c r="F31" s="3797" t="e">
        <f t="array" ref="F31">F24*'Assumptions'!I47</f>
      </c>
      <c r="G31" s="3797" t="e">
        <f t="array" ref="G31">G24*'Assumptions'!J47</f>
      </c>
      <c r="H31" s="3797" t="e">
        <f t="array" ref="H31">H24*'Assumptions'!K47</f>
      </c>
      <c r="I31" s="3797" t="e">
        <f t="array" ref="I31">I24*'Assumptions'!L47</f>
      </c>
      <c r="J31" s="3797" t="e">
        <f t="array" ref="J31">J24*'Assumptions'!M47</f>
      </c>
      <c r="K31" s="3797" t="e">
        <f t="array" ref="K31">K24*'Assumptions'!N47</f>
      </c>
      <c r="L31" s="3797" t="e">
        <f t="array" ref="L31">L24*'Assumptions'!O47</f>
      </c>
      <c r="M31" s="26" t="n"/>
      <c r="N31" s="26" t="n"/>
      <c r="O31" s="1672" t="n"/>
      <c r="P31" s="1666" t="n"/>
      <c r="Q31" s="1666" t="n"/>
      <c r="R31" s="1666" t="n"/>
      <c r="S31" s="1666" t="n"/>
      <c r="T31" s="1666" t="n"/>
      <c r="U31" s="1666" t="n"/>
      <c r="V31" s="1666" t="n"/>
      <c r="W31" s="1666" t="n"/>
      <c r="X31" s="1667" t="n"/>
    </row>
    <row r="32" s="3154" customFormat="1" ht="13.5" customHeight="1">
      <c r="A32" s="557" t="inlineStr">
        <is>
          <t xml:space="preserve">Total Departmental Exp</t>
        </is>
      </c>
      <c r="B32" s="18" t="n"/>
      <c r="C32" s="3798" t="e">
        <f t="array" ref="C32">SUBTOTAL(9,C28:C31)</f>
      </c>
      <c r="D32" s="3798" t="e">
        <f t="array" ref="D32">SUBTOTAL(9,D28:D31)</f>
      </c>
      <c r="E32" s="3798" t="e">
        <f t="array" ref="E32">SUBTOTAL(9,E28:E31)</f>
      </c>
      <c r="F32" s="3798" t="e">
        <f t="array" ref="F32">SUBTOTAL(9,F28:F31)</f>
      </c>
      <c r="G32" s="3798" t="e">
        <f t="array" ref="G32">SUBTOTAL(9,G28:G31)</f>
      </c>
      <c r="H32" s="3798" t="e">
        <f t="array" ref="H32">SUBTOTAL(9,H28:H31)</f>
      </c>
      <c r="I32" s="3798" t="e">
        <f t="array" ref="I32">SUBTOTAL(9,I28:I31)</f>
      </c>
      <c r="J32" s="3798" t="e">
        <f t="array" ref="J32">SUBTOTAL(9,J28:J31)</f>
      </c>
      <c r="K32" s="3798" t="e">
        <f t="array" ref="K32">SUBTOTAL(9,K28:K31)</f>
      </c>
      <c r="L32" s="3798" t="e">
        <f t="array" ref="L32">SUBTOTAL(9,L28:L31)</f>
      </c>
      <c r="M32" s="26" t="n"/>
      <c r="N32" s="26" t="n"/>
      <c r="O32" s="1672" t="n">
        <v>27</v>
      </c>
      <c r="P32" s="1666" t="n"/>
      <c r="Q32" s="1666" t="n"/>
      <c r="R32" s="1666" t="n"/>
      <c r="S32" s="1666" t="n"/>
      <c r="T32" s="1666" t="n"/>
      <c r="U32" s="1666" t="n"/>
      <c r="V32" s="1666" t="n"/>
      <c r="W32" s="1666" t="n"/>
      <c r="X32" s="1667" t="n"/>
    </row>
    <row r="33" s="3154" customFormat="1" ht="8" customHeight="1">
      <c r="A33" s="627" t="n"/>
      <c r="B33" s="26" t="n"/>
      <c r="C33" s="424" t="n"/>
      <c r="D33" s="424" t="n"/>
      <c r="E33" s="424" t="n"/>
      <c r="F33" s="424" t="n"/>
      <c r="G33" s="424" t="n"/>
      <c r="H33" s="424" t="n"/>
      <c r="I33" s="424" t="n"/>
      <c r="J33" s="424" t="n"/>
      <c r="K33" s="424" t="n"/>
      <c r="L33" s="424" t="n"/>
      <c r="M33" s="26" t="n"/>
      <c r="N33" s="26" t="n"/>
      <c r="O33" s="1666" t="n"/>
      <c r="P33" s="1666" t="n"/>
      <c r="Q33" s="1666" t="n"/>
      <c r="R33" s="1672" t="n"/>
      <c r="S33" s="1672" t="n"/>
      <c r="T33" s="1666" t="n"/>
      <c r="U33" s="1666" t="n"/>
      <c r="V33" s="1666" t="n"/>
      <c r="W33" s="1666" t="n"/>
      <c r="X33" s="1667" t="n"/>
    </row>
    <row r="34" s="3154" customFormat="1" ht="14.25" customHeight="1">
      <c r="A34" s="1691" t="inlineStr">
        <is>
          <t xml:space="preserve">TOTAL DEPARTMENTAL PROFIT</t>
        </is>
      </c>
      <c r="B34" s="16" t="n"/>
      <c r="C34" s="3797" t="e">
        <f t="array" ref="C34">C25-C32</f>
      </c>
      <c r="D34" s="3797" t="e">
        <f t="array" ref="D34">D25-D32</f>
      </c>
      <c r="E34" s="3797" t="e">
        <f t="array" ref="E34">E25-E32</f>
      </c>
      <c r="F34" s="3797" t="e">
        <f t="array" ref="F34">F25-F32</f>
      </c>
      <c r="G34" s="3797" t="e">
        <f t="array" ref="G34">G25-G32</f>
      </c>
      <c r="H34" s="3797" t="e">
        <f t="array" ref="H34">H25-H32</f>
      </c>
      <c r="I34" s="3797" t="e">
        <f t="array" ref="I34">I25-I32</f>
      </c>
      <c r="J34" s="3797" t="e">
        <f t="array" ref="J34">J25-J32</f>
      </c>
      <c r="K34" s="3797" t="e">
        <f t="array" ref="K34">K25-K32</f>
      </c>
      <c r="L34" s="3797" t="e">
        <f t="array" ref="L34">L25-L32</f>
      </c>
      <c r="M34" s="26" t="n"/>
      <c r="N34" s="26" t="n"/>
      <c r="O34" s="1672" t="n"/>
      <c r="P34" s="1666" t="n"/>
      <c r="Q34" s="1666" t="n"/>
      <c r="R34" s="1666" t="n"/>
      <c r="S34" s="1666" t="n"/>
      <c r="T34" s="1666" t="n"/>
      <c r="U34" s="1666" t="n"/>
      <c r="V34" s="1666" t="n"/>
      <c r="W34" s="1666" t="n"/>
      <c r="X34" s="1667" t="n"/>
    </row>
    <row r="35" s="3154" customFormat="1" ht="8" customHeight="1">
      <c r="A35" s="443" t="n"/>
      <c r="B35" s="158" t="n"/>
      <c r="C35" s="1692" t="n"/>
      <c r="D35" s="1692" t="n"/>
      <c r="E35" s="1692" t="n"/>
      <c r="F35" s="1692" t="n"/>
      <c r="G35" s="1692" t="n"/>
      <c r="H35" s="1692" t="n"/>
      <c r="I35" s="1692" t="n"/>
      <c r="J35" s="1692" t="n"/>
      <c r="K35" s="1692" t="n"/>
      <c r="L35" s="1692" t="n"/>
      <c r="M35" s="26" t="n"/>
      <c r="N35" s="26" t="n"/>
      <c r="O35" s="1666" t="n"/>
      <c r="P35" s="1666" t="n"/>
      <c r="Q35" s="1666" t="n"/>
      <c r="R35" s="1672" t="n"/>
      <c r="S35" s="1672" t="n"/>
      <c r="T35" s="1666" t="n"/>
      <c r="U35" s="1666" t="n"/>
      <c r="V35" s="1666" t="n"/>
      <c r="W35" s="1666" t="n"/>
      <c r="X35" s="1667" t="n"/>
    </row>
    <row r="36" s="3154" customFormat="1" ht="14.25" customHeight="1">
      <c r="A36" s="1678" t="inlineStr">
        <is>
          <t xml:space="preserve">UNDISTRIBUTED EXPENSES</t>
        </is>
      </c>
      <c r="B36" s="1689" t="n"/>
      <c r="C36" s="1680" t="e">
        <f t="array" ref="C36">C$6</f>
      </c>
      <c r="D36" s="1680" t="e">
        <f t="array" ref="D36">D$6</f>
      </c>
      <c r="E36" s="1680" t="e">
        <f t="array" ref="E36">E$6</f>
      </c>
      <c r="F36" s="1680" t="e">
        <f t="array" ref="F36">F$6</f>
      </c>
      <c r="G36" s="1680" t="e">
        <f t="array" ref="G36">G$6</f>
      </c>
      <c r="H36" s="1680" t="e">
        <f t="array" ref="H36">H$6</f>
      </c>
      <c r="I36" s="1680" t="e">
        <f t="array" ref="I36">I$6</f>
      </c>
      <c r="J36" s="1680" t="e">
        <f t="array" ref="J36">J$6</f>
      </c>
      <c r="K36" s="1680" t="e">
        <f t="array" ref="K36">K$6</f>
      </c>
      <c r="L36" s="1680" t="e">
        <f t="array" ref="L36">L$6</f>
      </c>
      <c r="M36" s="26" t="n"/>
      <c r="N36" s="26" t="n"/>
      <c r="O36" s="1672" t="n"/>
      <c r="P36" s="1666" t="n"/>
      <c r="Q36" s="1666" t="n"/>
      <c r="R36" s="1666" t="n"/>
      <c r="S36" s="1666" t="n"/>
      <c r="T36" s="1666" t="n"/>
      <c r="U36" s="1666" t="n"/>
      <c r="V36" s="1666" t="n"/>
      <c r="W36" s="1666" t="n"/>
      <c r="X36" s="1667" t="n"/>
    </row>
    <row r="37" s="3154" customFormat="1" ht="13.5" customHeight="1">
      <c r="A37" s="1682" t="str">
        <f t="array" ref="A37">'Assumptions'!A50</f>
        <v>Admin &amp; General</v>
      </c>
      <c r="B37" s="1683" t="str">
        <f t="array" ref="B37">IF('Assumptions'!E50="","",'Assumptions'!E50)</f>
      </c>
      <c r="C37" s="3795" t="e">
        <f t="array" ref="C37">C$25*'Assumptions'!F50</f>
      </c>
      <c r="D37" s="3795" t="e">
        <f t="array" ref="D37">D$25*'Assumptions'!G50</f>
      </c>
      <c r="E37" s="3795" t="e">
        <f t="array" ref="E37">E$25*'Assumptions'!H50</f>
      </c>
      <c r="F37" s="3795" t="e">
        <f t="array" ref="F37">F$25*'Assumptions'!I50</f>
      </c>
      <c r="G37" s="3795" t="e">
        <f t="array" ref="G37">G$25*'Assumptions'!J50</f>
      </c>
      <c r="H37" s="3795" t="e">
        <f t="array" ref="H37">H$25*'Assumptions'!K50</f>
      </c>
      <c r="I37" s="3795" t="e">
        <f t="array" ref="I37">I$25*'Assumptions'!L50</f>
      </c>
      <c r="J37" s="3795" t="e">
        <f t="array" ref="J37">J$25*'Assumptions'!M50</f>
      </c>
      <c r="K37" s="3795" t="e">
        <f t="array" ref="K37">K$25*'Assumptions'!N50</f>
      </c>
      <c r="L37" s="3795" t="e">
        <f t="array" ref="L37">L$25*'Assumptions'!O50</f>
      </c>
      <c r="M37" s="26" t="n"/>
      <c r="N37" s="26" t="n"/>
      <c r="O37" s="1672" t="n"/>
      <c r="P37" s="1666" t="n"/>
      <c r="Q37" s="1666" t="n"/>
      <c r="R37" s="1666" t="n"/>
      <c r="S37" s="1666" t="n"/>
      <c r="T37" s="1666" t="n"/>
      <c r="U37" s="1666" t="n"/>
      <c r="V37" s="1666" t="n"/>
      <c r="W37" s="1666" t="n"/>
      <c r="X37" s="1667" t="n"/>
    </row>
    <row r="38" s="3154" customFormat="1" ht="13.5" customHeight="1">
      <c r="A38" s="580" t="str">
        <f t="array" ref="A38">'Assumptions'!A51</f>
        <v>Advertising &amp; Sales</v>
      </c>
      <c r="B38" s="1686" t="str">
        <f t="array" ref="B38">IF('Assumptions'!E51="","",'Assumptions'!E51)</f>
      </c>
      <c r="C38" s="3357" t="e">
        <f t="array" ref="C38">C$25*'Assumptions'!F51</f>
      </c>
      <c r="D38" s="3357" t="e">
        <f t="array" ref="D38">D$25*'Assumptions'!G51</f>
      </c>
      <c r="E38" s="3357" t="e">
        <f t="array" ref="E38">E$25*'Assumptions'!H51</f>
      </c>
      <c r="F38" s="3357" t="e">
        <f t="array" ref="F38">F$25*'Assumptions'!I51</f>
      </c>
      <c r="G38" s="3357" t="e">
        <f t="array" ref="G38">G$25*'Assumptions'!J51</f>
      </c>
      <c r="H38" s="3357" t="e">
        <f t="array" ref="H38">H$25*'Assumptions'!K51</f>
      </c>
      <c r="I38" s="3357" t="e">
        <f t="array" ref="I38">I$25*'Assumptions'!L51</f>
      </c>
      <c r="J38" s="3357" t="e">
        <f t="array" ref="J38">J$25*'Assumptions'!M51</f>
      </c>
      <c r="K38" s="3357" t="e">
        <f t="array" ref="K38">K$25*'Assumptions'!N51</f>
      </c>
      <c r="L38" s="3357" t="e">
        <f t="array" ref="L38">L$25*'Assumptions'!O51</f>
      </c>
      <c r="M38" s="26" t="n"/>
      <c r="N38" s="26" t="n"/>
      <c r="O38" s="1672" t="n"/>
      <c r="P38" s="1666" t="n"/>
      <c r="Q38" s="1666" t="n"/>
      <c r="R38" s="1666" t="n"/>
      <c r="S38" s="1666" t="n"/>
      <c r="T38" s="1666" t="n"/>
      <c r="U38" s="1666" t="n"/>
      <c r="V38" s="1666" t="n"/>
      <c r="W38" s="1666" t="n"/>
      <c r="X38" s="1667" t="n"/>
    </row>
    <row r="39" s="3154" customFormat="1" ht="13.5" customHeight="1">
      <c r="A39" s="580" t="str">
        <f t="array" ref="A39">'Assumptions'!A52</f>
        <v>Property Ops &amp; Maint</v>
      </c>
      <c r="B39" s="1686" t="str">
        <f t="array" ref="B39">IF('Assumptions'!E52="","",'Assumptions'!E52)</f>
      </c>
      <c r="C39" s="3357" t="e">
        <f t="array" ref="C39">C$25*'Assumptions'!F52</f>
      </c>
      <c r="D39" s="3357" t="e">
        <f t="array" ref="D39">D$25*'Assumptions'!G52</f>
      </c>
      <c r="E39" s="3357" t="e">
        <f t="array" ref="E39">E$25*'Assumptions'!H52</f>
      </c>
      <c r="F39" s="3357" t="e">
        <f t="array" ref="F39">F$25*'Assumptions'!I52</f>
      </c>
      <c r="G39" s="3357" t="e">
        <f t="array" ref="G39">G$25*'Assumptions'!J52</f>
      </c>
      <c r="H39" s="3357" t="e">
        <f t="array" ref="H39">H$25*'Assumptions'!K52</f>
      </c>
      <c r="I39" s="3357" t="e">
        <f t="array" ref="I39">I$25*'Assumptions'!L52</f>
      </c>
      <c r="J39" s="3357" t="e">
        <f t="array" ref="J39">J$25*'Assumptions'!M52</f>
      </c>
      <c r="K39" s="3357" t="e">
        <f t="array" ref="K39">K$25*'Assumptions'!N52</f>
      </c>
      <c r="L39" s="3357" t="e">
        <f t="array" ref="L39">L$25*'Assumptions'!O52</f>
      </c>
      <c r="M39" s="26" t="n"/>
      <c r="N39" s="26" t="n"/>
      <c r="O39" s="1672" t="n"/>
      <c r="P39" s="1666" t="n"/>
      <c r="Q39" s="1666" t="n"/>
      <c r="R39" s="1666" t="n"/>
      <c r="S39" s="1666" t="n"/>
      <c r="T39" s="1666" t="n"/>
      <c r="U39" s="1666" t="n"/>
      <c r="V39" s="1666" t="n"/>
      <c r="W39" s="1666" t="n"/>
      <c r="X39" s="1667" t="n"/>
    </row>
    <row r="40" s="3154" customFormat="1" ht="13.5" customHeight="1">
      <c r="A40" s="580" t="str">
        <f t="array" ref="A40">'Assumptions'!A53</f>
        <v>Info &amp; Telecom Systems</v>
      </c>
      <c r="B40" s="1686" t="str">
        <f t="array" ref="B40">IF('Assumptions'!E53="","",'Assumptions'!E53)</f>
      </c>
      <c r="C40" s="3357" t="e">
        <f t="array" ref="C40">C$25*'Assumptions'!F53</f>
      </c>
      <c r="D40" s="3357" t="e">
        <f t="array" ref="D40">D$25*'Assumptions'!G53</f>
      </c>
      <c r="E40" s="3357" t="e">
        <f t="array" ref="E40">E$25*'Assumptions'!H53</f>
      </c>
      <c r="F40" s="3357" t="e">
        <f t="array" ref="F40">F$25*'Assumptions'!I53</f>
      </c>
      <c r="G40" s="3357" t="e">
        <f t="array" ref="G40">G$25*'Assumptions'!J53</f>
      </c>
      <c r="H40" s="3357" t="e">
        <f t="array" ref="H40">H$25*'Assumptions'!K53</f>
      </c>
      <c r="I40" s="3357" t="e">
        <f t="array" ref="I40">I$25*'Assumptions'!L53</f>
      </c>
      <c r="J40" s="3357" t="e">
        <f t="array" ref="J40">J$25*'Assumptions'!M53</f>
      </c>
      <c r="K40" s="3357" t="e">
        <f t="array" ref="K40">K$25*'Assumptions'!N53</f>
      </c>
      <c r="L40" s="3357" t="e">
        <f t="array" ref="L40">L$25*'Assumptions'!O53</f>
      </c>
      <c r="M40" s="26" t="n"/>
      <c r="N40" s="26" t="n"/>
      <c r="O40" s="1672" t="n"/>
      <c r="P40" s="1666" t="n"/>
      <c r="Q40" s="1666" t="n"/>
      <c r="R40" s="1666" t="n"/>
      <c r="S40" s="1666" t="n"/>
      <c r="T40" s="1666" t="n"/>
      <c r="U40" s="1666" t="n"/>
      <c r="V40" s="1666" t="n"/>
      <c r="W40" s="1666" t="n"/>
      <c r="X40" s="1667" t="n"/>
    </row>
    <row r="41" s="3154" customFormat="1" ht="13.5" customHeight="1">
      <c r="A41" s="580" t="str">
        <f t="array" ref="A41">'Assumptions'!A54</f>
        <v>Utility Cost</v>
      </c>
      <c r="B41" s="1686" t="str">
        <f t="array" ref="B41">IF('Assumptions'!E54="","",'Assumptions'!E54)</f>
      </c>
      <c r="C41" s="3357" t="e">
        <f t="array" ref="C41">C$25*'Assumptions'!F54</f>
      </c>
      <c r="D41" s="3357" t="e">
        <f t="array" ref="D41">D$25*'Assumptions'!G54</f>
      </c>
      <c r="E41" s="3357" t="e">
        <f t="array" ref="E41">E$25*'Assumptions'!H54</f>
      </c>
      <c r="F41" s="3357" t="e">
        <f t="array" ref="F41">F$25*'Assumptions'!I54</f>
      </c>
      <c r="G41" s="3357" t="e">
        <f t="array" ref="G41">G$25*'Assumptions'!J54</f>
      </c>
      <c r="H41" s="3357" t="e">
        <f t="array" ref="H41">H$25*'Assumptions'!K54</f>
      </c>
      <c r="I41" s="3357" t="e">
        <f t="array" ref="I41">I$25*'Assumptions'!L54</f>
      </c>
      <c r="J41" s="3357" t="e">
        <f t="array" ref="J41">J$25*'Assumptions'!M54</f>
      </c>
      <c r="K41" s="3357" t="e">
        <f t="array" ref="K41">K$25*'Assumptions'!N54</f>
      </c>
      <c r="L41" s="3357" t="e">
        <f t="array" ref="L41">L$25*'Assumptions'!O54</f>
      </c>
      <c r="M41" s="26" t="n"/>
      <c r="N41" s="26" t="n"/>
      <c r="O41" s="1672" t="n"/>
      <c r="P41" s="1666" t="n"/>
      <c r="Q41" s="1666" t="n"/>
      <c r="R41" s="1666" t="n"/>
      <c r="S41" s="1666" t="n"/>
      <c r="T41" s="1666" t="n"/>
      <c r="U41" s="1666" t="n"/>
      <c r="V41" s="1666" t="n"/>
      <c r="W41" s="1666" t="n"/>
      <c r="X41" s="1667" t="n"/>
    </row>
    <row r="42" s="3154" customFormat="1" ht="13.5" customHeight="1">
      <c r="A42" s="580" t="str">
        <f t="array" ref="A42">'Assumptions'!A55</f>
        <v>Royalty/Franchise Fee</v>
      </c>
      <c r="B42" s="3796" t="n">
        <f t="array" ref="B42">IF('Assumptions'!E55="","",'Assumptions'!E55)</f>
        <v>4</v>
      </c>
      <c r="C42" s="3797" t="e">
        <f t="array" ref="C42">C$25*'Assumptions'!F55</f>
      </c>
      <c r="D42" s="3797" t="e">
        <f t="array" ref="D42">D$25*'Assumptions'!G55</f>
      </c>
      <c r="E42" s="3797" t="e">
        <f t="array" ref="E42">E$25*'Assumptions'!H55</f>
      </c>
      <c r="F42" s="3797" t="e">
        <f t="array" ref="F42">F$25*'Assumptions'!I55</f>
      </c>
      <c r="G42" s="3797" t="e">
        <f t="array" ref="G42">G$25*'Assumptions'!J55</f>
      </c>
      <c r="H42" s="3797" t="e">
        <f t="array" ref="H42">H$25*'Assumptions'!K55</f>
      </c>
      <c r="I42" s="3797" t="e">
        <f t="array" ref="I42">I$25*'Assumptions'!L55</f>
      </c>
      <c r="J42" s="3797" t="e">
        <f t="array" ref="J42">J$25*'Assumptions'!M55</f>
      </c>
      <c r="K42" s="3797" t="e">
        <f t="array" ref="K42">K$25*'Assumptions'!N55</f>
      </c>
      <c r="L42" s="3797" t="e">
        <f t="array" ref="L42">L$25*'Assumptions'!O55</f>
      </c>
      <c r="M42" s="26" t="n"/>
      <c r="N42" s="26" t="n"/>
      <c r="O42" s="1672" t="n"/>
      <c r="P42" s="1666" t="n"/>
      <c r="Q42" s="1666" t="n"/>
      <c r="R42" s="1666" t="n"/>
      <c r="S42" s="1666" t="n"/>
      <c r="T42" s="1666" t="n"/>
      <c r="U42" s="1666" t="n"/>
      <c r="V42" s="1666" t="n"/>
      <c r="W42" s="1666" t="n"/>
      <c r="X42" s="1667" t="n"/>
    </row>
    <row r="43" s="3154" customFormat="1" ht="13.5" customHeight="1">
      <c r="A43" s="557" t="inlineStr">
        <is>
          <t xml:space="preserve">Total Undistributed Exp</t>
        </is>
      </c>
      <c r="B43" s="18" t="n"/>
      <c r="C43" s="3798" t="e">
        <f t="array" ref="C43">SUBTOTAL(9,C37:C42)</f>
      </c>
      <c r="D43" s="3798" t="e">
        <f t="array" ref="D43">SUBTOTAL(9,D37:D42)</f>
      </c>
      <c r="E43" s="3798" t="e">
        <f t="array" ref="E43">SUBTOTAL(9,E37:E42)</f>
      </c>
      <c r="F43" s="3798" t="e">
        <f t="array" ref="F43">SUBTOTAL(9,F37:F42)</f>
      </c>
      <c r="G43" s="3798" t="e">
        <f t="array" ref="G43">SUBTOTAL(9,G37:G42)</f>
      </c>
      <c r="H43" s="3798" t="e">
        <f t="array" ref="H43">SUBTOTAL(9,H37:H42)</f>
      </c>
      <c r="I43" s="3798" t="e">
        <f t="array" ref="I43">SUBTOTAL(9,I37:I42)</f>
      </c>
      <c r="J43" s="3798" t="e">
        <f t="array" ref="J43">SUBTOTAL(9,J37:J42)</f>
      </c>
      <c r="K43" s="3798" t="e">
        <f t="array" ref="K43">SUBTOTAL(9,K37:K42)</f>
      </c>
      <c r="L43" s="3798" t="e">
        <f t="array" ref="L43">SUBTOTAL(9,L37:L42)</f>
      </c>
      <c r="M43" s="26" t="n"/>
      <c r="N43" s="26" t="n"/>
      <c r="O43" s="1672" t="n">
        <v>38</v>
      </c>
      <c r="P43" s="1666" t="n"/>
      <c r="Q43" s="1666" t="n"/>
      <c r="R43" s="1666" t="n"/>
      <c r="S43" s="1666" t="n"/>
      <c r="T43" s="1666" t="n"/>
      <c r="U43" s="1666" t="n"/>
      <c r="V43" s="1666" t="n"/>
      <c r="W43" s="1666" t="n"/>
      <c r="X43" s="1667" t="n"/>
    </row>
    <row r="44" s="3154" customFormat="1" ht="8" customHeight="1">
      <c r="A44" s="627" t="n"/>
      <c r="B44" s="26" t="n"/>
      <c r="C44" s="424" t="n"/>
      <c r="D44" s="424" t="n"/>
      <c r="E44" s="424" t="n"/>
      <c r="F44" s="424" t="n"/>
      <c r="G44" s="424" t="n"/>
      <c r="H44" s="424" t="n"/>
      <c r="I44" s="424" t="n"/>
      <c r="J44" s="424" t="n"/>
      <c r="K44" s="424" t="n"/>
      <c r="L44" s="424" t="n"/>
      <c r="M44" s="26" t="n"/>
      <c r="N44" s="26" t="n"/>
      <c r="O44" s="1666" t="n"/>
      <c r="P44" s="1666" t="n"/>
      <c r="Q44" s="1666" t="n"/>
      <c r="R44" s="1672" t="n"/>
      <c r="S44" s="1672" t="n"/>
      <c r="T44" s="1666" t="n"/>
      <c r="U44" s="1666" t="n"/>
      <c r="V44" s="1666" t="n"/>
      <c r="W44" s="1666" t="n"/>
      <c r="X44" s="1667" t="n"/>
    </row>
    <row r="45" s="3154" customFormat="1" ht="14.25" customHeight="1">
      <c r="A45" s="1693" t="inlineStr">
        <is>
          <t xml:space="preserve">MANAGEMENT FEES</t>
        </is>
      </c>
      <c r="B45" s="1694" t="n"/>
      <c r="C45" s="3800" t="n"/>
      <c r="D45" s="3800" t="n"/>
      <c r="E45" s="3801" t="e">
        <f t="array" ref="E45">E43/E10</f>
      </c>
      <c r="F45" s="3800" t="n"/>
      <c r="G45" s="3800" t="n"/>
      <c r="H45" s="3800" t="n"/>
      <c r="I45" s="3800" t="n"/>
      <c r="J45" s="3800" t="n"/>
      <c r="K45" s="3800" t="n"/>
      <c r="L45" s="3800" t="n"/>
      <c r="M45" s="3802" t="n"/>
      <c r="N45" s="26" t="n"/>
      <c r="O45" s="1666" t="n"/>
      <c r="P45" s="1666" t="n"/>
      <c r="Q45" s="1666" t="n"/>
      <c r="R45" s="1666" t="n"/>
      <c r="S45" s="1666" t="n"/>
      <c r="T45" s="1666" t="n"/>
      <c r="U45" s="1666" t="n"/>
      <c r="V45" s="1666" t="n"/>
      <c r="W45" s="1666" t="n"/>
      <c r="X45" s="1667" t="n"/>
    </row>
    <row r="46" s="3154" customFormat="1" ht="13.5" customHeight="1">
      <c r="A46" s="1682" t="str">
        <f t="array" ref="A46">'Assumptions'!A58</f>
        <v>Management Fee</v>
      </c>
      <c r="B46" s="1683" t="str">
        <f t="array" ref="B46">IF('Assumptions'!E58="","",'Assumptions'!E58)</f>
      </c>
      <c r="C46" s="3795" t="e">
        <f t="array" ref="C46">C$25*'Assumptions'!F58</f>
      </c>
      <c r="D46" s="3795" t="e">
        <f t="array" ref="D46">D$25*'Assumptions'!G58</f>
      </c>
      <c r="E46" s="3795" t="e">
        <f t="array" ref="E46">E$25*'Assumptions'!H58</f>
      </c>
      <c r="F46" s="3795" t="e">
        <f t="array" ref="F46">F$25*'Assumptions'!I58</f>
      </c>
      <c r="G46" s="3795" t="e">
        <f t="array" ref="G46">G$25*'Assumptions'!J58</f>
      </c>
      <c r="H46" s="3795" t="e">
        <f t="array" ref="H46">H$25*'Assumptions'!K58</f>
      </c>
      <c r="I46" s="3795" t="e">
        <f t="array" ref="I46">I$25*'Assumptions'!L58</f>
      </c>
      <c r="J46" s="3795" t="e">
        <f t="array" ref="J46">J$25*'Assumptions'!M58</f>
      </c>
      <c r="K46" s="3795" t="e">
        <f t="array" ref="K46">K$25*'Assumptions'!N58</f>
      </c>
      <c r="L46" s="3795" t="e">
        <f t="array" ref="L46">L$25*'Assumptions'!O58</f>
      </c>
      <c r="M46" s="26" t="n"/>
      <c r="N46" s="26" t="n"/>
      <c r="O46" s="1672" t="n"/>
      <c r="P46" s="1666" t="n"/>
      <c r="Q46" s="1666" t="n"/>
      <c r="R46" s="1666" t="n"/>
      <c r="S46" s="1666" t="n"/>
      <c r="T46" s="1666" t="n"/>
      <c r="U46" s="1666" t="n"/>
      <c r="V46" s="1666" t="n"/>
      <c r="W46" s="1666" t="n"/>
      <c r="X46" s="1667" t="n"/>
    </row>
    <row r="47" s="3154" customFormat="1" ht="13.5" customHeight="1">
      <c r="A47" s="580" t="str">
        <f t="array" ref="A47">'Assumptions'!A59</f>
        <v>Accounting Fees</v>
      </c>
      <c r="B47" s="1686" t="str">
        <f t="array" ref="B47">IF('Assumptions'!E59="","",'Assumptions'!E59)</f>
      </c>
      <c r="C47" s="3797" t="e">
        <f t="array" ref="C47">C$25*'Assumptions'!F59</f>
      </c>
      <c r="D47" s="3797" t="e">
        <f t="array" ref="D47">D$25*'Assumptions'!G59</f>
      </c>
      <c r="E47" s="3797" t="e">
        <f t="array" ref="E47">E$25*'Assumptions'!H59</f>
      </c>
      <c r="F47" s="3797" t="e">
        <f t="array" ref="F47">F$25*'Assumptions'!I59</f>
      </c>
      <c r="G47" s="3797" t="e">
        <f t="array" ref="G47">G$25*'Assumptions'!J59</f>
      </c>
      <c r="H47" s="3797" t="e">
        <f t="array" ref="H47">H$25*'Assumptions'!K59</f>
      </c>
      <c r="I47" s="3797" t="e">
        <f t="array" ref="I47">I$25*'Assumptions'!L59</f>
      </c>
      <c r="J47" s="3797" t="e">
        <f t="array" ref="J47">J$25*'Assumptions'!M59</f>
      </c>
      <c r="K47" s="3797" t="e">
        <f t="array" ref="K47">K$25*'Assumptions'!N59</f>
      </c>
      <c r="L47" s="3797" t="e">
        <f t="array" ref="L47">L$25*'Assumptions'!O59</f>
      </c>
      <c r="M47" s="26" t="n"/>
      <c r="N47" s="26" t="n"/>
      <c r="O47" s="1672" t="n"/>
      <c r="P47" s="1666" t="n"/>
      <c r="Q47" s="1666" t="n"/>
      <c r="R47" s="1666" t="n"/>
      <c r="S47" s="1666" t="n"/>
      <c r="T47" s="1666" t="n"/>
      <c r="U47" s="1666" t="n"/>
      <c r="V47" s="1666" t="n"/>
      <c r="W47" s="1666" t="n"/>
      <c r="X47" s="1667" t="n"/>
    </row>
    <row r="48" s="3154" customFormat="1" ht="13.5" customHeight="1">
      <c r="A48" s="557" t="inlineStr">
        <is>
          <t xml:space="preserve">Total Management Fees</t>
        </is>
      </c>
      <c r="B48" s="18" t="n"/>
      <c r="C48" s="3798" t="e">
        <f t="array" ref="C48">SUM(C46:C47)</f>
      </c>
      <c r="D48" s="3798" t="e">
        <f t="array" ref="D48">SUM(D46:D47)</f>
      </c>
      <c r="E48" s="3798" t="e">
        <f t="array" ref="E48">SUM(E46:E47)</f>
      </c>
      <c r="F48" s="3798" t="e">
        <f t="array" ref="F48">SUM(F46:F47)</f>
      </c>
      <c r="G48" s="3798" t="e">
        <f t="array" ref="G48">SUM(G46:G47)</f>
      </c>
      <c r="H48" s="3798" t="e">
        <f t="array" ref="H48">SUM(H46:H47)</f>
      </c>
      <c r="I48" s="3798" t="e">
        <f t="array" ref="I48">SUM(I46:I47)</f>
      </c>
      <c r="J48" s="3798" t="e">
        <f t="array" ref="J48">SUM(J46:J47)</f>
      </c>
      <c r="K48" s="3798" t="e">
        <f t="array" ref="K48">SUM(K46:K47)</f>
      </c>
      <c r="L48" s="3798" t="e">
        <f t="array" ref="L48">SUM(L46:L47)</f>
      </c>
      <c r="M48" s="26" t="n"/>
      <c r="N48" s="26" t="n"/>
      <c r="O48" s="1672" t="n">
        <v>43</v>
      </c>
      <c r="P48" s="1666" t="n"/>
      <c r="Q48" s="1666" t="n"/>
      <c r="R48" s="1666" t="n"/>
      <c r="S48" s="1666" t="n"/>
      <c r="T48" s="1666" t="n"/>
      <c r="U48" s="1666" t="n"/>
      <c r="V48" s="1666" t="n"/>
      <c r="W48" s="1666" t="n"/>
      <c r="X48" s="1667" t="n"/>
    </row>
    <row r="49" s="3154" customFormat="1" ht="8" customHeight="1">
      <c r="A49" s="627" t="n"/>
      <c r="B49" s="26" t="n"/>
      <c r="C49" s="424" t="n"/>
      <c r="D49" s="424" t="n"/>
      <c r="E49" s="424" t="n"/>
      <c r="F49" s="424" t="n"/>
      <c r="G49" s="424" t="n"/>
      <c r="H49" s="424" t="n"/>
      <c r="I49" s="424" t="n"/>
      <c r="J49" s="424" t="n"/>
      <c r="K49" s="424" t="n"/>
      <c r="L49" s="424" t="n"/>
      <c r="M49" s="26" t="n"/>
      <c r="N49" s="26" t="n"/>
      <c r="O49" s="1666" t="n"/>
      <c r="P49" s="1666" t="n"/>
      <c r="Q49" s="1666" t="n"/>
      <c r="R49" s="1672" t="n"/>
      <c r="S49" s="1672" t="n"/>
      <c r="T49" s="1666" t="n"/>
      <c r="U49" s="1666" t="n"/>
      <c r="V49" s="1666" t="n"/>
      <c r="W49" s="1666" t="n"/>
      <c r="X49" s="1667" t="n"/>
    </row>
    <row r="50" s="3154" customFormat="1" ht="14.25" customHeight="1">
      <c r="A50" s="1691" t="inlineStr">
        <is>
          <t xml:space="preserve">GROSS OPERATING PROFIT</t>
        </is>
      </c>
      <c r="B50" s="16" t="n"/>
      <c r="C50" s="3797" t="e">
        <f t="array" ref="C50">C34-C43-C48</f>
      </c>
      <c r="D50" s="3797" t="e">
        <f t="array" ref="D50">D34-D43-D48</f>
      </c>
      <c r="E50" s="3797" t="e">
        <f t="array" ref="E50">E34-E43-E48</f>
      </c>
      <c r="F50" s="3797" t="e">
        <f t="array" ref="F50">F34-F43-F48</f>
      </c>
      <c r="G50" s="3797" t="e">
        <f t="array" ref="G50">G34-G43-G48</f>
      </c>
      <c r="H50" s="3797" t="e">
        <f t="array" ref="H50">H34-H43-H48</f>
      </c>
      <c r="I50" s="3797" t="e">
        <f t="array" ref="I50">I34-I43-I48</f>
      </c>
      <c r="J50" s="3797" t="e">
        <f t="array" ref="J50">J34-J43-J48</f>
      </c>
      <c r="K50" s="3797" t="e">
        <f t="array" ref="K50">K34-K43-K48</f>
      </c>
      <c r="L50" s="3797" t="e">
        <f t="array" ref="L50">L34-L43-L48</f>
      </c>
      <c r="M50" s="3802" t="n"/>
      <c r="N50" s="26" t="n"/>
      <c r="O50" s="1672" t="n">
        <v>45</v>
      </c>
      <c r="P50" s="1666" t="n"/>
      <c r="Q50" s="1666" t="n"/>
      <c r="R50" s="1666" t="n"/>
      <c r="S50" s="1666" t="n"/>
      <c r="T50" s="1666" t="n"/>
      <c r="U50" s="1666" t="n"/>
      <c r="V50" s="1666" t="n"/>
      <c r="W50" s="1666" t="n"/>
      <c r="X50" s="1667" t="n"/>
    </row>
    <row r="51" s="3154" customFormat="1" ht="8" customHeight="1">
      <c r="A51" s="443" t="n"/>
      <c r="B51" s="158" t="n"/>
      <c r="C51" s="1692" t="n"/>
      <c r="D51" s="1692" t="n"/>
      <c r="E51" s="1692" t="n"/>
      <c r="F51" s="1692" t="n"/>
      <c r="G51" s="1692" t="n"/>
      <c r="H51" s="1692" t="n"/>
      <c r="I51" s="1692" t="n"/>
      <c r="J51" s="1692" t="n"/>
      <c r="K51" s="1692" t="n"/>
      <c r="L51" s="1692" t="n"/>
      <c r="M51" s="26" t="n"/>
      <c r="N51" s="26" t="n"/>
      <c r="O51" s="1666" t="n"/>
      <c r="P51" s="1666" t="n"/>
      <c r="Q51" s="1666" t="n"/>
      <c r="R51" s="1672" t="n"/>
      <c r="S51" s="1672" t="n"/>
      <c r="T51" s="1666" t="n"/>
      <c r="U51" s="1666" t="n"/>
      <c r="V51" s="1666" t="n"/>
      <c r="W51" s="1666" t="n"/>
      <c r="X51" s="1667" t="n"/>
    </row>
    <row r="52" s="3154" customFormat="1" ht="14.25" customHeight="1">
      <c r="A52" s="1678" t="inlineStr">
        <is>
          <t xml:space="preserve">FIXED EXPENSES</t>
        </is>
      </c>
      <c r="B52" s="1689" t="n"/>
      <c r="C52" s="1680" t="e">
        <f t="array" ref="C52">C$6</f>
      </c>
      <c r="D52" s="1680" t="e">
        <f t="array" ref="D52">D$6</f>
      </c>
      <c r="E52" s="1680" t="e">
        <f t="array" ref="E52">E$6</f>
      </c>
      <c r="F52" s="1680" t="e">
        <f t="array" ref="F52">F$6</f>
      </c>
      <c r="G52" s="1680" t="e">
        <f t="array" ref="G52">G$6</f>
      </c>
      <c r="H52" s="1680" t="e">
        <f t="array" ref="H52">H$6</f>
      </c>
      <c r="I52" s="1680" t="e">
        <f t="array" ref="I52">I$6</f>
      </c>
      <c r="J52" s="1680" t="e">
        <f t="array" ref="J52">J$6</f>
      </c>
      <c r="K52" s="1680" t="e">
        <f t="array" ref="K52">K$6</f>
      </c>
      <c r="L52" s="1680" t="e">
        <f t="array" ref="L52">L$6</f>
      </c>
      <c r="M52" s="3802" t="n"/>
      <c r="N52" s="26" t="n"/>
      <c r="O52" s="1672" t="n"/>
      <c r="P52" s="1666" t="n"/>
      <c r="Q52" s="1666" t="n"/>
      <c r="R52" s="1666" t="n"/>
      <c r="S52" s="1666" t="n"/>
      <c r="T52" s="1666" t="n"/>
      <c r="U52" s="1666" t="n"/>
      <c r="V52" s="1666" t="n"/>
      <c r="W52" s="1666" t="n"/>
      <c r="X52" s="1667" t="n"/>
    </row>
    <row r="53" s="3154" customFormat="1" ht="13.5" customHeight="1">
      <c r="A53" s="1682" t="str">
        <f t="array" ref="A53">'Assumptions'!A62</f>
        <v>RE Taxes</v>
      </c>
      <c r="B53" s="3799" t="n">
        <f t="array" ref="B53">IF('Assumptions'!E62="","",'Assumptions'!E62)</f>
        <v>5</v>
      </c>
      <c r="C53" s="3795" t="n">
        <f t="array" ref="C53">'Assumptions'!F62</f>
        <v>74898</v>
      </c>
      <c r="D53" s="3795" t="n">
        <f t="array" ref="D53">C53*(1+'Assumptions'!G62)</f>
        <v>82387.8</v>
      </c>
      <c r="E53" s="3795" t="n">
        <f t="array" ref="E53">D53*(1+'Assumptions'!H62)</f>
        <v>84859.43400000001</v>
      </c>
      <c r="F53" s="3795" t="n">
        <f t="array" ref="F53">E53*(1+'Assumptions'!I62)</f>
        <v>86556.62268000001</v>
      </c>
      <c r="G53" s="3795" t="n">
        <f t="array" ref="G53">F53*(1+'Assumptions'!J62)</f>
        <v>88287.75513360002</v>
      </c>
      <c r="H53" s="3795" t="n">
        <f t="array" ref="H53">G53*(1+'Assumptions'!K62)</f>
        <v>90053.51023627202</v>
      </c>
      <c r="I53" s="3795" t="n">
        <f t="array" ref="I53">H53*(1+'Assumptions'!L62)</f>
        <v>91854.58044099747</v>
      </c>
      <c r="J53" s="3795" t="n">
        <f t="array" ref="J53">I53*(1+'Assumptions'!M62)</f>
        <v>93691.67204981741</v>
      </c>
      <c r="K53" s="3795" t="n">
        <f t="array" ref="K53">J53*(1+'Assumptions'!N62)</f>
        <v>95565.50549081375</v>
      </c>
      <c r="L53" s="3795" t="n">
        <f t="array" ref="L53">K53*(1+'Assumptions'!O62)</f>
        <v>97476.81560063003</v>
      </c>
      <c r="M53" s="26" t="n"/>
      <c r="N53" s="26" t="n"/>
      <c r="O53" s="1672" t="n"/>
      <c r="P53" s="1666" t="n"/>
      <c r="Q53" s="1666" t="n"/>
      <c r="R53" s="1666" t="n"/>
      <c r="S53" s="1666" t="n"/>
      <c r="T53" s="1666" t="n"/>
      <c r="U53" s="1666" t="n"/>
      <c r="V53" s="1666" t="n"/>
      <c r="W53" s="1666" t="n"/>
      <c r="X53" s="1667" t="n"/>
    </row>
    <row r="54" s="3154" customFormat="1" ht="13.5" customHeight="1">
      <c r="A54" s="580" t="str">
        <f t="array" ref="A54">'Assumptions'!A63</f>
        <v>Leases/HOA Fees</v>
      </c>
      <c r="B54" s="3796" t="n">
        <f t="array" ref="B54">IF('Assumptions'!E63="","",'Assumptions'!E63)</f>
        <v>6</v>
      </c>
      <c r="C54" s="3305" t="n">
        <f t="array" ref="C54">'Assumptions'!F63</f>
        <v>0</v>
      </c>
      <c r="D54" s="3357" t="n">
        <f t="array" ref="D54">C54*(1+'Assumptions'!$G$63)</f>
        <v>0</v>
      </c>
      <c r="E54" s="3357" t="n">
        <f t="array" ref="E54">D54*(1+'Assumptions'!$H$63)</f>
        <v>0</v>
      </c>
      <c r="F54" s="3357" t="n">
        <f t="array" ref="F54">E54*(1+'Assumptions'!$I$63)</f>
        <v>0</v>
      </c>
      <c r="G54" s="3357" t="n">
        <f t="array" ref="G54">F54*(1+'Assumptions'!$J$63)</f>
        <v>0</v>
      </c>
      <c r="H54" s="3357" t="n">
        <f t="array" ref="H54">G54*(1+'Assumptions'!$K$63)</f>
        <v>0</v>
      </c>
      <c r="I54" s="3357" t="n">
        <f t="array" ref="I54">H54*(1+'Assumptions'!$L$63)</f>
        <v>0</v>
      </c>
      <c r="J54" s="3357" t="n">
        <f t="array" ref="J54">I54*(1+'Assumptions'!$M$63)</f>
        <v>0</v>
      </c>
      <c r="K54" s="3357" t="n">
        <f t="array" ref="K54">J54*(1+'Assumptions'!$N$63)</f>
        <v>0</v>
      </c>
      <c r="L54" s="3357" t="n">
        <f t="array" ref="L54">K54*(1+'Assumptions'!$O$63)</f>
        <v>0</v>
      </c>
      <c r="M54" s="26" t="n"/>
      <c r="N54" s="26" t="n"/>
      <c r="O54" s="1672" t="n"/>
      <c r="P54" s="1666" t="n"/>
      <c r="Q54" s="1666" t="n"/>
      <c r="R54" s="1666" t="n"/>
      <c r="S54" s="1666" t="n"/>
      <c r="T54" s="1666" t="n"/>
      <c r="U54" s="1666" t="n"/>
      <c r="V54" s="1666" t="n"/>
      <c r="W54" s="1666" t="n"/>
      <c r="X54" s="1667" t="n"/>
    </row>
    <row r="55" s="3154" customFormat="1" ht="13.5" customHeight="1">
      <c r="A55" s="580" t="str">
        <f t="array" ref="A55">'Assumptions'!A64</f>
        <v>Insurance</v>
      </c>
      <c r="B55" s="1686" t="str">
        <f t="array" ref="B55">IF('Assumptions'!E64="","",'Assumptions'!E64)</f>
      </c>
      <c r="C55" s="3305" t="n">
        <f t="array" ref="C55">'Assumptions'!F64</f>
        <v>51100</v>
      </c>
      <c r="D55" s="3357" t="n">
        <f t="array" ref="D55">C55*(1+'Assumptions'!$G$64)</f>
        <v>52122</v>
      </c>
      <c r="E55" s="3357" t="n">
        <f t="array" ref="E55">D55*(1+'Assumptions'!$H$64)</f>
        <v>53164.44</v>
      </c>
      <c r="F55" s="3357" t="n">
        <f t="array" ref="F55">E55*(1+'Assumptions'!$I$64)</f>
        <v>54227.728800000004</v>
      </c>
      <c r="G55" s="3357" t="n">
        <f t="array" ref="G55">F55*(1+'Assumptions'!$J$64)</f>
        <v>55312.28337600001</v>
      </c>
      <c r="H55" s="3357" t="n">
        <f t="array" ref="H55">G55*(1+'Assumptions'!$J$64)</f>
        <v>56418.52904352001</v>
      </c>
      <c r="I55" s="3357" t="n">
        <f t="array" ref="I55">D55*(1+'Assumptions'!$J$64)</f>
        <v>53164.44</v>
      </c>
      <c r="J55" s="3357" t="n">
        <f t="array" ref="J55">E55*(1+'Assumptions'!$J$64)</f>
        <v>54227.728800000004</v>
      </c>
      <c r="K55" s="3357" t="n">
        <f t="array" ref="K55">F55*(1+'Assumptions'!$J$64)</f>
        <v>55312.28337600001</v>
      </c>
      <c r="L55" s="3357" t="n">
        <f t="array" ref="L55">G55*(1+'Assumptions'!$J$64)</f>
        <v>56418.52904352001</v>
      </c>
      <c r="M55" s="26" t="n"/>
      <c r="N55" s="26" t="n"/>
      <c r="O55" s="1672" t="n"/>
      <c r="P55" s="1666" t="n"/>
      <c r="Q55" s="1666" t="n"/>
      <c r="R55" s="1666" t="n"/>
      <c r="S55" s="1666" t="n"/>
      <c r="T55" s="1666" t="n"/>
      <c r="U55" s="1666" t="n"/>
      <c r="V55" s="1666" t="n"/>
      <c r="W55" s="1666" t="n"/>
      <c r="X55" s="1667" t="n"/>
    </row>
    <row r="56" s="3154" customFormat="1" ht="13.5" customHeight="1">
      <c r="A56" s="580" t="str">
        <f t="array" ref="A56">'Assumptions'!A65</f>
        <v>Reserves for Replacement</v>
      </c>
      <c r="B56" s="1686" t="str">
        <f t="array" ref="B56">IF('Assumptions'!E65="","",'Assumptions'!E65)</f>
      </c>
      <c r="C56" s="3797" t="e">
        <f t="array" ref="C56">'Assumptions'!F$65*C25</f>
      </c>
      <c r="D56" s="3797" t="e">
        <f t="array" ref="D56">'Assumptions'!G$65*D25</f>
      </c>
      <c r="E56" s="3797" t="e">
        <f t="array" ref="E56">'Assumptions'!H$65*E25</f>
      </c>
      <c r="F56" s="3797" t="e">
        <f t="array" ref="F56">'Assumptions'!I$65*F25</f>
      </c>
      <c r="G56" s="3797" t="e">
        <f t="array" ref="G56">'Assumptions'!J$65*G25</f>
      </c>
      <c r="H56" s="3797" t="e">
        <f t="array" ref="H56">'Assumptions'!K$65*H25</f>
      </c>
      <c r="I56" s="3797" t="e">
        <f t="array" ref="I56">'Assumptions'!L$65*I25</f>
      </c>
      <c r="J56" s="3797" t="e">
        <f t="array" ref="J56">'Assumptions'!M$65*J25</f>
      </c>
      <c r="K56" s="3797" t="e">
        <f t="array" ref="K56">'Assumptions'!N$65*K25</f>
      </c>
      <c r="L56" s="3797" t="e">
        <f t="array" ref="L56">'Assumptions'!O$65*L25</f>
      </c>
      <c r="M56" s="26" t="n"/>
      <c r="N56" s="26" t="n"/>
      <c r="O56" s="1672" t="n"/>
      <c r="P56" s="1666" t="n"/>
      <c r="Q56" s="1666" t="n"/>
      <c r="R56" s="1666" t="n"/>
      <c r="S56" s="1666" t="n"/>
      <c r="T56" s="1666" t="n"/>
      <c r="U56" s="1666" t="n"/>
      <c r="V56" s="1666" t="n"/>
      <c r="W56" s="1666" t="n"/>
      <c r="X56" s="1667" t="n"/>
    </row>
    <row r="57" s="3154" customFormat="1" ht="13.5" customHeight="1">
      <c r="A57" s="557" t="inlineStr">
        <is>
          <t xml:space="preserve">Total Fixed Exp</t>
        </is>
      </c>
      <c r="B57" s="18" t="n"/>
      <c r="C57" s="3798" t="e">
        <f t="array" ref="C57">SUBTOTAL(9,C53:C56)</f>
      </c>
      <c r="D57" s="3798" t="e">
        <f t="array" ref="D57">SUBTOTAL(9,D53:D56)</f>
      </c>
      <c r="E57" s="3798" t="e">
        <f t="array" ref="E57">SUBTOTAL(9,E53:E56)</f>
      </c>
      <c r="F57" s="3798" t="e">
        <f t="array" ref="F57">SUBTOTAL(9,F53:F56)</f>
      </c>
      <c r="G57" s="3798" t="e">
        <f t="array" ref="G57">SUBTOTAL(9,G53:G56)</f>
      </c>
      <c r="H57" s="3798" t="e">
        <f t="array" ref="H57">SUBTOTAL(9,H53:H56)</f>
      </c>
      <c r="I57" s="3798" t="e">
        <f t="array" ref="I57">SUBTOTAL(9,I53:I56)</f>
      </c>
      <c r="J57" s="3798" t="e">
        <f t="array" ref="J57">SUBTOTAL(9,J53:J56)</f>
      </c>
      <c r="K57" s="3798" t="e">
        <f t="array" ref="K57">SUBTOTAL(9,K53:K56)</f>
      </c>
      <c r="L57" s="3798" t="e">
        <f t="array" ref="L57">SUBTOTAL(9,L53:L56)</f>
      </c>
      <c r="M57" s="26" t="n"/>
      <c r="N57" s="26" t="n"/>
      <c r="O57" s="1672" t="n">
        <v>52</v>
      </c>
      <c r="P57" s="1666" t="n"/>
      <c r="Q57" s="1666" t="n"/>
      <c r="R57" s="1666" t="n"/>
      <c r="S57" s="1666" t="n"/>
      <c r="T57" s="1666" t="n"/>
      <c r="U57" s="1666" t="n"/>
      <c r="V57" s="1666" t="n"/>
      <c r="W57" s="1666" t="n"/>
      <c r="X57" s="1667" t="n"/>
    </row>
    <row r="58" s="3154" customFormat="1" ht="8" customHeight="1">
      <c r="A58" s="627" t="n"/>
      <c r="B58" s="26" t="n"/>
      <c r="C58" s="424" t="n"/>
      <c r="D58" s="424" t="n"/>
      <c r="E58" s="424" t="n"/>
      <c r="F58" s="424" t="n"/>
      <c r="G58" s="424" t="n"/>
      <c r="H58" s="424" t="n"/>
      <c r="I58" s="424" t="n"/>
      <c r="J58" s="424" t="n"/>
      <c r="K58" s="424" t="n"/>
      <c r="L58" s="424" t="n"/>
      <c r="M58" s="26" t="n"/>
      <c r="N58" s="26" t="n"/>
      <c r="O58" s="1666" t="n"/>
      <c r="P58" s="1666" t="n"/>
      <c r="Q58" s="1666" t="n"/>
      <c r="R58" s="1672" t="n"/>
      <c r="S58" s="1672" t="n"/>
      <c r="T58" s="1666" t="n"/>
      <c r="U58" s="1666" t="n"/>
      <c r="V58" s="1666" t="n"/>
      <c r="W58" s="1666" t="n"/>
      <c r="X58" s="1667" t="n"/>
    </row>
    <row r="59" s="3154" customFormat="1" ht="14.25" customHeight="1">
      <c r="A59" s="1691" t="inlineStr">
        <is>
          <t xml:space="preserve">NET OPERATING INCOME</t>
        </is>
      </c>
      <c r="B59" s="16" t="n"/>
      <c r="C59" s="3797" t="e">
        <f t="array" ref="C59">C50-C57</f>
      </c>
      <c r="D59" s="3797" t="e">
        <f t="array" ref="D59">D50-D57</f>
      </c>
      <c r="E59" s="3797" t="e">
        <f t="array" ref="E59">E50-E57</f>
      </c>
      <c r="F59" s="3797" t="e">
        <f t="array" ref="F59">F50-F57</f>
      </c>
      <c r="G59" s="3797" t="e">
        <f t="array" ref="G59">G50-G57</f>
      </c>
      <c r="H59" s="3797" t="e">
        <f t="array" ref="H59">H50-H57</f>
      </c>
      <c r="I59" s="3797" t="e">
        <f t="array" ref="I59">I50-I57</f>
      </c>
      <c r="J59" s="3797" t="e">
        <f t="array" ref="J59">J50-J57</f>
      </c>
      <c r="K59" s="3797" t="e">
        <f t="array" ref="K59">K50-K57</f>
      </c>
      <c r="L59" s="3797" t="e">
        <f t="array" ref="L59">L50-L57</f>
      </c>
      <c r="M59" s="3802" t="n"/>
      <c r="N59" s="26" t="n"/>
      <c r="O59" s="1672" t="n">
        <v>54</v>
      </c>
      <c r="P59" s="1666" t="n"/>
      <c r="Q59" s="1666" t="n"/>
      <c r="R59" s="1666" t="n"/>
      <c r="S59" s="1666" t="n"/>
      <c r="T59" s="1666" t="n"/>
      <c r="U59" s="1666" t="n"/>
      <c r="V59" s="1666" t="n"/>
      <c r="W59" s="1666" t="n"/>
      <c r="X59" s="1667" t="n"/>
    </row>
    <row r="60" s="3154" customFormat="1" ht="8" customHeight="1">
      <c r="A60" s="443" t="n"/>
      <c r="B60" s="158" t="n"/>
      <c r="C60" s="1692" t="n"/>
      <c r="D60" s="1692" t="n"/>
      <c r="E60" s="1692" t="n"/>
      <c r="F60" s="1692" t="n"/>
      <c r="G60" s="1692" t="n"/>
      <c r="H60" s="1692" t="n"/>
      <c r="I60" s="1692" t="n"/>
      <c r="J60" s="1692" t="n"/>
      <c r="K60" s="1692" t="n"/>
      <c r="L60" s="1692" t="n"/>
      <c r="M60" s="26" t="n"/>
      <c r="N60" s="26" t="n"/>
      <c r="O60" s="1666" t="n"/>
      <c r="P60" s="1666" t="n"/>
      <c r="Q60" s="1666" t="n"/>
      <c r="R60" s="1672" t="n"/>
      <c r="S60" s="1672" t="n"/>
      <c r="T60" s="1666" t="n"/>
      <c r="U60" s="1666" t="n"/>
      <c r="V60" s="1666" t="n"/>
      <c r="W60" s="1666" t="n"/>
      <c r="X60" s="1667" t="n"/>
    </row>
    <row r="61" s="3154" customFormat="1" ht="13.5" customHeight="1">
      <c r="A61" s="627" t="n"/>
      <c r="B61" s="26" t="n"/>
      <c r="C61" s="424" t="n"/>
      <c r="D61" s="424" t="n"/>
      <c r="E61" s="424" t="n"/>
      <c r="F61" s="424" t="n"/>
      <c r="G61" s="424" t="n"/>
      <c r="H61" s="424" t="n"/>
      <c r="I61" s="424" t="n"/>
      <c r="J61" s="424" t="n"/>
      <c r="K61" s="424" t="n"/>
      <c r="L61" s="424" t="n"/>
      <c r="M61" s="26" t="n"/>
      <c r="N61" s="26" t="n"/>
      <c r="O61" s="1666" t="n"/>
      <c r="P61" s="1666" t="n"/>
      <c r="Q61" s="1666" t="n"/>
      <c r="R61" s="1672" t="n"/>
      <c r="S61" s="1672" t="n"/>
      <c r="T61" s="1666" t="n"/>
      <c r="U61" s="1666" t="n"/>
      <c r="V61" s="1666" t="n"/>
      <c r="W61" s="1666" t="n"/>
      <c r="X61" s="1667" t="n"/>
    </row>
    <row r="62" s="3154" customFormat="1" ht="13.5" customHeight="1">
      <c r="A62" s="627" t="n"/>
      <c r="B62" s="26" t="n"/>
      <c r="C62" s="26" t="n"/>
      <c r="D62" s="26" t="n"/>
      <c r="E62" s="26" t="n"/>
      <c r="F62" s="26" t="n"/>
      <c r="G62" s="26" t="n"/>
      <c r="H62" s="26" t="n"/>
      <c r="I62" s="26" t="n"/>
      <c r="J62" s="26" t="n"/>
      <c r="K62" s="26" t="n"/>
      <c r="L62" s="26" t="n"/>
      <c r="M62" s="26" t="n"/>
      <c r="N62" s="26" t="n"/>
      <c r="O62" s="26" t="n"/>
      <c r="P62" s="26" t="n"/>
      <c r="Q62" s="26" t="n"/>
      <c r="R62" s="26" t="n"/>
      <c r="S62" s="26" t="n"/>
      <c r="T62" s="26" t="n"/>
      <c r="U62" s="26" t="n"/>
      <c r="V62" s="26" t="n"/>
      <c r="W62" s="26" t="n"/>
      <c r="X62" s="27" t="n"/>
    </row>
    <row r="63" s="3154" customFormat="1" ht="13.5" customHeight="1">
      <c r="A63" s="571" t="inlineStr">
        <is>
          <t xml:space="preserve">DEPARTMENTAL EXPENSE RATIOS</t>
        </is>
      </c>
      <c r="B63" s="617" t="n"/>
      <c r="C63" s="598" t="e">
        <f t="array" ref="C63">C6</f>
      </c>
      <c r="D63" s="598" t="e">
        <f t="array" ref="D63">D6</f>
      </c>
      <c r="E63" s="598" t="e">
        <f t="array" ref="E63">E6</f>
      </c>
      <c r="F63" s="598" t="e">
        <f t="array" ref="F63">F6</f>
      </c>
      <c r="G63" s="598" t="e">
        <f t="array" ref="G63">G6</f>
      </c>
      <c r="H63" s="598" t="e">
        <f t="array" ref="H63">H6</f>
      </c>
      <c r="I63" s="598" t="e">
        <f t="array" ref="I63">I6</f>
      </c>
      <c r="J63" s="598" t="e">
        <f t="array" ref="J63">J6</f>
      </c>
      <c r="K63" s="598" t="e">
        <f t="array" ref="K63">K6</f>
      </c>
      <c r="L63" s="598" t="e">
        <f t="array" ref="L63">L6</f>
      </c>
      <c r="M63" s="26" t="n"/>
      <c r="N63" s="26" t="n"/>
      <c r="O63" s="1672" t="n">
        <v>58</v>
      </c>
      <c r="P63" s="1666" t="n"/>
      <c r="Q63" s="1666" t="n"/>
      <c r="R63" s="1666" t="n"/>
      <c r="S63" s="1666" t="n"/>
      <c r="T63" s="1666" t="n"/>
      <c r="U63" s="1666" t="n"/>
      <c r="V63" s="1666" t="n"/>
      <c r="W63" s="1666" t="n"/>
      <c r="X63" s="1667" t="n"/>
    </row>
    <row r="64" s="3154" customFormat="1" ht="13.5" customHeight="1">
      <c r="A64" s="580" t="str">
        <f t="array" ref="A64">A28</f>
        <v>Rooms</v>
      </c>
      <c r="B64" s="424" t="n"/>
      <c r="C64" s="3333" t="e">
        <f t="array" ref="C64">C28/C21</f>
      </c>
      <c r="D64" s="3333" t="e">
        <f t="array" ref="D64">D28/D21</f>
      </c>
      <c r="E64" s="3333" t="e">
        <f t="array" ref="E64">E28/E21</f>
      </c>
      <c r="F64" s="3333" t="e">
        <f t="array" ref="F64">F28/F21</f>
      </c>
      <c r="G64" s="3333" t="e">
        <f t="array" ref="G64">G28/G21</f>
      </c>
      <c r="H64" s="3333" t="e">
        <f t="array" ref="H64">H28/H21</f>
      </c>
      <c r="I64" s="3333" t="e">
        <f t="array" ref="I64">I28/I21</f>
      </c>
      <c r="J64" s="3333" t="e">
        <f t="array" ref="J64">J28/J21</f>
      </c>
      <c r="K64" s="3333" t="e">
        <f t="array" ref="K64">K28/K21</f>
      </c>
      <c r="L64" s="3333" t="e">
        <f t="array" ref="L64">L28/L21</f>
      </c>
      <c r="M64" s="26" t="n"/>
      <c r="N64" s="26" t="n"/>
      <c r="O64" s="1666" t="n"/>
      <c r="P64" s="1666" t="n"/>
      <c r="Q64" s="1666" t="n"/>
      <c r="R64" s="1666" t="n"/>
      <c r="S64" s="1666" t="n"/>
      <c r="T64" s="1666" t="n"/>
      <c r="U64" s="1666" t="n"/>
      <c r="V64" s="1666" t="n"/>
      <c r="W64" s="1666" t="n"/>
      <c r="X64" s="1667" t="n"/>
    </row>
    <row r="65" s="3154" customFormat="1" ht="13.5" customHeight="1">
      <c r="A65" s="580" t="str">
        <f t="array" ref="A65">A29</f>
        <v>Food &amp; Beverage</v>
      </c>
      <c r="B65" s="424" t="n"/>
      <c r="C65" s="3333" t="e">
        <f t="array" ref="C65">IF(C22=0,0,C29/C22)</f>
      </c>
      <c r="D65" s="3333" t="e">
        <f t="array" ref="D65">IF(D22=0,0,D29/D22)</f>
      </c>
      <c r="E65" s="3333" t="e">
        <f t="array" ref="E65">IF(E22=0,0,E29/E22)</f>
      </c>
      <c r="F65" s="3333" t="e">
        <f t="array" ref="F65">IF(F22=0,0,F29/F22)</f>
      </c>
      <c r="G65" s="3333" t="e">
        <f t="array" ref="G65">IF(G22=0,0,G29/G22)</f>
      </c>
      <c r="H65" s="3333" t="e">
        <f t="array" ref="H65">IF(H22=0,0,H29/H22)</f>
      </c>
      <c r="I65" s="3333" t="e">
        <f t="array" ref="I65">IF(I22=0,0,I29/I22)</f>
      </c>
      <c r="J65" s="3333" t="e">
        <f t="array" ref="J65">IF(J22=0,0,J29/J22)</f>
      </c>
      <c r="K65" s="3333" t="e">
        <f t="array" ref="K65">IF(K22=0,0,K29/K22)</f>
      </c>
      <c r="L65" s="3333" t="e">
        <f t="array" ref="L65">IF(L22=0,0,L29/L22)</f>
      </c>
      <c r="M65" s="26" t="n"/>
      <c r="N65" s="26" t="n"/>
      <c r="O65" s="1666" t="n"/>
      <c r="P65" s="1666" t="n"/>
      <c r="Q65" s="1666" t="n"/>
      <c r="R65" s="1666" t="n"/>
      <c r="S65" s="1666" t="n"/>
      <c r="T65" s="1666" t="n"/>
      <c r="U65" s="1666" t="n"/>
      <c r="V65" s="1666" t="n"/>
      <c r="W65" s="1666" t="n"/>
      <c r="X65" s="1667" t="n"/>
    </row>
    <row r="66" s="3154" customFormat="1" ht="13.5" customHeight="1">
      <c r="A66" s="580" t="str">
        <f t="array" ref="A66">A30</f>
        <v>Meeting &amp; Banquet</v>
      </c>
      <c r="B66" s="424" t="n"/>
      <c r="C66" s="3333" t="n">
        <f t="array" ref="C66">IF(C23=0,0,C30/C23)</f>
        <v>0</v>
      </c>
      <c r="D66" s="3333" t="n">
        <f t="array" ref="D66">IF(D23=0,0,D30/D23)</f>
        <v>0</v>
      </c>
      <c r="E66" s="3333" t="n">
        <f t="array" ref="E66">IF(E23=0,0,E30/E23)</f>
        <v>0</v>
      </c>
      <c r="F66" s="3333" t="n">
        <f t="array" ref="F66">IF(F23=0,0,F30/F23)</f>
        <v>0</v>
      </c>
      <c r="G66" s="3333" t="n">
        <f t="array" ref="G66">IF(G23=0,0,G30/G23)</f>
        <v>0</v>
      </c>
      <c r="H66" s="3333" t="n">
        <f t="array" ref="H66">IF(H23=0,0,H30/H23)</f>
        <v>0</v>
      </c>
      <c r="I66" s="3333" t="n">
        <f t="array" ref="I66">IF(I23=0,0,I30/I23)</f>
        <v>0</v>
      </c>
      <c r="J66" s="3333" t="n">
        <f t="array" ref="J66">IF(J23=0,0,J30/J23)</f>
        <v>0</v>
      </c>
      <c r="K66" s="3333" t="n">
        <f t="array" ref="K66">IF(K23=0,0,K30/K23)</f>
        <v>0</v>
      </c>
      <c r="L66" s="3333" t="n">
        <f t="array" ref="L66">IF(L23=0,0,L30/L23)</f>
        <v>0</v>
      </c>
      <c r="M66" s="26" t="n"/>
      <c r="N66" s="26" t="n"/>
      <c r="O66" s="1666" t="n"/>
      <c r="P66" s="1666" t="n"/>
      <c r="Q66" s="1666" t="n"/>
      <c r="R66" s="1666" t="n"/>
      <c r="S66" s="1666" t="n"/>
      <c r="T66" s="1666" t="n"/>
      <c r="U66" s="1666" t="n"/>
      <c r="V66" s="1666" t="n"/>
      <c r="W66" s="1666" t="n"/>
      <c r="X66" s="1667" t="n"/>
    </row>
    <row r="67" s="3154" customFormat="1" ht="13.5" customHeight="1">
      <c r="A67" s="580" t="str">
        <f t="array" ref="A67">A31</f>
        <v>Misc Revenue/Vending</v>
      </c>
      <c r="B67" s="424" t="n"/>
      <c r="C67" s="3333" t="e">
        <f t="array" ref="C67">C31/C24</f>
      </c>
      <c r="D67" s="3333" t="e">
        <f t="array" ref="D67">D31/D24</f>
      </c>
      <c r="E67" s="3333" t="e">
        <f t="array" ref="E67">E31/E24</f>
      </c>
      <c r="F67" s="3333" t="e">
        <f t="array" ref="F67">F31/F24</f>
      </c>
      <c r="G67" s="3333" t="e">
        <f t="array" ref="G67">G31/G24</f>
      </c>
      <c r="H67" s="3333" t="e">
        <f t="array" ref="H67">H31/H24</f>
      </c>
      <c r="I67" s="3333" t="e">
        <f t="array" ref="I67">I31/I24</f>
      </c>
      <c r="J67" s="3333" t="e">
        <f t="array" ref="J67">J31/J24</f>
      </c>
      <c r="K67" s="3333" t="e">
        <f t="array" ref="K67">K31/K24</f>
      </c>
      <c r="L67" s="3333" t="e">
        <f t="array" ref="L67">L31/L24</f>
      </c>
      <c r="M67" s="26" t="n"/>
      <c r="N67" s="26" t="n"/>
      <c r="O67" s="1666" t="n"/>
      <c r="P67" s="1666" t="n"/>
      <c r="Q67" s="1666" t="n"/>
      <c r="R67" s="1666" t="n"/>
      <c r="S67" s="1666" t="n"/>
      <c r="T67" s="1666" t="n"/>
      <c r="U67" s="1666" t="n"/>
      <c r="V67" s="1666" t="n"/>
      <c r="W67" s="1666" t="n"/>
      <c r="X67" s="1667" t="n"/>
    </row>
    <row r="68" s="3154" customFormat="1" ht="13.5" customHeight="1">
      <c r="A68" s="1698" t="n"/>
      <c r="B68" s="424" t="n"/>
      <c r="C68" s="26" t="n"/>
      <c r="D68" s="26" t="n"/>
      <c r="E68" s="26" t="n"/>
      <c r="F68" s="26" t="n"/>
      <c r="G68" s="26" t="n"/>
      <c r="H68" s="26" t="n"/>
      <c r="I68" s="26" t="n"/>
      <c r="J68" s="26" t="n"/>
      <c r="K68" s="26" t="n"/>
      <c r="L68" s="26" t="n"/>
      <c r="M68" s="26" t="n"/>
      <c r="N68" s="26" t="n"/>
      <c r="O68" s="1666" t="n"/>
      <c r="P68" s="1666" t="n"/>
      <c r="Q68" s="1666" t="n"/>
      <c r="R68" s="1666" t="n"/>
      <c r="S68" s="1666" t="n"/>
      <c r="T68" s="1666" t="n"/>
      <c r="U68" s="1666" t="n"/>
      <c r="V68" s="1666" t="n"/>
      <c r="W68" s="1666" t="n"/>
      <c r="X68" s="1667" t="n"/>
    </row>
    <row r="69" s="3154" customFormat="1" ht="13.5" customHeight="1">
      <c r="A69" s="571" t="inlineStr">
        <is>
          <t xml:space="preserve">UNDISTRIBUTED EXPENSE RATIOS</t>
        </is>
      </c>
      <c r="B69" s="1699" t="n"/>
      <c r="C69" s="598" t="n"/>
      <c r="D69" s="598" t="n"/>
      <c r="E69" s="598" t="n"/>
      <c r="F69" s="598" t="n"/>
      <c r="G69" s="598" t="n"/>
      <c r="H69" s="598" t="n"/>
      <c r="I69" s="598" t="n"/>
      <c r="J69" s="598" t="n"/>
      <c r="K69" s="598" t="n"/>
      <c r="L69" s="598" t="n"/>
      <c r="M69" s="26" t="n"/>
      <c r="N69" s="26" t="n"/>
      <c r="O69" s="1666" t="n"/>
      <c r="P69" s="1666" t="n"/>
      <c r="Q69" s="1666" t="n"/>
      <c r="R69" s="1666" t="n"/>
      <c r="S69" s="1666" t="n"/>
      <c r="T69" s="1666" t="n"/>
      <c r="U69" s="1666" t="n"/>
      <c r="V69" s="1666" t="n"/>
      <c r="W69" s="1666" t="n"/>
      <c r="X69" s="1667" t="n"/>
    </row>
    <row r="70" s="3154" customFormat="1" ht="13.5" customHeight="1">
      <c r="A70" s="580" t="str">
        <f t="array" ref="A70">A37</f>
        <v>Admin &amp; General</v>
      </c>
      <c r="B70" s="424" t="n"/>
      <c r="C70" s="3333" t="e">
        <f t="array" ref="C70">C37/C$25</f>
      </c>
      <c r="D70" s="3333" t="e">
        <f t="array" ref="D70">D37/D$25</f>
      </c>
      <c r="E70" s="3333" t="e">
        <f t="array" ref="E70">E37/E$25</f>
      </c>
      <c r="F70" s="3333" t="e">
        <f t="array" ref="F70">F37/F$25</f>
      </c>
      <c r="G70" s="3333" t="e">
        <f t="array" ref="G70">G37/G$25</f>
      </c>
      <c r="H70" s="3333" t="e">
        <f t="array" ref="H70">H37/H$25</f>
      </c>
      <c r="I70" s="3333" t="e">
        <f t="array" ref="I70">I37/I$25</f>
      </c>
      <c r="J70" s="3333" t="e">
        <f t="array" ref="J70">J37/J$25</f>
      </c>
      <c r="K70" s="3333" t="e">
        <f t="array" ref="K70">K37/K$25</f>
      </c>
      <c r="L70" s="3333" t="e">
        <f t="array" ref="L70">L37/L$25</f>
      </c>
      <c r="M70" s="26" t="n"/>
      <c r="N70" s="26" t="n"/>
      <c r="O70" s="1666" t="n"/>
      <c r="P70" s="1666" t="n"/>
      <c r="Q70" s="1666" t="n"/>
      <c r="R70" s="1666" t="n"/>
      <c r="S70" s="1666" t="n"/>
      <c r="T70" s="1666" t="n"/>
      <c r="U70" s="1666" t="n"/>
      <c r="V70" s="1666" t="n"/>
      <c r="W70" s="1666" t="n"/>
      <c r="X70" s="1667" t="n"/>
    </row>
    <row r="71" s="3154" customFormat="1" ht="13.5" customHeight="1">
      <c r="A71" s="580" t="str">
        <f t="array" ref="A71">A38</f>
        <v>Advertising &amp; Sales</v>
      </c>
      <c r="B71" s="18" t="n"/>
      <c r="C71" s="3333" t="e">
        <f t="array" ref="C71">C38/C$25</f>
      </c>
      <c r="D71" s="3333" t="e">
        <f t="array" ref="D71">D38/D$25</f>
      </c>
      <c r="E71" s="3333" t="e">
        <f t="array" ref="E71">E38/E$25</f>
      </c>
      <c r="F71" s="3333" t="e">
        <f t="array" ref="F71">F38/F$25</f>
      </c>
      <c r="G71" s="3333" t="e">
        <f t="array" ref="G71">G38/G$25</f>
      </c>
      <c r="H71" s="3333" t="e">
        <f t="array" ref="H71">H38/H$25</f>
      </c>
      <c r="I71" s="3333" t="e">
        <f t="array" ref="I71">I38/I$25</f>
      </c>
      <c r="J71" s="3333" t="e">
        <f t="array" ref="J71">J38/J$25</f>
      </c>
      <c r="K71" s="3333" t="e">
        <f t="array" ref="K71">K38/K$25</f>
      </c>
      <c r="L71" s="3333" t="e">
        <f t="array" ref="L71">L38/L$25</f>
      </c>
      <c r="M71" s="26" t="n"/>
      <c r="N71" s="26" t="n"/>
      <c r="O71" s="1666" t="n"/>
      <c r="P71" s="1666" t="n"/>
      <c r="Q71" s="1666" t="n"/>
      <c r="R71" s="1666" t="n"/>
      <c r="S71" s="1666" t="n"/>
      <c r="T71" s="1666" t="n"/>
      <c r="U71" s="1666" t="n"/>
      <c r="V71" s="1666" t="n"/>
      <c r="W71" s="1666" t="n"/>
      <c r="X71" s="1667" t="n"/>
    </row>
    <row r="72" s="3154" customFormat="1" ht="13.5" customHeight="1">
      <c r="A72" s="580" t="str">
        <f t="array" ref="A72">A39</f>
        <v>Property Ops &amp; Maint</v>
      </c>
      <c r="B72" s="424" t="n"/>
      <c r="C72" s="3333" t="e">
        <f t="array" ref="C72">C39/C$25</f>
      </c>
      <c r="D72" s="3333" t="e">
        <f t="array" ref="D72">D39/D$25</f>
      </c>
      <c r="E72" s="3333" t="e">
        <f t="array" ref="E72">E39/E$25</f>
      </c>
      <c r="F72" s="3333" t="e">
        <f t="array" ref="F72">F39/F$25</f>
      </c>
      <c r="G72" s="3333" t="e">
        <f t="array" ref="G72">G39/G$25</f>
      </c>
      <c r="H72" s="3333" t="e">
        <f t="array" ref="H72">H39/H$25</f>
      </c>
      <c r="I72" s="3333" t="e">
        <f t="array" ref="I72">I39/I$25</f>
      </c>
      <c r="J72" s="3333" t="e">
        <f t="array" ref="J72">J39/J$25</f>
      </c>
      <c r="K72" s="3333" t="e">
        <f t="array" ref="K72">K39/K$25</f>
      </c>
      <c r="L72" s="3333" t="e">
        <f t="array" ref="L72">L39/L$25</f>
      </c>
      <c r="M72" s="26" t="n"/>
      <c r="N72" s="26" t="n"/>
      <c r="O72" s="1666" t="n"/>
      <c r="P72" s="1666" t="n"/>
      <c r="Q72" s="1666" t="n"/>
      <c r="R72" s="1666" t="n"/>
      <c r="S72" s="1666" t="n"/>
      <c r="T72" s="1666" t="n"/>
      <c r="U72" s="1666" t="n"/>
      <c r="V72" s="1666" t="n"/>
      <c r="W72" s="1666" t="n"/>
      <c r="X72" s="1667" t="n"/>
    </row>
    <row r="73" s="3154" customFormat="1" ht="13.5" customHeight="1">
      <c r="A73" s="580" t="str">
        <f t="array" ref="A73">A40</f>
        <v>Info &amp; Telecom Systems</v>
      </c>
      <c r="B73" s="424" t="n"/>
      <c r="C73" s="3333" t="e">
        <f t="array" ref="C73">C40/C$25</f>
      </c>
      <c r="D73" s="3333" t="e">
        <f t="array" ref="D73">D40/D$25</f>
      </c>
      <c r="E73" s="3333" t="e">
        <f t="array" ref="E73">E40/E$25</f>
      </c>
      <c r="F73" s="3333" t="e">
        <f t="array" ref="F73">F40/F$25</f>
      </c>
      <c r="G73" s="3333" t="e">
        <f t="array" ref="G73">G40/G$25</f>
      </c>
      <c r="H73" s="3333" t="e">
        <f t="array" ref="H73">H40/H$25</f>
      </c>
      <c r="I73" s="3333" t="e">
        <f t="array" ref="I73">I40/I$25</f>
      </c>
      <c r="J73" s="3333" t="e">
        <f t="array" ref="J73">J40/J$25</f>
      </c>
      <c r="K73" s="3333" t="e">
        <f t="array" ref="K73">K40/K$25</f>
      </c>
      <c r="L73" s="3333" t="e">
        <f t="array" ref="L73">L40/L$25</f>
      </c>
      <c r="M73" s="26" t="n"/>
      <c r="N73" s="26" t="n"/>
      <c r="O73" s="1666" t="n"/>
      <c r="P73" s="1666" t="n"/>
      <c r="Q73" s="1666" t="n"/>
      <c r="R73" s="1666" t="n"/>
      <c r="S73" s="1666" t="n"/>
      <c r="T73" s="1666" t="n"/>
      <c r="U73" s="1666" t="n"/>
      <c r="V73" s="1666" t="n"/>
      <c r="W73" s="1666" t="n"/>
      <c r="X73" s="1667" t="n"/>
    </row>
    <row r="74" s="3154" customFormat="1" ht="13.5" customHeight="1">
      <c r="A74" s="580" t="str">
        <f t="array" ref="A74">A41</f>
        <v>Utility Cost</v>
      </c>
      <c r="B74" s="424" t="n"/>
      <c r="C74" s="3333" t="e">
        <f t="array" ref="C74">C41/C$25</f>
      </c>
      <c r="D74" s="3333" t="e">
        <f t="array" ref="D74">D41/D$25</f>
      </c>
      <c r="E74" s="3333" t="e">
        <f t="array" ref="E74">E41/E$25</f>
      </c>
      <c r="F74" s="3333" t="e">
        <f t="array" ref="F74">F41/F$25</f>
      </c>
      <c r="G74" s="3333" t="e">
        <f t="array" ref="G74">G41/G$25</f>
      </c>
      <c r="H74" s="3333" t="e">
        <f t="array" ref="H74">H41/H$25</f>
      </c>
      <c r="I74" s="3333" t="e">
        <f t="array" ref="I74">I41/I$25</f>
      </c>
      <c r="J74" s="3333" t="e">
        <f t="array" ref="J74">J41/J$25</f>
      </c>
      <c r="K74" s="3333" t="e">
        <f t="array" ref="K74">K41/K$25</f>
      </c>
      <c r="L74" s="3333" t="e">
        <f t="array" ref="L74">L41/L$25</f>
      </c>
      <c r="M74" s="26" t="n"/>
      <c r="N74" s="26" t="n"/>
      <c r="O74" s="1666" t="n"/>
      <c r="P74" s="1666" t="n"/>
      <c r="Q74" s="1666" t="n"/>
      <c r="R74" s="1666" t="n"/>
      <c r="S74" s="1666" t="n"/>
      <c r="T74" s="1666" t="n"/>
      <c r="U74" s="1666" t="n"/>
      <c r="V74" s="1666" t="n"/>
      <c r="W74" s="1666" t="n"/>
      <c r="X74" s="1667" t="n"/>
    </row>
    <row r="75" s="3154" customFormat="1" ht="13.5" customHeight="1">
      <c r="A75" s="580" t="str">
        <f t="array" ref="A75">A42</f>
        <v>Royalty/Franchise Fee</v>
      </c>
      <c r="B75" s="424" t="n"/>
      <c r="C75" s="3333" t="e">
        <f t="array" ref="C75">C42/C$25</f>
      </c>
      <c r="D75" s="3333" t="e">
        <f t="array" ref="D75">D42/D$25</f>
      </c>
      <c r="E75" s="3333" t="e">
        <f t="array" ref="E75">E42/E$25</f>
      </c>
      <c r="F75" s="3333" t="e">
        <f t="array" ref="F75">F42/F$25</f>
      </c>
      <c r="G75" s="3333" t="e">
        <f t="array" ref="G75">G42/G$25</f>
      </c>
      <c r="H75" s="3333" t="e">
        <f t="array" ref="H75">H42/H$25</f>
      </c>
      <c r="I75" s="3333" t="e">
        <f t="array" ref="I75">I42/I$25</f>
      </c>
      <c r="J75" s="3333" t="e">
        <f t="array" ref="J75">J42/J$25</f>
      </c>
      <c r="K75" s="3333" t="e">
        <f t="array" ref="K75">K42/K$25</f>
      </c>
      <c r="L75" s="3333" t="e">
        <f t="array" ref="L75">L42/L$25</f>
      </c>
      <c r="M75" s="26" t="n"/>
      <c r="N75" s="26" t="n"/>
      <c r="O75" s="1666" t="n"/>
      <c r="P75" s="1666" t="n"/>
      <c r="Q75" s="1666" t="n"/>
      <c r="R75" s="1666" t="n"/>
      <c r="S75" s="1666" t="n"/>
      <c r="T75" s="1666" t="n"/>
      <c r="U75" s="1666" t="n"/>
      <c r="V75" s="1666" t="n"/>
      <c r="W75" s="1666" t="n"/>
      <c r="X75" s="1667" t="n"/>
    </row>
    <row r="76" s="3154" customFormat="1" ht="13.5" customHeight="1">
      <c r="A76" s="627" t="n"/>
      <c r="B76" s="26" t="n"/>
      <c r="C76" s="26" t="n"/>
      <c r="D76" s="26" t="n"/>
      <c r="E76" s="26" t="n"/>
      <c r="F76" s="26" t="n"/>
      <c r="G76" s="26" t="n"/>
      <c r="H76" s="26" t="n"/>
      <c r="I76" s="26" t="n"/>
      <c r="J76" s="26" t="n"/>
      <c r="K76" s="26" t="n"/>
      <c r="L76" s="26" t="n"/>
      <c r="M76" s="26" t="n"/>
      <c r="N76" s="26" t="n"/>
      <c r="O76" s="26" t="n"/>
      <c r="P76" s="26" t="n"/>
      <c r="Q76" s="26" t="n"/>
      <c r="R76" s="26" t="n"/>
      <c r="S76" s="26" t="n"/>
      <c r="T76" s="26" t="n"/>
      <c r="U76" s="26" t="n"/>
      <c r="V76" s="26" t="n"/>
      <c r="W76" s="26" t="n"/>
      <c r="X76" s="27" t="n"/>
    </row>
    <row r="77" s="3154" customFormat="1" ht="13.5" customHeight="1">
      <c r="A77" s="571" t="inlineStr">
        <is>
          <t xml:space="preserve">PRO FORMA NOTES</t>
        </is>
      </c>
      <c r="B77" s="1699" t="n"/>
      <c r="C77" s="598" t="n"/>
      <c r="D77" s="598" t="n"/>
      <c r="E77" s="598" t="n"/>
      <c r="F77" s="598" t="n"/>
      <c r="G77" s="598" t="n"/>
      <c r="H77" s="598" t="n"/>
      <c r="I77" s="598" t="n"/>
      <c r="J77" s="598" t="n"/>
      <c r="K77" s="598" t="n"/>
      <c r="L77" s="598" t="n"/>
      <c r="M77" s="3802" t="n"/>
      <c r="N77" s="26" t="n"/>
      <c r="O77" s="1672" t="n"/>
      <c r="P77" s="1666" t="n"/>
      <c r="Q77" s="1666" t="n"/>
      <c r="R77" s="1666" t="n"/>
      <c r="S77" s="1666" t="n"/>
      <c r="T77" s="1666" t="n"/>
      <c r="U77" s="1666" t="n"/>
      <c r="V77" s="1666" t="n"/>
      <c r="W77" s="1666" t="n"/>
      <c r="X77" s="1667" t="n"/>
    </row>
    <row r="78" s="3154" customFormat="1" ht="13.5" customHeight="1">
      <c r="A78" s="3803" t="str">
        <f t="array" ref="A78">'Assumptions'!A68</f>
        <v>Self-service ops case</v>
      </c>
      <c r="B78" s="26" t="n"/>
      <c r="C78" s="26" t="n"/>
      <c r="D78" s="26" t="n"/>
      <c r="E78" s="26" t="n"/>
      <c r="F78" s="26" t="n"/>
      <c r="G78" s="26" t="n"/>
      <c r="H78" s="26" t="n"/>
      <c r="I78" s="26" t="n"/>
      <c r="J78" s="26" t="n"/>
      <c r="K78" s="26" t="n"/>
      <c r="L78" s="26" t="n"/>
      <c r="M78" s="26" t="n"/>
      <c r="N78" s="26" t="n"/>
      <c r="O78" s="26" t="n"/>
      <c r="P78" s="26" t="n"/>
      <c r="Q78" s="26" t="n"/>
      <c r="R78" s="26" t="n"/>
      <c r="S78" s="26" t="n"/>
      <c r="T78" s="26" t="n"/>
      <c r="U78" s="26" t="n"/>
      <c r="V78" s="26" t="n"/>
      <c r="W78" s="26" t="n"/>
      <c r="X78" s="27" t="n"/>
    </row>
    <row r="79" s="3154" customFormat="1" ht="13.5" customHeight="1">
      <c r="A79" s="3803" t="n">
        <f t="array" ref="A79">'Assumptions'!A69</f>
        <v>0</v>
      </c>
      <c r="B79" s="26" t="n"/>
      <c r="C79" s="26" t="n"/>
      <c r="D79" s="26" t="n"/>
      <c r="E79" s="26" t="n"/>
      <c r="F79" s="26" t="n"/>
      <c r="G79" s="26" t="n"/>
      <c r="H79" s="26" t="n"/>
      <c r="I79" s="26" t="n"/>
      <c r="J79" s="26" t="n"/>
      <c r="K79" s="26" t="n"/>
      <c r="L79" s="26" t="n"/>
      <c r="M79" s="26" t="n"/>
      <c r="N79" s="26" t="n"/>
      <c r="O79" s="26" t="n"/>
      <c r="P79" s="26" t="n"/>
      <c r="Q79" s="26" t="n"/>
      <c r="R79" s="26" t="n"/>
      <c r="S79" s="26" t="n"/>
      <c r="T79" s="26" t="n"/>
      <c r="U79" s="26" t="n"/>
      <c r="V79" s="26" t="n"/>
      <c r="W79" s="26" t="n"/>
      <c r="X79" s="27" t="n"/>
    </row>
    <row r="80" s="3154" customFormat="1" ht="13.5" customHeight="1">
      <c r="A80" s="580" t="str">
        <f t="array" ref="A80">'Assumptions'!A70</f>
        <v>ROOM MIX (100 KEYS / 4-FLOOR PROGRAM)</v>
      </c>
      <c r="B80" s="26" t="n"/>
      <c r="C80" s="26" t="n"/>
      <c r="D80" s="26" t="n"/>
      <c r="E80" s="26" t="n"/>
      <c r="F80" s="26" t="n"/>
      <c r="G80" s="26" t="n"/>
      <c r="H80" s="26" t="n"/>
      <c r="I80" s="26" t="n"/>
      <c r="J80" s="26" t="n"/>
      <c r="K80" s="26" t="n"/>
      <c r="L80" s="26" t="n"/>
      <c r="M80" s="26" t="n"/>
      <c r="N80" s="26" t="n"/>
      <c r="O80" s="26" t="n"/>
      <c r="P80" s="26" t="n"/>
      <c r="Q80" s="26" t="n"/>
      <c r="R80" s="26" t="n"/>
      <c r="S80" s="26" t="n"/>
      <c r="T80" s="26" t="n"/>
      <c r="U80" s="26" t="n"/>
      <c r="V80" s="26" t="n"/>
      <c r="W80" s="26" t="n"/>
      <c r="X80" s="27" t="n"/>
    </row>
    <row r="81" s="3154" customFormat="1" ht="13.5" customHeight="1">
      <c r="A81" s="580" t="str">
        <f t="array" ref="A81">'Assumptions'!A71</f>
        <v>Floor</v>
      </c>
      <c r="B81" s="26" t="n"/>
      <c r="C81" s="26" t="n"/>
      <c r="D81" s="26" t="n"/>
      <c r="E81" s="26" t="n"/>
      <c r="F81" s="26" t="n"/>
      <c r="G81" s="26" t="n"/>
      <c r="H81" s="26" t="n"/>
      <c r="I81" s="26" t="n"/>
      <c r="J81" s="26" t="n"/>
      <c r="K81" s="26" t="n"/>
      <c r="L81" s="26" t="n"/>
      <c r="M81" s="26" t="n"/>
      <c r="N81" s="26" t="n"/>
      <c r="O81" s="26" t="n"/>
      <c r="P81" s="26" t="n"/>
      <c r="Q81" s="26" t="n"/>
      <c r="R81" s="26" t="n"/>
      <c r="S81" s="26" t="n"/>
      <c r="T81" s="26" t="n"/>
      <c r="U81" s="26" t="n"/>
      <c r="V81" s="26" t="n"/>
      <c r="W81" s="26" t="n"/>
      <c r="X81" s="27" t="n"/>
    </row>
    <row r="82" s="3154" customFormat="1" ht="13.5" customHeight="1">
      <c r="A82" s="627" t="n"/>
      <c r="B82" s="26" t="n"/>
      <c r="C82" s="26" t="n"/>
      <c r="D82" s="26" t="n"/>
      <c r="E82" s="26" t="n"/>
      <c r="F82" s="26" t="n"/>
      <c r="G82" s="26" t="n"/>
      <c r="H82" s="26" t="n"/>
      <c r="I82" s="26" t="n"/>
      <c r="J82" s="26" t="n"/>
      <c r="K82" s="26" t="n"/>
      <c r="L82" s="26" t="n"/>
      <c r="M82" s="26" t="n"/>
      <c r="N82" s="26" t="n"/>
      <c r="O82" s="26" t="n"/>
      <c r="P82" s="26" t="n"/>
      <c r="Q82" s="26" t="n"/>
      <c r="R82" s="26" t="n"/>
      <c r="S82" s="26" t="n"/>
      <c r="T82" s="26" t="n"/>
      <c r="U82" s="26" t="n"/>
      <c r="V82" s="26" t="n"/>
      <c r="W82" s="26" t="n"/>
      <c r="X82" s="27" t="n"/>
    </row>
    <row r="83" s="3154" customFormat="1" ht="13.5" customHeight="1">
      <c r="A83" s="1701" t="inlineStr">
        <is>
          <t xml:space="preserve">GENERAL NOTE: Full year financials provided in this pro forma.  Pro rations for stub year or terminal sale year made on Cash Flow tab.</t>
        </is>
      </c>
      <c r="B83" s="634" t="n"/>
      <c r="C83" s="634" t="n"/>
      <c r="D83" s="634" t="n"/>
      <c r="E83" s="634" t="n"/>
      <c r="F83" s="634" t="n"/>
      <c r="G83" s="634" t="n"/>
      <c r="H83" s="634" t="n"/>
      <c r="I83" s="634" t="n"/>
      <c r="J83" s="634" t="n"/>
      <c r="K83" s="634" t="n"/>
      <c r="L83" s="634" t="n"/>
      <c r="M83" s="634" t="n"/>
      <c r="N83" s="634" t="n"/>
      <c r="O83" s="634" t="n"/>
      <c r="P83" s="634" t="n"/>
      <c r="Q83" s="634" t="n"/>
      <c r="R83" s="634" t="n"/>
      <c r="S83" s="634" t="n"/>
      <c r="T83" s="634" t="n"/>
      <c r="U83" s="634" t="n"/>
      <c r="V83" s="634" t="n"/>
      <c r="W83" s="634" t="n"/>
      <c r="X83" s="635" t="n"/>
    </row>
  </sheetData>
  <conditionalFormatting sqref="M45:M45 M50:M50 M52:M52 M59:M59 M77:M77">
    <cfRule type="cellIs" dxfId="0" priority="1" stopIfTrue="1" operator="lessThan">
      <formula>0</formula>
    </cfRule>
  </conditionalFormatting>
  <pageMargins left="0.7" right="0.7" top="0.75" bottom="0.75" header="0.3" footer="0.3"/>
</worksheet>
</file>

<file path=xl/worksheets/sheet9.xml><?xml version="1.0" encoding="utf-8"?>
<worksheet xmlns="http://schemas.openxmlformats.org/spreadsheetml/2006/main">
  <sheetViews>
    <sheetView showGridLines="0" workbookViewId="0"/>
  </sheetViews>
  <sheetFormatPr baseColWidth="8" defaultColWidth="7.5" defaultRowHeight="13.5"/>
  <cols>
    <col min="1" max="1" width="25.351600646972656" style="3136" customWidth="1"/>
    <col min="2" max="2" width="4" style="3136" customWidth="1"/>
    <col min="3" max="3" width="17.5" style="3136" customWidth="1"/>
    <col min="4" max="4" width="7.671879768371582" style="3136" customWidth="1"/>
    <col min="5" max="5" width="8" style="3136" customWidth="1"/>
    <col min="6" max="6" width="18.351600646972656" style="3136" customWidth="1"/>
    <col min="7" max="7" width="7.671879768371582" style="3136" customWidth="1"/>
    <col min="8" max="8" width="8" style="3136" customWidth="1"/>
    <col min="9" max="9" width="17.351600646972656" style="3136" customWidth="1"/>
    <col min="10" max="10" width="7.671879768371582" style="3136" customWidth="1"/>
    <col min="11" max="11" width="8" style="3136" customWidth="1"/>
    <col min="12" max="12" width="15.85159969329834" style="3136" customWidth="1"/>
    <col min="13" max="13" width="7.671879768371582" style="3136" customWidth="1"/>
    <col min="14" max="14" width="8" style="3136" customWidth="1"/>
    <col min="15" max="15" width="15.85159969329834" style="3136" customWidth="1"/>
    <col min="16" max="16" width="7.671879768371582" style="3136" customWidth="1"/>
    <col min="17" max="17" width="8" style="3136" customWidth="1"/>
    <col min="18" max="18" width="15.85159969329834" style="3136" customWidth="1"/>
    <col min="19" max="19" width="7.671879768371582" style="3136" customWidth="1"/>
    <col min="20" max="20" width="8" style="3136" customWidth="1"/>
    <col min="21" max="21" width="15.85159969329834" style="3136" customWidth="1"/>
    <col min="22" max="22" width="7.671879768371582" style="3136" customWidth="1"/>
    <col min="23" max="23" width="8" style="3136" customWidth="1"/>
    <col min="24" max="24" width="15.85159969329834" style="3136" customWidth="1"/>
    <col min="25" max="25" width="7.671879768371582" style="3136" customWidth="1"/>
    <col min="26" max="26" width="8" style="3136" customWidth="1"/>
    <col min="27" max="27" width="17.171899795532227" style="3136" customWidth="1"/>
    <col min="28" max="28" width="7.671879768371582" style="3136" customWidth="1"/>
    <col min="29" max="29" width="8" style="3136" customWidth="1"/>
    <col min="30" max="32" width="7.5" style="3136" hidden="1" customWidth="1"/>
    <col min="33" max="33" width="8.85155963897705" style="3136" customWidth="1"/>
    <col min="34" max="34" width="2.171880006790161" style="3136" customWidth="1"/>
    <col min="35" max="35" width="12.671899795532227" style="3136" customWidth="1"/>
    <col min="36" max="44" width="7.5" style="3136" customWidth="1"/>
    <col min="45" max="16384" width="7.5" style="3136" customWidth="1"/>
  </cols>
  <sheetData>
    <row r="1" s="3154" customFormat="1" ht="19.5" customHeight="1">
      <c r="A1" s="1655" t="inlineStr">
        <is>
          <t xml:space="preserve">STABILIZED OPERATING PRO FORMA</t>
        </is>
      </c>
      <c r="B1" s="1656" t="n"/>
      <c r="C1" s="1657" t="n"/>
      <c r="D1" s="538" t="n"/>
      <c r="E1" s="3804" t="n"/>
      <c r="F1" s="1657" t="n"/>
      <c r="G1" s="538" t="n"/>
      <c r="H1" s="3804" t="n"/>
      <c r="I1" s="1657" t="n"/>
      <c r="J1" s="538" t="n"/>
      <c r="K1" s="3804" t="n"/>
      <c r="L1" s="538" t="n"/>
      <c r="M1" s="538" t="n"/>
      <c r="N1" s="3804" t="n"/>
      <c r="O1" s="1658" t="n"/>
      <c r="P1" s="538" t="n"/>
      <c r="Q1" s="3804" t="n"/>
      <c r="R1" s="1658" t="n"/>
      <c r="S1" s="538" t="n"/>
      <c r="T1" s="3804" t="n"/>
      <c r="U1" s="1658" t="n"/>
      <c r="V1" s="538" t="n"/>
      <c r="W1" s="3804" t="n"/>
      <c r="X1" s="1658" t="n"/>
      <c r="Y1" s="538" t="n"/>
      <c r="Z1" s="3804" t="n"/>
      <c r="AA1" s="1658" t="n"/>
      <c r="AB1" s="538" t="n"/>
      <c r="AC1" s="3804" t="n"/>
      <c r="AD1" s="11" t="n"/>
      <c r="AE1" s="538" t="n"/>
      <c r="AF1" s="3804" t="n"/>
      <c r="AG1" s="11" t="n"/>
      <c r="AH1" s="11" t="n"/>
      <c r="AI1" s="1660" t="inlineStr">
        <is>
          <t xml:space="preserve">&gt;&gt;&gt;&gt;&gt;&gt;&gt;&gt;&gt;&gt;&gt;&gt;&gt;&gt;&gt;&gt;&gt;OUT OF PRINT AREA--&gt;</t>
        </is>
      </c>
      <c r="AJ1" s="11" t="n"/>
      <c r="AK1" s="11" t="n"/>
      <c r="AL1" s="11" t="n"/>
      <c r="AM1" s="11" t="n"/>
      <c r="AN1" s="11" t="n"/>
      <c r="AO1" s="11" t="n"/>
      <c r="AP1" s="11" t="n"/>
      <c r="AQ1" s="11" t="n"/>
      <c r="AR1" s="13" t="n"/>
    </row>
    <row r="2" s="3154" customFormat="1" ht="17.25" customHeight="1">
      <c r="A2" s="157" t="str">
        <f t="array" ref="A2">'Assumptions'!$D$6&amp;" / "&amp;'Assumptions'!$D$7&amp;" / "&amp;'Assumptions'!$D$9</f>
        <v>INDEPENDENT (No Flag) / SLEEP SPACE — 100-KEY PREFAB (50 EP + 50 E) / Austin, TX</v>
      </c>
      <c r="B2" s="1661" t="n"/>
      <c r="C2" s="1662" t="n"/>
      <c r="D2" s="403" t="n"/>
      <c r="E2" s="3805" t="n"/>
      <c r="F2" s="1662" t="n"/>
      <c r="G2" s="403" t="n"/>
      <c r="H2" s="3805" t="n"/>
      <c r="I2" s="1662" t="n"/>
      <c r="J2" s="403" t="n"/>
      <c r="K2" s="3805" t="n"/>
      <c r="L2" s="1662" t="n"/>
      <c r="M2" s="403" t="n"/>
      <c r="N2" s="3805" t="n"/>
      <c r="O2" s="1663" t="n"/>
      <c r="P2" s="403" t="n"/>
      <c r="Q2" s="3805" t="n"/>
      <c r="R2" s="1663" t="n"/>
      <c r="S2" s="403" t="n"/>
      <c r="T2" s="3805" t="n"/>
      <c r="U2" s="1663" t="n"/>
      <c r="V2" s="403" t="n"/>
      <c r="W2" s="3805" t="n"/>
      <c r="X2" s="1663" t="n"/>
      <c r="Y2" s="403" t="n"/>
      <c r="Z2" s="3805" t="n"/>
      <c r="AA2" s="1663" t="n"/>
      <c r="AB2" s="403" t="n"/>
      <c r="AC2" s="3805" t="n"/>
      <c r="AD2" s="1664" t="n"/>
      <c r="AE2" s="403" t="n"/>
      <c r="AF2" s="3805" t="n"/>
      <c r="AG2" s="26" t="n"/>
      <c r="AH2" s="26" t="n"/>
      <c r="AI2" s="26" t="n"/>
      <c r="AJ2" s="26" t="n"/>
      <c r="AK2" s="26" t="n"/>
      <c r="AL2" s="26" t="n"/>
      <c r="AM2" s="26" t="n"/>
      <c r="AN2" s="26" t="n"/>
      <c r="AO2" s="26" t="n"/>
      <c r="AP2" s="26" t="n"/>
      <c r="AQ2" s="26" t="n"/>
      <c r="AR2" s="27" t="n"/>
    </row>
    <row r="3" s="3154" customFormat="1" ht="13.5" customHeight="1">
      <c r="A3" s="580" t="str">
        <f t="array" ref="A3">'Assumptions'!$A$3</f>
        <v>Version Notes: Added 1st round of GPM Costs from Pinkerton and Laws. We anticipate further cost savings. </v>
      </c>
      <c r="B3" s="18" t="n"/>
      <c r="C3" s="18" t="n"/>
      <c r="D3" s="405" t="n"/>
      <c r="E3" s="3333" t="n"/>
      <c r="F3" s="18" t="n"/>
      <c r="G3" s="405" t="n"/>
      <c r="H3" s="3333" t="n"/>
      <c r="I3" s="18" t="n"/>
      <c r="J3" s="405" t="n"/>
      <c r="K3" s="3333" t="n"/>
      <c r="L3" s="18" t="n"/>
      <c r="M3" s="405" t="n"/>
      <c r="N3" s="3333" t="n"/>
      <c r="O3" s="1664" t="n"/>
      <c r="P3" s="405" t="n"/>
      <c r="Q3" s="3333" t="n"/>
      <c r="R3" s="1664" t="n"/>
      <c r="S3" s="405" t="n"/>
      <c r="T3" s="3333" t="n"/>
      <c r="U3" s="1664" t="n"/>
      <c r="V3" s="405" t="n"/>
      <c r="W3" s="3333" t="n"/>
      <c r="X3" s="1664" t="n"/>
      <c r="Y3" s="405" t="n"/>
      <c r="Z3" s="3333" t="n"/>
      <c r="AA3" s="1664" t="n"/>
      <c r="AB3" s="405" t="n"/>
      <c r="AC3" s="3333" t="n"/>
      <c r="AD3" s="1664" t="n"/>
      <c r="AE3" s="405" t="n"/>
      <c r="AF3" s="3333" t="n"/>
      <c r="AG3" s="26" t="n"/>
      <c r="AH3" s="26" t="n"/>
      <c r="AI3" s="26" t="n"/>
      <c r="AJ3" s="26" t="n"/>
      <c r="AK3" s="26" t="n"/>
      <c r="AL3" s="26" t="n"/>
      <c r="AM3" s="26" t="n"/>
      <c r="AN3" s="26" t="n"/>
      <c r="AO3" s="26" t="n"/>
      <c r="AP3" s="26" t="n"/>
      <c r="AQ3" s="26" t="n"/>
      <c r="AR3" s="27" t="n"/>
    </row>
    <row r="4" s="3154" customFormat="1" ht="13.5" customHeight="1">
      <c r="A4" s="549" t="n"/>
      <c r="B4" s="18" t="n"/>
      <c r="C4" s="3790" t="n"/>
      <c r="D4" s="3806" t="n"/>
      <c r="E4" s="26" t="n"/>
      <c r="F4" s="3790" t="n"/>
      <c r="G4" s="3806" t="n"/>
      <c r="H4" s="26" t="n"/>
      <c r="I4" s="3790" t="n"/>
      <c r="J4" s="3806" t="n"/>
      <c r="K4" s="26" t="n"/>
      <c r="L4" s="3790" t="n"/>
      <c r="M4" s="3806" t="n"/>
      <c r="N4" s="26" t="n"/>
      <c r="O4" s="3790" t="n"/>
      <c r="P4" s="3806" t="n"/>
      <c r="Q4" s="26" t="n"/>
      <c r="R4" s="3790" t="n"/>
      <c r="S4" s="3806" t="n"/>
      <c r="T4" s="26" t="n"/>
      <c r="U4" s="3790" t="n"/>
      <c r="V4" s="3806" t="n"/>
      <c r="W4" s="26" t="n"/>
      <c r="X4" s="3790" t="n"/>
      <c r="Y4" s="3806" t="n"/>
      <c r="Z4" s="26" t="n"/>
      <c r="AA4" s="3790" t="n"/>
      <c r="AB4" s="3806" t="n"/>
      <c r="AC4" s="26" t="n"/>
      <c r="AD4" s="3790" t="n"/>
      <c r="AE4" s="3806" t="n"/>
      <c r="AF4" s="26" t="n"/>
      <c r="AG4" s="26" t="n"/>
      <c r="AH4" s="26" t="n"/>
      <c r="AI4" s="26" t="n"/>
      <c r="AJ4" s="26" t="n"/>
      <c r="AK4" s="26" t="n"/>
      <c r="AL4" s="26" t="n"/>
      <c r="AM4" s="26" t="n"/>
      <c r="AN4" s="26" t="n"/>
      <c r="AO4" s="26" t="n"/>
      <c r="AP4" s="26" t="n"/>
      <c r="AQ4" s="26" t="n"/>
      <c r="AR4" s="27" t="n"/>
    </row>
    <row r="5" s="3154" customFormat="1" ht="13.5" hidden="1" customHeight="1">
      <c r="A5" s="604" t="n"/>
      <c r="B5" s="554" t="n"/>
      <c r="C5" s="3807" t="n">
        <v>1</v>
      </c>
      <c r="D5" s="3808" t="n"/>
      <c r="E5" s="3809" t="n"/>
      <c r="F5" s="3810" t="n">
        <f t="array" ref="F5">C5+1</f>
        <v>2</v>
      </c>
      <c r="G5" s="3808" t="n"/>
      <c r="H5" s="3809" t="n"/>
      <c r="I5" s="3810" t="n">
        <f t="array" ref="I5">F5+1</f>
        <v>3</v>
      </c>
      <c r="J5" s="3808" t="n"/>
      <c r="K5" s="3809" t="n"/>
      <c r="L5" s="3810" t="n">
        <f t="array" ref="L5">I5+1</f>
        <v>4</v>
      </c>
      <c r="M5" s="3808" t="n"/>
      <c r="N5" s="3809" t="n"/>
      <c r="O5" s="3810" t="n">
        <f t="array" ref="O5">L5+1</f>
        <v>5</v>
      </c>
      <c r="P5" s="3808" t="n"/>
      <c r="Q5" s="3809" t="n"/>
      <c r="R5" s="3810" t="n">
        <f t="array" ref="R5">O5+1</f>
        <v>6</v>
      </c>
      <c r="S5" s="3808" t="n"/>
      <c r="T5" s="3809" t="n"/>
      <c r="U5" s="3810" t="n">
        <f t="array" ref="U5">R5+1</f>
        <v>7</v>
      </c>
      <c r="V5" s="3808" t="n"/>
      <c r="W5" s="3809" t="n"/>
      <c r="X5" s="3810" t="n">
        <f t="array" ref="X5">U5+1</f>
        <v>8</v>
      </c>
      <c r="Y5" s="3808" t="n"/>
      <c r="Z5" s="3809" t="n"/>
      <c r="AA5" s="3810" t="n">
        <f t="array" ref="AA5">X5+1</f>
        <v>9</v>
      </c>
      <c r="AB5" s="3808" t="n"/>
      <c r="AC5" s="3811" t="n"/>
      <c r="AD5" s="3812" t="n">
        <f t="array" ref="AD5">AA5+1</f>
        <v>10</v>
      </c>
      <c r="AE5" s="3813" t="n"/>
      <c r="AF5" s="3814" t="n"/>
      <c r="AG5" s="1714" t="n"/>
      <c r="AH5" s="26" t="n"/>
      <c r="AI5" s="26" t="n"/>
      <c r="AJ5" s="1666" t="n"/>
      <c r="AK5" s="1666" t="n"/>
      <c r="AL5" s="26" t="n"/>
      <c r="AM5" s="26" t="n"/>
      <c r="AN5" s="1666" t="n"/>
      <c r="AO5" s="1666" t="n"/>
      <c r="AP5" s="1666" t="n"/>
      <c r="AQ5" s="1666" t="n"/>
      <c r="AR5" s="1667" t="n"/>
    </row>
    <row r="6" s="3154" customFormat="1" ht="13.5" customHeight="1">
      <c r="A6" s="604" t="n"/>
      <c r="B6" s="554" t="n"/>
      <c r="C6" s="553" t="inlineStr">
        <is>
          <t xml:space="preserve">STUB YEAR [A]</t>
        </is>
      </c>
      <c r="D6" s="3808" t="n"/>
      <c r="E6" s="3809" t="n"/>
      <c r="F6" s="1715" t="inlineStr">
        <is>
          <t xml:space="preserve">INITIAL STAB YR</t>
        </is>
      </c>
      <c r="G6" s="3808" t="n"/>
      <c r="H6" s="3809" t="n"/>
      <c r="I6" s="1715" t="inlineStr">
        <is>
          <t xml:space="preserve">FIRST STAB YR</t>
        </is>
      </c>
      <c r="J6" s="3808" t="n"/>
      <c r="K6" s="3809" t="n"/>
      <c r="L6" s="1715" t="inlineStr">
        <is>
          <t xml:space="preserve">OPERATING</t>
        </is>
      </c>
      <c r="M6" s="3808" t="n"/>
      <c r="N6" s="3809" t="n"/>
      <c r="O6" s="1715" t="inlineStr">
        <is>
          <t xml:space="preserve">OPERATING</t>
        </is>
      </c>
      <c r="P6" s="3808" t="n"/>
      <c r="Q6" s="3809" t="n"/>
      <c r="R6" s="1715" t="inlineStr">
        <is>
          <t xml:space="preserve">OPERATING</t>
        </is>
      </c>
      <c r="S6" s="3808" t="n"/>
      <c r="T6" s="3809" t="n"/>
      <c r="U6" s="1715" t="inlineStr">
        <is>
          <t xml:space="preserve">OPERATING</t>
        </is>
      </c>
      <c r="V6" s="3808" t="n"/>
      <c r="W6" s="3809" t="n"/>
      <c r="X6" s="1715" t="inlineStr">
        <is>
          <t xml:space="preserve">TERM SALE YR</t>
        </is>
      </c>
      <c r="Y6" s="3808" t="n"/>
      <c r="Z6" s="3809" t="n"/>
      <c r="AA6" s="3810" t="n"/>
      <c r="AB6" s="3808" t="n"/>
      <c r="AC6" s="3811" t="n"/>
      <c r="AD6" s="1716" t="inlineStr">
        <is>
          <t xml:space="preserve">TERM SALE YR</t>
        </is>
      </c>
      <c r="AE6" s="3813" t="n"/>
      <c r="AF6" s="3814" t="n"/>
      <c r="AG6" s="1714" t="n"/>
      <c r="AH6" s="26" t="n"/>
      <c r="AI6" s="26" t="n"/>
      <c r="AJ6" s="1666" t="n"/>
      <c r="AK6" s="1666" t="n"/>
      <c r="AL6" s="26" t="n"/>
      <c r="AM6" s="26" t="n"/>
      <c r="AN6" s="1666" t="n"/>
      <c r="AO6" s="1666" t="n"/>
      <c r="AP6" s="1666" t="n"/>
      <c r="AQ6" s="1666" t="n"/>
      <c r="AR6" s="1667" t="n"/>
    </row>
    <row r="7" s="3154" customFormat="1" ht="23.25" customHeight="1">
      <c r="A7" s="1717" t="inlineStr">
        <is>
          <t xml:space="preserve">ROOM REVENUE DETAILS</t>
        </is>
      </c>
      <c r="B7" s="1718" t="n"/>
      <c r="C7" s="1719" t="e">
        <f t="array" ref="C7">(YEAR('S&amp;U-Timeline'!$D$27))</f>
      </c>
      <c r="D7" s="1720" t="n"/>
      <c r="E7" s="1721" t="n"/>
      <c r="F7" s="1722" t="e">
        <f t="array" ref="F7">C7+1</f>
      </c>
      <c r="G7" s="1720" t="n"/>
      <c r="H7" s="1721" t="n"/>
      <c r="I7" s="1722" t="e">
        <f t="array" ref="I7">F7+1</f>
      </c>
      <c r="J7" s="1720" t="n"/>
      <c r="K7" s="1721" t="n"/>
      <c r="L7" s="1722" t="e">
        <f t="array" ref="L7">I7+1</f>
      </c>
      <c r="M7" s="1720" t="n"/>
      <c r="N7" s="1721" t="n"/>
      <c r="O7" s="1722" t="e">
        <f t="array" ref="O7">L7+1</f>
      </c>
      <c r="P7" s="1720" t="n"/>
      <c r="Q7" s="1721" t="n"/>
      <c r="R7" s="1722" t="e">
        <f t="array" ref="R7">O7+1</f>
      </c>
      <c r="S7" s="1720" t="n"/>
      <c r="T7" s="1721" t="n"/>
      <c r="U7" s="1722" t="e">
        <f t="array" ref="U7">R7+1</f>
      </c>
      <c r="V7" s="1720" t="n"/>
      <c r="W7" s="1721" t="n"/>
      <c r="X7" s="1722" t="e">
        <f t="array" ref="X7">U7+1</f>
      </c>
      <c r="Y7" s="1720" t="n"/>
      <c r="Z7" s="1721" t="n"/>
      <c r="AA7" s="1722" t="e">
        <f t="array" ref="AA7">X7+1</f>
      </c>
      <c r="AB7" s="1720" t="n"/>
      <c r="AC7" s="1723" t="n"/>
      <c r="AD7" s="1724" t="e">
        <f t="array" ref="AD7">AA7+1</f>
      </c>
      <c r="AE7" s="1725" t="n"/>
      <c r="AF7" s="3815" t="n"/>
      <c r="AG7" s="1714" t="n"/>
      <c r="AH7" s="26" t="n"/>
      <c r="AI7" s="1727" t="n"/>
      <c r="AJ7" s="1727" t="n"/>
      <c r="AK7" s="1727" t="n"/>
      <c r="AL7" s="26" t="n"/>
      <c r="AM7" s="26" t="n"/>
      <c r="AN7" s="1727" t="n"/>
      <c r="AO7" s="1727" t="n"/>
      <c r="AP7" s="1727" t="n"/>
      <c r="AQ7" s="1727" t="n"/>
      <c r="AR7" s="1728" t="n"/>
    </row>
    <row r="8" s="3154" customFormat="1" ht="15" hidden="1" customHeight="1">
      <c r="A8" s="1729" t="inlineStr">
        <is>
          <t xml:space="preserve">Days in Year (hide)</t>
        </is>
      </c>
      <c r="B8" s="1730" t="n"/>
      <c r="C8" s="3816" t="e">
        <f t="array" ref="C8">VLOOKUP(C7,$AL$11:$AM$31,2,0)</f>
      </c>
      <c r="D8" s="3816" t="n"/>
      <c r="E8" s="3817" t="n"/>
      <c r="F8" s="3818" t="e">
        <f t="array" ref="F8">VLOOKUP(F7,$AL$11:$AM$31,2,0)</f>
      </c>
      <c r="G8" s="3816" t="n"/>
      <c r="H8" s="3817" t="n"/>
      <c r="I8" s="3818" t="e">
        <f t="array" ref="I8">VLOOKUP(I7,$AL$11:$AM$31,2,0)</f>
      </c>
      <c r="J8" s="3816" t="n"/>
      <c r="K8" s="3817" t="n"/>
      <c r="L8" s="3818" t="e">
        <f t="array" ref="L8">VLOOKUP(L7,$AL$11:$AM$31,2,0)</f>
      </c>
      <c r="M8" s="3816" t="n"/>
      <c r="N8" s="3817" t="n"/>
      <c r="O8" s="3818" t="e">
        <f t="array" ref="O8">VLOOKUP(O7,$AL$11:$AM$31,2,0)</f>
      </c>
      <c r="P8" s="3816" t="n"/>
      <c r="Q8" s="3817" t="n"/>
      <c r="R8" s="3818" t="e">
        <f t="array" ref="R8">VLOOKUP(R7,$AL$11:$AM$31,2,0)</f>
      </c>
      <c r="S8" s="3816" t="n"/>
      <c r="T8" s="3817" t="n"/>
      <c r="U8" s="3818" t="e">
        <f t="array" ref="U8">VLOOKUP(U7,$AL$11:$AM$31,2,0)</f>
      </c>
      <c r="V8" s="3816" t="n"/>
      <c r="W8" s="3817" t="n"/>
      <c r="X8" s="3818" t="e">
        <f t="array" ref="X8">VLOOKUP(X7,$AL$11:$AM$31,2,0)</f>
      </c>
      <c r="Y8" s="3816" t="n"/>
      <c r="Z8" s="3817" t="n"/>
      <c r="AA8" s="3818" t="e">
        <f t="array" ref="AA8">VLOOKUP(AA7,$AL$11:$AM$31,2,0)</f>
      </c>
      <c r="AB8" s="3816" t="n"/>
      <c r="AC8" s="3817" t="n"/>
      <c r="AD8" s="3819" t="e">
        <f t="array" ref="AD8">VLOOKUP(AD7,$AL$11:$AM$31,2,0)</f>
      </c>
      <c r="AE8" s="3819" t="n"/>
      <c r="AF8" s="3820" t="n"/>
      <c r="AG8" s="1736" t="n"/>
      <c r="AH8" s="26" t="n"/>
      <c r="AI8" s="1727" t="n"/>
      <c r="AJ8" s="1727" t="n"/>
      <c r="AK8" s="1727" t="n"/>
      <c r="AL8" s="26" t="n"/>
      <c r="AM8" s="26" t="n"/>
      <c r="AN8" s="1727" t="n"/>
      <c r="AO8" s="1727" t="n"/>
      <c r="AP8" s="1727" t="n"/>
      <c r="AQ8" s="1727" t="n"/>
      <c r="AR8" s="1728" t="n"/>
    </row>
    <row r="9" s="3154" customFormat="1" ht="15" hidden="1" customHeight="1">
      <c r="A9" s="1729" t="inlineStr">
        <is>
          <t xml:space="preserve">Guest Rooms (hide)</t>
        </is>
      </c>
      <c r="B9" s="1730" t="n"/>
      <c r="C9" s="3821" t="n">
        <f t="array" ref="C9">'Project Summary'!I7</f>
        <v>100</v>
      </c>
      <c r="D9" s="1738" t="n"/>
      <c r="E9" s="3817" t="n"/>
      <c r="F9" s="3822" t="n">
        <f t="array" ref="F9">C9</f>
        <v>100</v>
      </c>
      <c r="G9" s="1738" t="n"/>
      <c r="H9" s="3817" t="n"/>
      <c r="I9" s="3822" t="n">
        <f t="array" ref="I9">C9</f>
        <v>100</v>
      </c>
      <c r="J9" s="1738" t="n"/>
      <c r="K9" s="3817" t="n"/>
      <c r="L9" s="3822" t="n">
        <f t="array" ref="L9">C9</f>
        <v>100</v>
      </c>
      <c r="M9" s="1738" t="n"/>
      <c r="N9" s="3817" t="n"/>
      <c r="O9" s="3822" t="n">
        <f t="array" ref="O9">C9</f>
        <v>100</v>
      </c>
      <c r="P9" s="1738" t="n"/>
      <c r="Q9" s="3817" t="n"/>
      <c r="R9" s="3822" t="n">
        <f t="array" ref="R9">F9</f>
        <v>100</v>
      </c>
      <c r="S9" s="1738" t="n"/>
      <c r="T9" s="3817" t="n"/>
      <c r="U9" s="3822" t="n">
        <f t="array" ref="U9">R9</f>
        <v>100</v>
      </c>
      <c r="V9" s="1738" t="n"/>
      <c r="W9" s="3817" t="n"/>
      <c r="X9" s="3822" t="n">
        <f t="array" ref="X9">U9</f>
        <v>100</v>
      </c>
      <c r="Y9" s="1738" t="n"/>
      <c r="Z9" s="3817" t="n"/>
      <c r="AA9" s="3822" t="n">
        <f t="array" ref="AA9">X9</f>
        <v>100</v>
      </c>
      <c r="AB9" s="1738" t="n"/>
      <c r="AC9" s="3817" t="n"/>
      <c r="AD9" s="3823" t="n">
        <f t="array" ref="AD9">AA9</f>
        <v>100</v>
      </c>
      <c r="AE9" s="1741" t="n"/>
      <c r="AF9" s="3820" t="n"/>
      <c r="AG9" s="1736" t="n"/>
      <c r="AH9" s="26" t="n"/>
      <c r="AI9" s="1727" t="n"/>
      <c r="AJ9" s="1727" t="n"/>
      <c r="AK9" s="1727" t="n"/>
      <c r="AL9" s="26" t="n"/>
      <c r="AM9" s="26" t="n"/>
      <c r="AN9" s="1727" t="n"/>
      <c r="AO9" s="1727" t="n"/>
      <c r="AP9" s="1727" t="n"/>
      <c r="AQ9" s="1727" t="n"/>
      <c r="AR9" s="1728" t="n"/>
    </row>
    <row r="10" s="3154" customFormat="1" ht="15" customHeight="1">
      <c r="A10" s="1742" t="inlineStr">
        <is>
          <t xml:space="preserve">Available Rooms</t>
        </is>
      </c>
      <c r="B10" s="1743" t="n"/>
      <c r="C10" s="3824" t="e">
        <f t="array" ref="C10">C9*C8</f>
      </c>
      <c r="D10" s="3825" t="n"/>
      <c r="E10" s="3826" t="n"/>
      <c r="F10" s="3827" t="e">
        <f t="array" ref="F10">F9*F8</f>
      </c>
      <c r="G10" s="3825" t="n"/>
      <c r="H10" s="3826" t="n"/>
      <c r="I10" s="3827" t="e">
        <f t="array" ref="I10">I9*I8</f>
      </c>
      <c r="J10" s="3825" t="n"/>
      <c r="K10" s="3826" t="n"/>
      <c r="L10" s="3827" t="e">
        <f t="array" ref="L10">L9*L8</f>
      </c>
      <c r="M10" s="3825" t="n"/>
      <c r="N10" s="3826" t="n"/>
      <c r="O10" s="3827" t="e">
        <f t="array" ref="O10">O9*O8</f>
      </c>
      <c r="P10" s="3825" t="n"/>
      <c r="Q10" s="3826" t="n"/>
      <c r="R10" s="3827" t="e">
        <f t="array" ref="R10">R9*R8</f>
      </c>
      <c r="S10" s="3825" t="n"/>
      <c r="T10" s="3826" t="n"/>
      <c r="U10" s="3827" t="e">
        <f t="array" ref="U10">U9*U8</f>
      </c>
      <c r="V10" s="3825" t="n"/>
      <c r="W10" s="3826" t="n"/>
      <c r="X10" s="3827" t="e">
        <f t="array" ref="X10">X9*X8</f>
      </c>
      <c r="Y10" s="3825" t="n"/>
      <c r="Z10" s="3826" t="n"/>
      <c r="AA10" s="3827" t="e">
        <f t="array" ref="AA10">AA9*AA8</f>
      </c>
      <c r="AB10" s="3825" t="n"/>
      <c r="AC10" s="3826" t="n"/>
      <c r="AD10" s="3828" t="e">
        <f t="array" ref="AD10">AD9*AD8</f>
      </c>
      <c r="AE10" s="3829" t="n"/>
      <c r="AF10" s="3830" t="n"/>
      <c r="AG10" s="1736" t="n"/>
      <c r="AH10" s="26" t="n"/>
      <c r="AI10" s="1727" t="n"/>
      <c r="AJ10" s="1727" t="n"/>
      <c r="AK10" s="1727" t="n"/>
      <c r="AL10" s="1751" t="inlineStr">
        <is>
          <t xml:space="preserve">LEAP YEAR TABLE</t>
        </is>
      </c>
      <c r="AM10" s="1752" t="n"/>
      <c r="AN10" s="1727" t="n"/>
      <c r="AO10" s="1727" t="n"/>
      <c r="AP10" s="1727" t="n"/>
      <c r="AQ10" s="1727" t="n"/>
      <c r="AR10" s="1728" t="n"/>
    </row>
    <row r="11" s="3154" customFormat="1" ht="15" customHeight="1">
      <c r="A11" s="1742" t="inlineStr">
        <is>
          <t xml:space="preserve">Occupied Rooms</t>
        </is>
      </c>
      <c r="B11" s="1743" t="n"/>
      <c r="C11" s="3824" t="e">
        <f t="array" ref="C11">C8*C9*C12</f>
      </c>
      <c r="D11" s="3825" t="n"/>
      <c r="E11" s="3826" t="n"/>
      <c r="F11" s="3827" t="e">
        <f t="array" ref="F11">F9*F8*F12</f>
      </c>
      <c r="G11" s="3825" t="n"/>
      <c r="H11" s="3826" t="n"/>
      <c r="I11" s="3827" t="e">
        <f t="array" ref="I11">I9*I8*I12</f>
      </c>
      <c r="J11" s="3825" t="n"/>
      <c r="K11" s="3826" t="n"/>
      <c r="L11" s="3827" t="e">
        <f t="array" ref="L11">L9*L8*L12</f>
      </c>
      <c r="M11" s="3825" t="n"/>
      <c r="N11" s="3826" t="n"/>
      <c r="O11" s="3827" t="e">
        <f t="array" ref="O11">O9*O8*O12</f>
      </c>
      <c r="P11" s="3825" t="n"/>
      <c r="Q11" s="3826" t="n"/>
      <c r="R11" s="3827" t="e">
        <f t="array" ref="R11">R9*R8*R12</f>
      </c>
      <c r="S11" s="3825" t="n"/>
      <c r="T11" s="3826" t="n"/>
      <c r="U11" s="3827" t="e">
        <f t="array" ref="U11">U9*U8*U12</f>
      </c>
      <c r="V11" s="3825" t="n"/>
      <c r="W11" s="3826" t="n"/>
      <c r="X11" s="3827" t="e">
        <f t="array" ref="X11">X9*X8*X12</f>
      </c>
      <c r="Y11" s="3825" t="n"/>
      <c r="Z11" s="3826" t="n"/>
      <c r="AA11" s="3827" t="e">
        <f t="array" ref="AA11">AA9*AA8*AA12</f>
      </c>
      <c r="AB11" s="3825" t="n"/>
      <c r="AC11" s="3826" t="n"/>
      <c r="AD11" s="3828" t="e">
        <f t="array" ref="AD11">AD9*AD8*AD12</f>
      </c>
      <c r="AE11" s="3829" t="n"/>
      <c r="AF11" s="3830" t="n"/>
      <c r="AG11" s="1736" t="n"/>
      <c r="AH11" s="26" t="n"/>
      <c r="AI11" s="1727" t="n"/>
      <c r="AJ11" s="1727" t="n"/>
      <c r="AK11" s="1727" t="n"/>
      <c r="AL11" s="1753" t="e">
        <f t="array" ref="AL11">C7</f>
      </c>
      <c r="AM11" s="1753" t="e">
        <f t="array" ref="AM11">IF(OR(MOD(AL11,400)=0,AND(MOD(AL11,4)=0,MOD(AL11,100)&lt;&gt;0)),366,365)</f>
      </c>
      <c r="AN11" s="1727" t="n"/>
      <c r="AO11" s="1727" t="n"/>
      <c r="AP11" s="1727" t="n"/>
      <c r="AQ11" s="1727" t="n"/>
      <c r="AR11" s="1728" t="n"/>
    </row>
    <row r="12" s="3154" customFormat="1" ht="15" customHeight="1">
      <c r="A12" s="1742" t="inlineStr">
        <is>
          <t xml:space="preserve">Occupancy %</t>
        </is>
      </c>
      <c r="B12" s="1743" t="n"/>
      <c r="C12" s="3831" t="n">
        <v>0.65</v>
      </c>
      <c r="D12" s="3831" t="n"/>
      <c r="E12" s="3826" t="n"/>
      <c r="F12" s="3832" t="n">
        <f t="array" ref="F12">'Assumptions'!G30</f>
        <v>0.65</v>
      </c>
      <c r="G12" s="3831" t="n"/>
      <c r="H12" s="3826" t="n"/>
      <c r="I12" s="3832" t="n">
        <f t="array" ref="I12">'Assumptions'!H30</f>
        <v>0.72</v>
      </c>
      <c r="J12" s="3831" t="n"/>
      <c r="K12" s="3826" t="n"/>
      <c r="L12" s="3832" t="n">
        <f t="array" ref="L12">'Assumptions'!I30</f>
        <v>0.72</v>
      </c>
      <c r="M12" s="3831" t="n"/>
      <c r="N12" s="3826" t="n"/>
      <c r="O12" s="3832" t="n">
        <f t="array" ref="O12">'Assumptions'!J30</f>
        <v>0.72</v>
      </c>
      <c r="P12" s="3831" t="n"/>
      <c r="Q12" s="3826" t="n"/>
      <c r="R12" s="3832" t="n">
        <f t="array" ref="R12">'Assumptions'!K30</f>
        <v>0.72</v>
      </c>
      <c r="S12" s="3831" t="n"/>
      <c r="T12" s="3826" t="n"/>
      <c r="U12" s="3832" t="n">
        <f t="array" ref="U12">'Assumptions'!L30</f>
        <v>0.72</v>
      </c>
      <c r="V12" s="3831" t="n"/>
      <c r="W12" s="3826" t="n"/>
      <c r="X12" s="3832" t="n">
        <f t="array" ref="X12">'Assumptions'!M30</f>
        <v>0.72</v>
      </c>
      <c r="Y12" s="3831" t="n"/>
      <c r="Z12" s="3826" t="n"/>
      <c r="AA12" s="3832" t="n">
        <f t="array" ref="AA12">'Assumptions'!N30</f>
        <v>0.72</v>
      </c>
      <c r="AB12" s="3831" t="n"/>
      <c r="AC12" s="3826" t="n"/>
      <c r="AD12" s="3830" t="n">
        <f t="array" ref="AD12">'Assumptions'!O30</f>
        <v>0.72</v>
      </c>
      <c r="AE12" s="3830" t="n"/>
      <c r="AF12" s="3830" t="n"/>
      <c r="AG12" s="1736" t="n"/>
      <c r="AH12" s="26" t="n"/>
      <c r="AI12" s="1727" t="n"/>
      <c r="AJ12" s="1727" t="n"/>
      <c r="AK12" s="1727" t="n"/>
      <c r="AL12" s="1753" t="e">
        <f t="array" ref="AL12">AL11+1</f>
      </c>
      <c r="AM12" s="1753" t="e">
        <f t="array" ref="AM12">IF(OR(MOD(AL12,400)=0,AND(MOD(AL12,4)=0,MOD(AL12,100)&lt;&gt;0)),366,365)</f>
      </c>
      <c r="AN12" s="1727" t="n"/>
      <c r="AO12" s="1727" t="n"/>
      <c r="AP12" s="1727" t="n"/>
      <c r="AQ12" s="1727" t="n"/>
      <c r="AR12" s="1728" t="n"/>
    </row>
    <row r="13" s="3154" customFormat="1" ht="15" customHeight="1">
      <c r="A13" s="1742" t="inlineStr">
        <is>
          <t xml:space="preserve">ADR</t>
        </is>
      </c>
      <c r="B13" s="1743" t="n"/>
      <c r="C13" s="3833" t="n">
        <f t="array" ref="C13">'Assumptions'!F32</f>
        <v>74</v>
      </c>
      <c r="D13" s="3834" t="n"/>
      <c r="E13" s="3826" t="n"/>
      <c r="F13" s="3835" t="n">
        <f t="array" ref="F13">'Assumptions'!G32</f>
        <v>77.7</v>
      </c>
      <c r="G13" s="3834" t="n"/>
      <c r="H13" s="3826" t="n"/>
      <c r="I13" s="3835" t="n">
        <f t="array" ref="I13">'Assumptions'!H32</f>
        <v>80.808</v>
      </c>
      <c r="J13" s="3834" t="n"/>
      <c r="K13" s="3826" t="n"/>
      <c r="L13" s="3835" t="n">
        <f t="array" ref="L13">'Assumptions'!I32</f>
        <v>83.23224</v>
      </c>
      <c r="M13" s="3834" t="n"/>
      <c r="N13" s="3826" t="n"/>
      <c r="O13" s="3835" t="n">
        <f t="array" ref="O13">'Assumptions'!J32</f>
        <v>85.7292072</v>
      </c>
      <c r="P13" s="3834" t="n"/>
      <c r="Q13" s="3826" t="n"/>
      <c r="R13" s="3835" t="n">
        <f t="array" ref="R13">'Assumptions'!K32</f>
        <v>88.30108341600001</v>
      </c>
      <c r="S13" s="3834" t="n"/>
      <c r="T13" s="3826" t="n"/>
      <c r="U13" s="3835" t="n">
        <f t="array" ref="U13">'Assumptions'!L32</f>
        <v>90.95011591848001</v>
      </c>
      <c r="V13" s="3834" t="n"/>
      <c r="W13" s="3826" t="n"/>
      <c r="X13" s="3835" t="n">
        <f t="array" ref="X13">'Assumptions'!M32</f>
        <v>93.6786193960344</v>
      </c>
      <c r="Y13" s="3834" t="n"/>
      <c r="Z13" s="3826" t="n"/>
      <c r="AA13" s="3835" t="n">
        <f t="array" ref="AA13">'Assumptions'!N32</f>
        <v>96.48897797791544</v>
      </c>
      <c r="AB13" s="3834" t="n"/>
      <c r="AC13" s="3826" t="n"/>
      <c r="AD13" s="3836" t="n">
        <f t="array" ref="AD13">'Assumptions'!O32</f>
        <v>99.38364731725291</v>
      </c>
      <c r="AE13" s="3837" t="n"/>
      <c r="AF13" s="3830" t="n"/>
      <c r="AG13" s="1736" t="n"/>
      <c r="AH13" s="26" t="n"/>
      <c r="AI13" s="1727" t="n"/>
      <c r="AJ13" s="1727" t="n"/>
      <c r="AK13" s="1727" t="n"/>
      <c r="AL13" s="1753" t="e">
        <f t="array" ref="AL13">AL12+1</f>
      </c>
      <c r="AM13" s="1753" t="e">
        <f t="array" ref="AM13">IF(OR(MOD(AL13,400)=0,AND(MOD(AL13,4)=0,MOD(AL13,100)&lt;&gt;0)),366,365)</f>
      </c>
      <c r="AN13" s="1727" t="n"/>
      <c r="AO13" s="1727" t="n"/>
      <c r="AP13" s="1727" t="n"/>
      <c r="AQ13" s="1727" t="n"/>
      <c r="AR13" s="1728" t="n"/>
    </row>
    <row r="14" s="3154" customFormat="1" ht="15" customHeight="1">
      <c r="A14" s="1742" t="inlineStr">
        <is>
          <t xml:space="preserve">RevPAR</t>
        </is>
      </c>
      <c r="B14" s="1743" t="n"/>
      <c r="C14" s="3833" t="n">
        <f t="array" ref="C14">C12*C13</f>
        <v>48.1</v>
      </c>
      <c r="D14" s="3834" t="n"/>
      <c r="E14" s="3826" t="n"/>
      <c r="F14" s="3835" t="n">
        <f t="array" ref="F14">F12*F13</f>
        <v>50.505</v>
      </c>
      <c r="G14" s="3834" t="n"/>
      <c r="H14" s="3826" t="n"/>
      <c r="I14" s="3835" t="n">
        <f t="array" ref="I14">I12*I13</f>
        <v>58.181760000000004</v>
      </c>
      <c r="J14" s="3834" t="n"/>
      <c r="K14" s="3826" t="n"/>
      <c r="L14" s="3835" t="n">
        <f t="array" ref="L14">L12*L13</f>
        <v>59.9272128</v>
      </c>
      <c r="M14" s="3834" t="n"/>
      <c r="N14" s="3826" t="n"/>
      <c r="O14" s="3835" t="n">
        <f t="array" ref="O14">O12*O13</f>
        <v>61.725029184</v>
      </c>
      <c r="P14" s="3834" t="n"/>
      <c r="Q14" s="3826" t="n"/>
      <c r="R14" s="3835" t="n">
        <f t="array" ref="R14">R12*R13</f>
        <v>63.576780059520004</v>
      </c>
      <c r="S14" s="3834" t="n"/>
      <c r="T14" s="3826" t="n"/>
      <c r="U14" s="3835" t="n">
        <f t="array" ref="U14">U12*U13</f>
        <v>65.4840834613056</v>
      </c>
      <c r="V14" s="3834" t="n"/>
      <c r="W14" s="3826" t="n"/>
      <c r="X14" s="3835" t="n">
        <f t="array" ref="X14">X12*X13</f>
        <v>67.44860596514476</v>
      </c>
      <c r="Y14" s="3834" t="n"/>
      <c r="Z14" s="3826" t="n"/>
      <c r="AA14" s="3835" t="n">
        <f t="array" ref="AA14">AA12*AA13</f>
        <v>69.47206414409911</v>
      </c>
      <c r="AB14" s="3834" t="n"/>
      <c r="AC14" s="3826" t="n"/>
      <c r="AD14" s="3836" t="n">
        <f t="array" ref="AD14">AD12*AD13</f>
        <v>71.55622606842209</v>
      </c>
      <c r="AE14" s="3837" t="n"/>
      <c r="AF14" s="3830" t="n"/>
      <c r="AG14" s="1736" t="n"/>
      <c r="AH14" s="26" t="n"/>
      <c r="AI14" s="1727" t="n"/>
      <c r="AJ14" s="1761" t="n"/>
      <c r="AK14" s="1727" t="n"/>
      <c r="AL14" s="1753" t="e">
        <f t="array" ref="AL14">AL13+1</f>
      </c>
      <c r="AM14" s="1753" t="e">
        <f t="array" ref="AM14">IF(OR(MOD(AL14,400)=0,AND(MOD(AL14,4)=0,MOD(AL14,100)&lt;&gt;0)),366,365)</f>
      </c>
      <c r="AN14" s="1727" t="n"/>
      <c r="AO14" s="1727" t="n"/>
      <c r="AP14" s="1727" t="n"/>
      <c r="AQ14" s="1727" t="n"/>
      <c r="AR14" s="1728" t="n"/>
    </row>
    <row r="15" s="3154" customFormat="1" ht="15" customHeight="1">
      <c r="A15" s="1742" t="inlineStr">
        <is>
          <t xml:space="preserve">RevPAR Growth</t>
        </is>
      </c>
      <c r="B15" s="1743" t="n"/>
      <c r="C15" s="3838" t="n">
        <v>0</v>
      </c>
      <c r="D15" s="3838" t="n"/>
      <c r="E15" s="3826" t="n"/>
      <c r="F15" s="3832" t="n">
        <f t="array" ref="F15">(F14-C14)/C14</f>
        <v>0.050000000000000024</v>
      </c>
      <c r="G15" s="3838" t="n"/>
      <c r="H15" s="3826" t="n"/>
      <c r="I15" s="3832" t="n">
        <f t="array" ref="I15">(I14-F14)/F14</f>
        <v>0.15200000000000002</v>
      </c>
      <c r="J15" s="3838" t="n"/>
      <c r="K15" s="3826" t="n"/>
      <c r="L15" s="3832" t="n">
        <f t="array" ref="L15">(L14-I14)/I14</f>
        <v>0.02999999999999992</v>
      </c>
      <c r="M15" s="3838" t="n"/>
      <c r="N15" s="3826" t="n"/>
      <c r="O15" s="3832" t="n">
        <f t="array" ref="O15">(O14-L14)/L14</f>
        <v>0.030000000000000013</v>
      </c>
      <c r="P15" s="3838" t="n"/>
      <c r="Q15" s="3826" t="n"/>
      <c r="R15" s="3832" t="n">
        <f t="array" ref="R15">(R14-O14)/O14</f>
        <v>0.030000000000000065</v>
      </c>
      <c r="S15" s="3838" t="n"/>
      <c r="T15" s="3826" t="n"/>
      <c r="U15" s="3832" t="n">
        <f t="array" ref="U15">(U14-R14)/R14</f>
        <v>0.029999999999999957</v>
      </c>
      <c r="V15" s="3838" t="n"/>
      <c r="W15" s="3826" t="n"/>
      <c r="X15" s="3832" t="n">
        <f t="array" ref="X15">(X14-U14)/U14</f>
        <v>0.029999999999999923</v>
      </c>
      <c r="Y15" s="3838" t="n"/>
      <c r="Z15" s="3826" t="n"/>
      <c r="AA15" s="3832" t="n">
        <f t="array" ref="AA15">(AA14-X14)/X14</f>
        <v>0.029999999999999995</v>
      </c>
      <c r="AB15" s="3838" t="n"/>
      <c r="AC15" s="3826" t="n"/>
      <c r="AD15" s="3830" t="n">
        <f t="array" ref="AD15">(AD14-AA14)/AA14</f>
        <v>0.03000000000000016</v>
      </c>
      <c r="AE15" s="3839" t="n"/>
      <c r="AF15" s="3830" t="n"/>
      <c r="AG15" s="1736" t="n"/>
      <c r="AH15" s="26" t="n"/>
      <c r="AI15" s="1727" t="n"/>
      <c r="AJ15" s="1761" t="n"/>
      <c r="AK15" s="1727" t="n"/>
      <c r="AL15" s="1753" t="e">
        <f t="array" ref="AL15">AL14+1</f>
      </c>
      <c r="AM15" s="1753" t="e">
        <f t="array" ref="AM15">IF(OR(MOD(AL15,400)=0,AND(MOD(AL15,4)=0,MOD(AL15,100)&lt;&gt;0)),366,365)</f>
      </c>
      <c r="AN15" s="1727" t="n"/>
      <c r="AO15" s="1727" t="n"/>
      <c r="AP15" s="1727" t="n"/>
      <c r="AQ15" s="1727" t="n"/>
      <c r="AR15" s="1728" t="n"/>
    </row>
    <row r="16" s="3154" customFormat="1" ht="15" customHeight="1">
      <c r="A16" s="1742" t="inlineStr">
        <is>
          <t xml:space="preserve">TRevPAR</t>
        </is>
      </c>
      <c r="B16" s="1743" t="n"/>
      <c r="C16" s="3833" t="e">
        <f t="array" ref="C16">C26/C10</f>
      </c>
      <c r="D16" s="3834" t="n"/>
      <c r="E16" s="3826" t="n"/>
      <c r="F16" s="3835" t="e">
        <f t="array" ref="F16">F26/F10</f>
      </c>
      <c r="G16" s="3834" t="n"/>
      <c r="H16" s="3826" t="n"/>
      <c r="I16" s="3835" t="e">
        <f t="array" ref="I16">I26/I10</f>
      </c>
      <c r="J16" s="3834" t="n"/>
      <c r="K16" s="3826" t="n"/>
      <c r="L16" s="3835" t="e">
        <f t="array" ref="L16">L26/L10</f>
      </c>
      <c r="M16" s="3834" t="n"/>
      <c r="N16" s="3826" t="n"/>
      <c r="O16" s="3835" t="e">
        <f t="array" ref="O16">O26/O10</f>
      </c>
      <c r="P16" s="3834" t="n"/>
      <c r="Q16" s="3826" t="n"/>
      <c r="R16" s="3835" t="e">
        <f t="array" ref="R16">R26/R10</f>
      </c>
      <c r="S16" s="3834" t="n"/>
      <c r="T16" s="3826" t="n"/>
      <c r="U16" s="3835" t="e">
        <f t="array" ref="U16">U26/U10</f>
      </c>
      <c r="V16" s="3834" t="n"/>
      <c r="W16" s="3826" t="n"/>
      <c r="X16" s="3835" t="e">
        <f t="array" ref="X16">X26/X10</f>
      </c>
      <c r="Y16" s="3834" t="n"/>
      <c r="Z16" s="3826" t="n"/>
      <c r="AA16" s="3835" t="e">
        <f t="array" ref="AA16">AA26/AA10</f>
      </c>
      <c r="AB16" s="3834" t="n"/>
      <c r="AC16" s="3826" t="n"/>
      <c r="AD16" s="3836" t="e">
        <f t="array" ref="AD16">AD26/AD10</f>
      </c>
      <c r="AE16" s="3837" t="n"/>
      <c r="AF16" s="3830" t="n"/>
      <c r="AG16" s="1736" t="n"/>
      <c r="AH16" s="26" t="n"/>
      <c r="AI16" s="1727" t="n"/>
      <c r="AJ16" s="1761" t="n"/>
      <c r="AK16" s="1727" t="n"/>
      <c r="AL16" s="1753" t="e">
        <f t="array" ref="AL16">AL15+1</f>
      </c>
      <c r="AM16" s="1753" t="e">
        <f t="array" ref="AM16">IF(OR(MOD(AL16,400)=0,AND(MOD(AL16,4)=0,MOD(AL16,100)&lt;&gt;0)),366,365)</f>
      </c>
      <c r="AN16" s="1727" t="n"/>
      <c r="AO16" s="1727" t="n"/>
      <c r="AP16" s="1727" t="n"/>
      <c r="AQ16" s="1727" t="n"/>
      <c r="AR16" s="1728" t="n"/>
    </row>
    <row r="17" s="3154" customFormat="1" ht="15" customHeight="1">
      <c r="A17" s="1742" t="inlineStr">
        <is>
          <t xml:space="preserve">GOPPAR</t>
        </is>
      </c>
      <c r="B17" s="1743" t="n"/>
      <c r="C17" s="3833" t="e">
        <f t="array" ref="C17">C51/C10</f>
      </c>
      <c r="D17" s="3834" t="n"/>
      <c r="E17" s="3826" t="n"/>
      <c r="F17" s="3835" t="e">
        <f t="array" ref="F17">F51/F10</f>
      </c>
      <c r="G17" s="3834" t="n"/>
      <c r="H17" s="3826" t="n"/>
      <c r="I17" s="3835" t="e">
        <f t="array" ref="I17">I51/I10</f>
      </c>
      <c r="J17" s="3834" t="n"/>
      <c r="K17" s="3826" t="n"/>
      <c r="L17" s="3835" t="e">
        <f t="array" ref="L17">L51/L10</f>
      </c>
      <c r="M17" s="3834" t="n"/>
      <c r="N17" s="3826" t="n"/>
      <c r="O17" s="3835" t="e">
        <f t="array" ref="O17">O51/O10</f>
      </c>
      <c r="P17" s="3834" t="n"/>
      <c r="Q17" s="3826" t="n"/>
      <c r="R17" s="3835" t="e">
        <f t="array" ref="R17">R51/R10</f>
      </c>
      <c r="S17" s="3834" t="n"/>
      <c r="T17" s="3826" t="n"/>
      <c r="U17" s="3835" t="e">
        <f t="array" ref="U17">U51/U10</f>
      </c>
      <c r="V17" s="3834" t="n"/>
      <c r="W17" s="3826" t="n"/>
      <c r="X17" s="3835" t="e">
        <f t="array" ref="X17">X51/X10</f>
      </c>
      <c r="Y17" s="3834" t="n"/>
      <c r="Z17" s="3826" t="n"/>
      <c r="AA17" s="3835" t="e">
        <f t="array" ref="AA17">AA51/AA10</f>
      </c>
      <c r="AB17" s="3834" t="n"/>
      <c r="AC17" s="3826" t="n"/>
      <c r="AD17" s="3836" t="e">
        <f t="array" ref="AD17">AD51/AD10</f>
      </c>
      <c r="AE17" s="3837" t="n"/>
      <c r="AF17" s="3830" t="n"/>
      <c r="AG17" s="1736" t="n"/>
      <c r="AH17" s="26" t="n"/>
      <c r="AI17" s="1727" t="n"/>
      <c r="AJ17" s="1761" t="n"/>
      <c r="AK17" s="1727" t="n"/>
      <c r="AL17" s="1753" t="e">
        <f t="array" ref="AL17">AL16+1</f>
      </c>
      <c r="AM17" s="1753" t="e">
        <f t="array" ref="AM17">IF(OR(MOD(AL17,400)=0,AND(MOD(AL17,4)=0,MOD(AL17,100)&lt;&gt;0)),366,365)</f>
      </c>
      <c r="AN17" s="1727" t="n"/>
      <c r="AO17" s="1727" t="n"/>
      <c r="AP17" s="1727" t="n"/>
      <c r="AQ17" s="1727" t="n"/>
      <c r="AR17" s="1728" t="n"/>
    </row>
    <row r="18" s="3154" customFormat="1" ht="15" customHeight="1">
      <c r="A18" s="1742" t="inlineStr">
        <is>
          <t xml:space="preserve">GOP Margin %</t>
        </is>
      </c>
      <c r="B18" s="1743" t="n"/>
      <c r="C18" s="3831" t="e">
        <f t="array" ref="C18">C51/C26</f>
      </c>
      <c r="D18" s="3831" t="n"/>
      <c r="E18" s="3826" t="n"/>
      <c r="F18" s="3832" t="e">
        <f t="array" ref="F18">F51/F26</f>
      </c>
      <c r="G18" s="3831" t="n"/>
      <c r="H18" s="3826" t="n"/>
      <c r="I18" s="3832" t="e">
        <f t="array" ref="I18">I51/I26</f>
      </c>
      <c r="J18" s="3831" t="n"/>
      <c r="K18" s="3826" t="n"/>
      <c r="L18" s="3832" t="e">
        <f t="array" ref="L18">L51/L26</f>
      </c>
      <c r="M18" s="3831" t="n"/>
      <c r="N18" s="3826" t="n"/>
      <c r="O18" s="3832" t="e">
        <f t="array" ref="O18">O51/O26</f>
      </c>
      <c r="P18" s="3831" t="n"/>
      <c r="Q18" s="3826" t="n"/>
      <c r="R18" s="3832" t="e">
        <f t="array" ref="R18">R51/R26</f>
      </c>
      <c r="S18" s="3831" t="n"/>
      <c r="T18" s="3826" t="n"/>
      <c r="U18" s="3832" t="e">
        <f t="array" ref="U18">U51/U26</f>
      </c>
      <c r="V18" s="3831" t="n"/>
      <c r="W18" s="3826" t="n"/>
      <c r="X18" s="3832" t="e">
        <f t="array" ref="X18">X51/X26</f>
      </c>
      <c r="Y18" s="3831" t="n"/>
      <c r="Z18" s="3826" t="n"/>
      <c r="AA18" s="3832" t="e">
        <f t="array" ref="AA18">AA51/AA26</f>
      </c>
      <c r="AB18" s="3831" t="n"/>
      <c r="AC18" s="3826" t="n"/>
      <c r="AD18" s="3830" t="e">
        <f t="array" ref="AD18">AD51/AD26</f>
      </c>
      <c r="AE18" s="3830" t="n"/>
      <c r="AF18" s="3830" t="n"/>
      <c r="AG18" s="1736" t="n"/>
      <c r="AH18" s="26" t="n"/>
      <c r="AI18" s="1727" t="n"/>
      <c r="AJ18" s="1761" t="n"/>
      <c r="AK18" s="1727" t="n"/>
      <c r="AL18" s="1753" t="e">
        <f t="array" ref="AL18">AL17+1</f>
      </c>
      <c r="AM18" s="1753" t="e">
        <f t="array" ref="AM18">IF(OR(MOD(AL18,400)=0,AND(MOD(AL18,4)=0,MOD(AL18,100)&lt;&gt;0)),366,365)</f>
      </c>
      <c r="AN18" s="1727" t="n"/>
      <c r="AO18" s="1727" t="n"/>
      <c r="AP18" s="1727" t="n"/>
      <c r="AQ18" s="1727" t="n"/>
      <c r="AR18" s="1728" t="n"/>
    </row>
    <row r="19" s="3154" customFormat="1" ht="15" customHeight="1">
      <c r="A19" s="1676" t="inlineStr">
        <is>
          <t xml:space="preserve">NOI Margin %</t>
        </is>
      </c>
      <c r="B19" s="598" t="n"/>
      <c r="C19" s="3831" t="e">
        <f t="array" ref="C19">C60/C26</f>
      </c>
      <c r="D19" s="3831" t="n"/>
      <c r="E19" s="3826" t="n"/>
      <c r="F19" s="3832" t="e">
        <f t="array" ref="F19">F60/F26</f>
      </c>
      <c r="G19" s="3831" t="n"/>
      <c r="H19" s="3826" t="n"/>
      <c r="I19" s="3832" t="e">
        <f t="array" ref="I19">I60/I26</f>
      </c>
      <c r="J19" s="3831" t="n"/>
      <c r="K19" s="3826" t="n"/>
      <c r="L19" s="3832" t="e">
        <f t="array" ref="L19">L60/L26</f>
      </c>
      <c r="M19" s="3831" t="n"/>
      <c r="N19" s="3826" t="n"/>
      <c r="O19" s="3832" t="e">
        <f t="array" ref="O19">O60/O26</f>
      </c>
      <c r="P19" s="3831" t="n"/>
      <c r="Q19" s="3826" t="n"/>
      <c r="R19" s="3832" t="e">
        <f t="array" ref="R19">R60/R26</f>
      </c>
      <c r="S19" s="3831" t="n"/>
      <c r="T19" s="3826" t="n"/>
      <c r="U19" s="3832" t="e">
        <f t="array" ref="U19">U60/U26</f>
      </c>
      <c r="V19" s="3831" t="n"/>
      <c r="W19" s="3826" t="n"/>
      <c r="X19" s="3832" t="e">
        <f t="array" ref="X19">X60/X26</f>
      </c>
      <c r="Y19" s="3831" t="n"/>
      <c r="Z19" s="3826" t="n"/>
      <c r="AA19" s="3832" t="e">
        <f t="array" ref="AA19">AA60/AA26</f>
      </c>
      <c r="AB19" s="3831" t="n"/>
      <c r="AC19" s="3826" t="n"/>
      <c r="AD19" s="3830" t="e">
        <f t="array" ref="AD19">AD60/AD26</f>
      </c>
      <c r="AE19" s="3830" t="n"/>
      <c r="AF19" s="3830" t="n"/>
      <c r="AG19" s="1736" t="n"/>
      <c r="AH19" s="26" t="n"/>
      <c r="AI19" s="1764" t="n"/>
      <c r="AJ19" s="1761" t="n"/>
      <c r="AK19" s="1727" t="n"/>
      <c r="AL19" s="1753" t="e">
        <f t="array" ref="AL19">AL18+1</f>
      </c>
      <c r="AM19" s="1753" t="e">
        <f t="array" ref="AM19">IF(OR(MOD(AL19,400)=0,AND(MOD(AL19,4)=0,MOD(AL19,100)&lt;&gt;0)),366,365)</f>
      </c>
      <c r="AN19" s="1727" t="n"/>
      <c r="AO19" s="1727" t="n"/>
      <c r="AP19" s="1727" t="n"/>
      <c r="AQ19" s="1727" t="n"/>
      <c r="AR19" s="1728" t="n"/>
    </row>
    <row r="20" s="3154" customFormat="1" ht="8" customHeight="1">
      <c r="A20" s="627" t="n"/>
      <c r="B20" s="26" t="n"/>
      <c r="C20" s="1765" t="n"/>
      <c r="D20" s="1738" t="n"/>
      <c r="E20" s="3817" t="n"/>
      <c r="F20" s="1766" t="n"/>
      <c r="G20" s="1738" t="n"/>
      <c r="H20" s="3817" t="n"/>
      <c r="I20" s="1766" t="n"/>
      <c r="J20" s="1738" t="n"/>
      <c r="K20" s="3817" t="n"/>
      <c r="L20" s="1766" t="n"/>
      <c r="M20" s="1738" t="n"/>
      <c r="N20" s="3817" t="n"/>
      <c r="O20" s="1766" t="n"/>
      <c r="P20" s="1738" t="n"/>
      <c r="Q20" s="3817" t="n"/>
      <c r="R20" s="1766" t="n"/>
      <c r="S20" s="1738" t="n"/>
      <c r="T20" s="3817" t="n"/>
      <c r="U20" s="1766" t="n"/>
      <c r="V20" s="1738" t="n"/>
      <c r="W20" s="3817" t="n"/>
      <c r="X20" s="1766" t="n"/>
      <c r="Y20" s="1738" t="n"/>
      <c r="Z20" s="3817" t="n"/>
      <c r="AA20" s="1766" t="n"/>
      <c r="AB20" s="1738" t="n"/>
      <c r="AC20" s="3817" t="n"/>
      <c r="AD20" s="1767" t="n"/>
      <c r="AE20" s="1741" t="n"/>
      <c r="AF20" s="3820" t="n"/>
      <c r="AG20" s="1736" t="n"/>
      <c r="AH20" s="26" t="n"/>
      <c r="AI20" s="1727" t="n"/>
      <c r="AJ20" s="1727" t="n"/>
      <c r="AK20" s="1727" t="n"/>
      <c r="AL20" s="1753" t="e">
        <f t="array" ref="AL20">AL19+1</f>
      </c>
      <c r="AM20" s="1753" t="e">
        <f t="array" ref="AM20">IF(OR(MOD(AL20,400)=0,AND(MOD(AL20,4)=0,MOD(AL20,100)&lt;&gt;0)),366,365)</f>
      </c>
      <c r="AN20" s="1727" t="n"/>
      <c r="AO20" s="1727" t="n"/>
      <c r="AP20" s="1727" t="n"/>
      <c r="AQ20" s="1727" t="n"/>
      <c r="AR20" s="1728" t="n"/>
    </row>
    <row r="21" s="3154" customFormat="1" ht="15.75" customHeight="1">
      <c r="A21" s="1678" t="inlineStr">
        <is>
          <t xml:space="preserve">REVENUE</t>
        </is>
      </c>
      <c r="B21" s="1679" t="inlineStr">
        <is>
          <t xml:space="preserve">Note</t>
        </is>
      </c>
      <c r="C21" s="1768" t="e">
        <f t="array" ref="C21">C$7</f>
      </c>
      <c r="D21" s="1769" t="inlineStr">
        <is>
          <t xml:space="preserve">POR</t>
        </is>
      </c>
      <c r="E21" s="1770" t="inlineStr">
        <is>
          <t xml:space="preserve">% TR</t>
        </is>
      </c>
      <c r="F21" s="1771" t="e">
        <f t="array" ref="F21">F$7</f>
      </c>
      <c r="G21" s="1769" t="inlineStr">
        <is>
          <t xml:space="preserve">POR</t>
        </is>
      </c>
      <c r="H21" s="1770" t="inlineStr">
        <is>
          <t xml:space="preserve">% TR</t>
        </is>
      </c>
      <c r="I21" s="1771" t="e">
        <f t="array" ref="I21">I$7</f>
      </c>
      <c r="J21" s="1769" t="inlineStr">
        <is>
          <t xml:space="preserve">POR</t>
        </is>
      </c>
      <c r="K21" s="1770" t="inlineStr">
        <is>
          <t xml:space="preserve">% TR</t>
        </is>
      </c>
      <c r="L21" s="1771" t="e">
        <f t="array" ref="L21">L$7</f>
      </c>
      <c r="M21" s="1769" t="inlineStr">
        <is>
          <t xml:space="preserve">POR</t>
        </is>
      </c>
      <c r="N21" s="1770" t="inlineStr">
        <is>
          <t xml:space="preserve">% TR</t>
        </is>
      </c>
      <c r="O21" s="1771" t="e">
        <f t="array" ref="O21">O$7</f>
      </c>
      <c r="P21" s="1769" t="inlineStr">
        <is>
          <t xml:space="preserve">POR</t>
        </is>
      </c>
      <c r="Q21" s="1770" t="inlineStr">
        <is>
          <t xml:space="preserve">% TR</t>
        </is>
      </c>
      <c r="R21" s="1771" t="e">
        <f t="array" ref="R21">R$7</f>
      </c>
      <c r="S21" s="1769" t="inlineStr">
        <is>
          <t xml:space="preserve">POR</t>
        </is>
      </c>
      <c r="T21" s="1770" t="inlineStr">
        <is>
          <t xml:space="preserve">% TR</t>
        </is>
      </c>
      <c r="U21" s="1771" t="e">
        <f t="array" ref="U21">U$7</f>
      </c>
      <c r="V21" s="1769" t="inlineStr">
        <is>
          <t xml:space="preserve">POR</t>
        </is>
      </c>
      <c r="W21" s="1770" t="inlineStr">
        <is>
          <t xml:space="preserve">% TR</t>
        </is>
      </c>
      <c r="X21" s="1771" t="e">
        <f t="array" ref="X21">X$7</f>
      </c>
      <c r="Y21" s="1769" t="inlineStr">
        <is>
          <t xml:space="preserve">POR</t>
        </is>
      </c>
      <c r="Z21" s="1770" t="inlineStr">
        <is>
          <t xml:space="preserve">% TR</t>
        </is>
      </c>
      <c r="AA21" s="1771" t="e">
        <f t="array" ref="AA21">AA$7</f>
      </c>
      <c r="AB21" s="1769" t="inlineStr">
        <is>
          <t xml:space="preserve">POR</t>
        </is>
      </c>
      <c r="AC21" s="1770" t="inlineStr">
        <is>
          <t xml:space="preserve">% TR</t>
        </is>
      </c>
      <c r="AD21" s="1772" t="e">
        <f t="array" ref="AD21">AD$7</f>
      </c>
      <c r="AE21" s="1773" t="inlineStr">
        <is>
          <t xml:space="preserve">POR</t>
        </is>
      </c>
      <c r="AF21" s="1773" t="inlineStr">
        <is>
          <t xml:space="preserve">% TR</t>
        </is>
      </c>
      <c r="AG21" s="1736" t="n"/>
      <c r="AH21" s="26" t="n"/>
      <c r="AI21" s="1774" t="inlineStr">
        <is>
          <t xml:space="preserve">ROW REF</t>
        </is>
      </c>
      <c r="AJ21" s="1727" t="n"/>
      <c r="AK21" s="1727" t="n"/>
      <c r="AL21" s="1753" t="e">
        <f t="array" ref="AL21">AL20+1</f>
      </c>
      <c r="AM21" s="1753" t="e">
        <f t="array" ref="AM21">IF(OR(MOD(AL21,400)=0,AND(MOD(AL21,4)=0,MOD(AL21,100)&lt;&gt;0)),366,365)</f>
      </c>
      <c r="AN21" s="1727" t="n"/>
      <c r="AO21" s="1727" t="n"/>
      <c r="AP21" s="1727" t="n"/>
      <c r="AQ21" s="1727" t="n"/>
      <c r="AR21" s="1728" t="n"/>
    </row>
    <row r="22" s="3154" customFormat="1" ht="15" customHeight="1">
      <c r="A22" s="1775" t="str">
        <f t="array" ref="A22">'Assumptions'!A38</f>
        <v>Rooms</v>
      </c>
      <c r="B22" s="1776" t="str">
        <f t="array" ref="B22">IF('Assumptions'!E38="","",'Assumptions'!E38)</f>
      </c>
      <c r="C22" s="3840" t="e">
        <f t="array" ref="C22">C11*C13</f>
      </c>
      <c r="D22" s="1778" t="e">
        <f t="array" ref="D22">C22/C$11</f>
      </c>
      <c r="E22" s="3841" t="e">
        <f t="array" ref="E22">C22/C$26</f>
      </c>
      <c r="F22" s="3842" t="e">
        <f t="array" ref="F22">F11*F13</f>
      </c>
      <c r="G22" s="1778" t="e">
        <f t="array" ref="G22">F22/F$11</f>
      </c>
      <c r="H22" s="3841" t="e">
        <f t="array" ref="H22">F22/F$26</f>
      </c>
      <c r="I22" s="3842" t="e">
        <f t="array" ref="I22">I11*I13</f>
      </c>
      <c r="J22" s="1778" t="e">
        <f t="array" ref="J22">I22/I$11</f>
      </c>
      <c r="K22" s="3841" t="e">
        <f t="array" ref="K22">I22/I$26</f>
      </c>
      <c r="L22" s="3842" t="e">
        <f t="array" ref="L22">L11*L13</f>
      </c>
      <c r="M22" s="1778" t="e">
        <f t="array" ref="M22">L22/L$11</f>
      </c>
      <c r="N22" s="3841" t="e">
        <f t="array" ref="N22">L22/L$26</f>
      </c>
      <c r="O22" s="3842" t="e">
        <f t="array" ref="O22">O11*O13</f>
      </c>
      <c r="P22" s="1778" t="e">
        <f t="array" ref="P22">O22/O$11</f>
      </c>
      <c r="Q22" s="3841" t="e">
        <f t="array" ref="Q22">O22/O$26</f>
      </c>
      <c r="R22" s="3842" t="e">
        <f t="array" ref="R22">R11*R13</f>
      </c>
      <c r="S22" s="1778" t="e">
        <f t="array" ref="S22">R22/R$11</f>
      </c>
      <c r="T22" s="3841" t="e">
        <f t="array" ref="T22">R22/R$26</f>
      </c>
      <c r="U22" s="3842" t="e">
        <f t="array" ref="U22">U11*U13</f>
      </c>
      <c r="V22" s="1778" t="e">
        <f t="array" ref="V22">U22/U$11</f>
      </c>
      <c r="W22" s="3841" t="e">
        <f t="array" ref="W22">U22/U$26</f>
      </c>
      <c r="X22" s="3842" t="e">
        <f t="array" ref="X22">X11*X13</f>
      </c>
      <c r="Y22" s="1778" t="e">
        <f t="array" ref="Y22">X22/X$11</f>
      </c>
      <c r="Z22" s="3841" t="e">
        <f t="array" ref="Z22">X22/X$26</f>
      </c>
      <c r="AA22" s="3842" t="e">
        <f t="array" ref="AA22">AA11*AA13</f>
      </c>
      <c r="AB22" s="1778" t="e">
        <f t="array" ref="AB22">AA22/AA$11</f>
      </c>
      <c r="AC22" s="3841" t="e">
        <f t="array" ref="AC22">AA22/AA$26</f>
      </c>
      <c r="AD22" s="3843" t="e">
        <f t="array" ref="AD22">AD11*AD13</f>
      </c>
      <c r="AE22" s="1782" t="e">
        <f t="array" ref="AE22">AD22/AD$11</f>
      </c>
      <c r="AF22" s="3844" t="e">
        <f t="array" ref="AF22">AD22/AD$26</f>
      </c>
      <c r="AG22" s="1736" t="n"/>
      <c r="AH22" s="26" t="n"/>
      <c r="AI22" s="26" t="n"/>
      <c r="AJ22" s="1727" t="n"/>
      <c r="AK22" s="1727" t="n"/>
      <c r="AL22" s="1753" t="e">
        <f t="array" ref="AL22">AL21+1</f>
      </c>
      <c r="AM22" s="1753" t="e">
        <f t="array" ref="AM22">IF(OR(MOD(AL22,400)=0,AND(MOD(AL22,4)=0,MOD(AL22,100)&lt;&gt;0)),366,365)</f>
      </c>
      <c r="AN22" s="1727" t="n"/>
      <c r="AO22" s="1727" t="n"/>
      <c r="AP22" s="1727" t="n"/>
      <c r="AQ22" s="1727" t="n"/>
      <c r="AR22" s="1728" t="n"/>
    </row>
    <row r="23" s="3154" customFormat="1" ht="15" customHeight="1">
      <c r="A23" s="1784" t="str">
        <f t="array" ref="A23">'Assumptions'!A39</f>
        <v>Food &amp; Beverage</v>
      </c>
      <c r="B23" s="3845" t="n">
        <f t="array" ref="B23">IF('Assumptions'!E39="","",'Assumptions'!E39)</f>
        <v>1</v>
      </c>
      <c r="C23" s="3846" t="e">
        <f t="array" ref="C23">'Assumptions'!F39*C11</f>
      </c>
      <c r="D23" s="1787" t="e">
        <f t="array" ref="D23">C23/C$11</f>
      </c>
      <c r="E23" s="3817" t="e">
        <f t="array" ref="E23">C23/C$26</f>
      </c>
      <c r="F23" s="3847" t="e">
        <f t="array" ref="F23">C23*(1+'Assumptions'!G39)</f>
      </c>
      <c r="G23" s="1787" t="e">
        <f t="array" ref="G23">F23/F$11</f>
      </c>
      <c r="H23" s="3817" t="e">
        <f t="array" ref="H23">F23/F$26</f>
      </c>
      <c r="I23" s="3847" t="e">
        <f t="array" ref="I23">F23*(1+'Assumptions'!H39)</f>
      </c>
      <c r="J23" s="1787" t="e">
        <f t="array" ref="J23">I23/I$11</f>
      </c>
      <c r="K23" s="3817" t="e">
        <f t="array" ref="K23">I23/I$26</f>
      </c>
      <c r="L23" s="3847" t="e">
        <f t="array" ref="L23">I23*(1+'Assumptions'!I39)</f>
      </c>
      <c r="M23" s="1787" t="e">
        <f t="array" ref="M23">L23/L$11</f>
      </c>
      <c r="N23" s="3817" t="e">
        <f t="array" ref="N23">L23/L$26</f>
      </c>
      <c r="O23" s="3847" t="e">
        <f t="array" ref="O23">L23*(1+'Assumptions'!J39)</f>
      </c>
      <c r="P23" s="1787" t="e">
        <f t="array" ref="P23">O23/O$11</f>
      </c>
      <c r="Q23" s="3817" t="e">
        <f t="array" ref="Q23">O23/O$26</f>
      </c>
      <c r="R23" s="3847" t="e">
        <f t="array" ref="R23">O23*(1+'Assumptions'!K39)</f>
      </c>
      <c r="S23" s="1787" t="e">
        <f t="array" ref="S23">R23/R$11</f>
      </c>
      <c r="T23" s="3817" t="e">
        <f t="array" ref="T23">R23/R$26</f>
      </c>
      <c r="U23" s="3847" t="e">
        <f t="array" ref="U23">R23*(1+'Assumptions'!L39)</f>
      </c>
      <c r="V23" s="1787" t="e">
        <f t="array" ref="V23">U23/U$11</f>
      </c>
      <c r="W23" s="3817" t="e">
        <f t="array" ref="W23">U23/U$26</f>
      </c>
      <c r="X23" s="3847" t="e">
        <f t="array" ref="X23">U23*(1+'Assumptions'!M39)</f>
      </c>
      <c r="Y23" s="1787" t="e">
        <f t="array" ref="Y23">X23/X$11</f>
      </c>
      <c r="Z23" s="3817" t="e">
        <f t="array" ref="Z23">X23/X$26</f>
      </c>
      <c r="AA23" s="3847" t="e">
        <f t="array" ref="AA23">X23*(1+'Assumptions'!N39)</f>
      </c>
      <c r="AB23" s="1787" t="e">
        <f t="array" ref="AB23">AA23/AA$11</f>
      </c>
      <c r="AC23" s="3817" t="e">
        <f t="array" ref="AC23">AA23/AA$26</f>
      </c>
      <c r="AD23" s="3848" t="e">
        <f t="array" ref="AD23">AA23*(1+'Assumptions'!O39)</f>
      </c>
      <c r="AE23" s="1790" t="e">
        <f t="array" ref="AE23">AD23/AD$11</f>
      </c>
      <c r="AF23" s="3820" t="e">
        <f t="array" ref="AF23">AD23/AD$26</f>
      </c>
      <c r="AG23" s="1736" t="n"/>
      <c r="AH23" s="26" t="n"/>
      <c r="AI23" s="1753" t="n"/>
      <c r="AJ23" s="1727" t="n"/>
      <c r="AK23" s="1727" t="n"/>
      <c r="AL23" s="1753" t="e">
        <f t="array" ref="AL23">AL22+1</f>
      </c>
      <c r="AM23" s="1753" t="e">
        <f t="array" ref="AM23">IF(OR(MOD(AL23,400)=0,AND(MOD(AL23,4)=0,MOD(AL23,100)&lt;&gt;0)),366,365)</f>
      </c>
      <c r="AN23" s="1727" t="n"/>
      <c r="AO23" s="1727" t="n"/>
      <c r="AP23" s="1727" t="n"/>
      <c r="AQ23" s="1727" t="n"/>
      <c r="AR23" s="1728" t="n"/>
    </row>
    <row r="24" s="3154" customFormat="1" ht="15" customHeight="1">
      <c r="A24" s="1784" t="str">
        <f t="array" ref="A24">'Assumptions'!A40</f>
        <v>Meeting &amp; Banquet</v>
      </c>
      <c r="B24" s="3845" t="n">
        <f t="array" ref="B24">IF('Assumptions'!E40="","",'Assumptions'!E40)</f>
        <v>2</v>
      </c>
      <c r="C24" s="3846" t="n">
        <f t="array" ref="C24">'Assumptions'!F40</f>
        <v>0</v>
      </c>
      <c r="D24" s="1787" t="e">
        <f t="array" ref="D24">C24/C$11</f>
      </c>
      <c r="E24" s="3817" t="e">
        <f t="array" ref="E24">C24/C$26</f>
      </c>
      <c r="F24" s="3847" t="n">
        <f t="array" ref="F24">C24*(1+'Assumptions'!G40)</f>
        <v>0</v>
      </c>
      <c r="G24" s="1787" t="e">
        <f t="array" ref="G24">F24/F$11</f>
      </c>
      <c r="H24" s="3817" t="e">
        <f t="array" ref="H24">F24/F$26</f>
      </c>
      <c r="I24" s="3847" t="n">
        <f t="array" ref="I24">F24*(1+'Assumptions'!H40)</f>
        <v>0</v>
      </c>
      <c r="J24" s="1787" t="e">
        <f t="array" ref="J24">I24/I$11</f>
      </c>
      <c r="K24" s="3817" t="e">
        <f t="array" ref="K24">I24/I$26</f>
      </c>
      <c r="L24" s="3847" t="n">
        <f t="array" ref="L24">I24*(1+'Assumptions'!I40)</f>
        <v>0</v>
      </c>
      <c r="M24" s="1787" t="e">
        <f t="array" ref="M24">L24/L$11</f>
      </c>
      <c r="N24" s="3817" t="e">
        <f t="array" ref="N24">L24/L$26</f>
      </c>
      <c r="O24" s="3847" t="n">
        <f t="array" ref="O24">L24*(1+'Assumptions'!J40)</f>
        <v>0</v>
      </c>
      <c r="P24" s="1787" t="e">
        <f t="array" ref="P24">O24/O$11</f>
      </c>
      <c r="Q24" s="3817" t="e">
        <f t="array" ref="Q24">O24/O$26</f>
      </c>
      <c r="R24" s="3847" t="n">
        <f t="array" ref="R24">O24*(1+'Assumptions'!K40)</f>
        <v>0</v>
      </c>
      <c r="S24" s="1787" t="e">
        <f t="array" ref="S24">R24/R$11</f>
      </c>
      <c r="T24" s="3817" t="e">
        <f t="array" ref="T24">R24/R$26</f>
      </c>
      <c r="U24" s="3847" t="n">
        <f t="array" ref="U24">R24*(1+'Assumptions'!L40)</f>
        <v>0</v>
      </c>
      <c r="V24" s="1787" t="e">
        <f t="array" ref="V24">U24/U$11</f>
      </c>
      <c r="W24" s="3817" t="e">
        <f t="array" ref="W24">U24/U$26</f>
      </c>
      <c r="X24" s="3847" t="n">
        <f t="array" ref="X24">U24*(1+'Assumptions'!M40)</f>
        <v>0</v>
      </c>
      <c r="Y24" s="1787" t="e">
        <f t="array" ref="Y24">X24/X$11</f>
      </c>
      <c r="Z24" s="3817" t="e">
        <f t="array" ref="Z24">X24/X$26</f>
      </c>
      <c r="AA24" s="3847" t="n">
        <f t="array" ref="AA24">X24*(1+'Assumptions'!N40)</f>
        <v>0</v>
      </c>
      <c r="AB24" s="1787" t="e">
        <f t="array" ref="AB24">AA24/AA$11</f>
      </c>
      <c r="AC24" s="3817" t="e">
        <f t="array" ref="AC24">AA24/AA$26</f>
      </c>
      <c r="AD24" s="3848" t="n">
        <f t="array" ref="AD24">AA24*(1+'Assumptions'!O40)</f>
        <v>0</v>
      </c>
      <c r="AE24" s="1790" t="e">
        <f t="array" ref="AE24">AD24/AD$11</f>
      </c>
      <c r="AF24" s="3820" t="e">
        <f t="array" ref="AF24">AD24/AD$26</f>
      </c>
      <c r="AG24" s="1736" t="n"/>
      <c r="AH24" s="26" t="n"/>
      <c r="AI24" s="1753" t="n"/>
      <c r="AJ24" s="1727" t="n"/>
      <c r="AK24" s="1727" t="n"/>
      <c r="AL24" s="1753" t="e">
        <f t="array" ref="AL24">AL23+1</f>
      </c>
      <c r="AM24" s="1753" t="e">
        <f t="array" ref="AM24">IF(OR(MOD(AL24,400)=0,AND(MOD(AL24,4)=0,MOD(AL24,100)&lt;&gt;0)),366,365)</f>
      </c>
      <c r="AN24" s="1727" t="n"/>
      <c r="AO24" s="1727" t="n"/>
      <c r="AP24" s="1727" t="n"/>
      <c r="AQ24" s="1727" t="n"/>
      <c r="AR24" s="1728" t="n"/>
    </row>
    <row r="25" s="3154" customFormat="1" ht="15" customHeight="1">
      <c r="A25" s="1784" t="str">
        <f t="array" ref="A25">'Assumptions'!A41</f>
        <v>Misc Revenue/Vending</v>
      </c>
      <c r="B25" s="1791" t="str">
        <f t="array" ref="B25">IF('Assumptions'!E41="","",'Assumptions'!E41)</f>
      </c>
      <c r="C25" s="3849" t="e">
        <f t="array" ref="C25">'Assumptions'!F41*C11</f>
      </c>
      <c r="D25" s="1793" t="e">
        <f t="array" ref="D25">C25/C$11</f>
      </c>
      <c r="E25" s="3850" t="e">
        <f t="array" ref="E25">C25/C$26</f>
      </c>
      <c r="F25" s="3851" t="e">
        <f t="array" ref="F25">C25*(1+'Assumptions'!G41)</f>
      </c>
      <c r="G25" s="1793" t="e">
        <f t="array" ref="G25">F25/F$11</f>
      </c>
      <c r="H25" s="3850" t="e">
        <f t="array" ref="H25">F25/F$26</f>
      </c>
      <c r="I25" s="3851" t="e">
        <f t="array" ref="I25">F25*(1+'Assumptions'!H41)</f>
      </c>
      <c r="J25" s="1793" t="e">
        <f t="array" ref="J25">I25/I$11</f>
      </c>
      <c r="K25" s="3850" t="e">
        <f t="array" ref="K25">I25/I$26</f>
      </c>
      <c r="L25" s="3851" t="e">
        <f t="array" ref="L25">I25*(1+'Assumptions'!I41)</f>
      </c>
      <c r="M25" s="1793" t="e">
        <f t="array" ref="M25">L25/L$11</f>
      </c>
      <c r="N25" s="3850" t="e">
        <f t="array" ref="N25">L25/L$26</f>
      </c>
      <c r="O25" s="3851" t="e">
        <f t="array" ref="O25">L25*(1+'Assumptions'!J41)</f>
      </c>
      <c r="P25" s="1793" t="e">
        <f t="array" ref="P25">O25/O$11</f>
      </c>
      <c r="Q25" s="3850" t="e">
        <f t="array" ref="Q25">O25/O$26</f>
      </c>
      <c r="R25" s="3851" t="e">
        <f t="array" ref="R25">O25*(1+'Assumptions'!K41)</f>
      </c>
      <c r="S25" s="1793" t="e">
        <f t="array" ref="S25">R25/R$11</f>
      </c>
      <c r="T25" s="3850" t="e">
        <f t="array" ref="T25">R25/R$26</f>
      </c>
      <c r="U25" s="3851" t="e">
        <f t="array" ref="U25">R25*(1+'Assumptions'!L41)</f>
      </c>
      <c r="V25" s="1793" t="e">
        <f t="array" ref="V25">U25/U$11</f>
      </c>
      <c r="W25" s="3850" t="e">
        <f t="array" ref="W25">U25/U$26</f>
      </c>
      <c r="X25" s="3851" t="e">
        <f t="array" ref="X25">U25*(1+'Assumptions'!M41)</f>
      </c>
      <c r="Y25" s="1793" t="e">
        <f t="array" ref="Y25">X25/X$11</f>
      </c>
      <c r="Z25" s="3850" t="e">
        <f t="array" ref="Z25">X25/X$26</f>
      </c>
      <c r="AA25" s="3851" t="e">
        <f t="array" ref="AA25">X25*(1+'Assumptions'!N41)</f>
      </c>
      <c r="AB25" s="1793" t="e">
        <f t="array" ref="AB25">AA25/AA$11</f>
      </c>
      <c r="AC25" s="3850" t="e">
        <f t="array" ref="AC25">AA25/AA$26</f>
      </c>
      <c r="AD25" s="3852" t="e">
        <f t="array" ref="AD25">AA25*(1+'Assumptions'!O41)</f>
      </c>
      <c r="AE25" s="1797" t="e">
        <f t="array" ref="AE25">AD25/AD$11</f>
      </c>
      <c r="AF25" s="3853" t="e">
        <f t="array" ref="AF25">AD25/AD$26</f>
      </c>
      <c r="AG25" s="1736" t="n"/>
      <c r="AH25" s="26" t="n"/>
      <c r="AI25" s="1753" t="n"/>
      <c r="AJ25" s="1727" t="n"/>
      <c r="AK25" s="1727" t="n"/>
      <c r="AL25" s="1753" t="e">
        <f t="array" ref="AL25">AL24+1</f>
      </c>
      <c r="AM25" s="1753" t="e">
        <f t="array" ref="AM25">IF(OR(MOD(AL25,400)=0,AND(MOD(AL25,4)=0,MOD(AL25,100)&lt;&gt;0)),366,365)</f>
      </c>
      <c r="AN25" s="1727" t="n"/>
      <c r="AO25" s="1727" t="n"/>
      <c r="AP25" s="1727" t="n"/>
      <c r="AQ25" s="1727" t="n"/>
      <c r="AR25" s="1728" t="n"/>
    </row>
    <row r="26" s="3154" customFormat="1" ht="15" customHeight="1">
      <c r="A26" s="1729" t="inlineStr">
        <is>
          <t xml:space="preserve">Total Revenue</t>
        </is>
      </c>
      <c r="B26" s="1730" t="n"/>
      <c r="C26" s="3854" t="e">
        <f t="array" ref="C26">SUM(C22:C25)</f>
      </c>
      <c r="D26" s="1800" t="e">
        <f t="array" ref="D26">C26/C$11</f>
      </c>
      <c r="E26" s="3855" t="e">
        <f t="array" ref="E26">C26/C$26</f>
      </c>
      <c r="F26" s="3856" t="e">
        <f t="array" ref="F26">SUM(F22:F25)</f>
      </c>
      <c r="G26" s="1800" t="e">
        <f t="array" ref="G26">F26/F$11</f>
      </c>
      <c r="H26" s="3855" t="e">
        <f t="array" ref="H26">F26/F$26</f>
      </c>
      <c r="I26" s="3856" t="e">
        <f t="array" ref="I26">SUM(I22:I25)</f>
      </c>
      <c r="J26" s="1800" t="e">
        <f t="array" ref="J26">I26/I$11</f>
      </c>
      <c r="K26" s="3855" t="e">
        <f t="array" ref="K26">I26/I$26</f>
      </c>
      <c r="L26" s="3856" t="e">
        <f t="array" ref="L26">SUM(L22:L25)</f>
      </c>
      <c r="M26" s="1800" t="e">
        <f t="array" ref="M26">L26/L$11</f>
      </c>
      <c r="N26" s="3855" t="e">
        <f t="array" ref="N26">L26/L$26</f>
      </c>
      <c r="O26" s="3856" t="e">
        <f t="array" ref="O26">SUM(O22:O25)</f>
      </c>
      <c r="P26" s="1800" t="e">
        <f t="array" ref="P26">O26/O$11</f>
      </c>
      <c r="Q26" s="3855" t="e">
        <f t="array" ref="Q26">O26/O$26</f>
      </c>
      <c r="R26" s="3856" t="e">
        <f t="array" ref="R26">SUM(R22:R25)</f>
      </c>
      <c r="S26" s="1800" t="e">
        <f t="array" ref="S26">R26/R$11</f>
      </c>
      <c r="T26" s="3855" t="e">
        <f t="array" ref="T26">R26/R$26</f>
      </c>
      <c r="U26" s="3856" t="e">
        <f t="array" ref="U26">SUM(U22:U25)</f>
      </c>
      <c r="V26" s="1800" t="e">
        <f t="array" ref="V26">U26/U$11</f>
      </c>
      <c r="W26" s="3855" t="e">
        <f t="array" ref="W26">U26/U$26</f>
      </c>
      <c r="X26" s="3856" t="e">
        <f t="array" ref="X26">SUM(X22:X25)</f>
      </c>
      <c r="Y26" s="1800" t="e">
        <f t="array" ref="Y26">X26/X$11</f>
      </c>
      <c r="Z26" s="3855" t="e">
        <f t="array" ref="Z26">X26/X$26</f>
      </c>
      <c r="AA26" s="3856" t="e">
        <f t="array" ref="AA26">SUM(AA22:AA25)</f>
      </c>
      <c r="AB26" s="1800" t="e">
        <f t="array" ref="AB26">AA26/AA$11</f>
      </c>
      <c r="AC26" s="3855" t="e">
        <f t="array" ref="AC26">AA26/AA$26</f>
      </c>
      <c r="AD26" s="3857" t="e">
        <f t="array" ref="AD26">SUM(AD22:AD25)</f>
      </c>
      <c r="AE26" s="1804" t="e">
        <f t="array" ref="AE26">AD26/AD$11</f>
      </c>
      <c r="AF26" s="3858" t="e">
        <f t="array" ref="AF26">AD26/AD$26</f>
      </c>
      <c r="AG26" s="1736" t="n"/>
      <c r="AH26" s="26" t="n"/>
      <c r="AI26" s="1753" t="n">
        <f t="array" ref="AI26">ROW(A26)-5</f>
        <v>21</v>
      </c>
      <c r="AJ26" s="1727" t="n"/>
      <c r="AK26" s="1727" t="n"/>
      <c r="AL26" s="1753" t="e">
        <f t="array" ref="AL26">AL25+1</f>
      </c>
      <c r="AM26" s="1753" t="e">
        <f t="array" ref="AM26">IF(OR(MOD(AL26,400)=0,AND(MOD(AL26,4)=0,MOD(AL26,100)&lt;&gt;0)),366,365)</f>
      </c>
      <c r="AN26" s="1727" t="n"/>
      <c r="AO26" s="1727" t="n"/>
      <c r="AP26" s="1727" t="n"/>
      <c r="AQ26" s="1727" t="n"/>
      <c r="AR26" s="1728" t="n"/>
    </row>
    <row r="27" s="3154" customFormat="1" ht="8" customHeight="1">
      <c r="A27" s="627" t="n"/>
      <c r="B27" s="26" t="n"/>
      <c r="C27" s="1765" t="n"/>
      <c r="D27" s="1738" t="n"/>
      <c r="E27" s="3817" t="n"/>
      <c r="F27" s="1766" t="n"/>
      <c r="G27" s="1738" t="n"/>
      <c r="H27" s="3817" t="n"/>
      <c r="I27" s="1766" t="n"/>
      <c r="J27" s="1738" t="n"/>
      <c r="K27" s="3817" t="n"/>
      <c r="L27" s="1766" t="n"/>
      <c r="M27" s="1738" t="n"/>
      <c r="N27" s="3817" t="n"/>
      <c r="O27" s="1766" t="n"/>
      <c r="P27" s="1738" t="n"/>
      <c r="Q27" s="3817" t="n"/>
      <c r="R27" s="1766" t="n"/>
      <c r="S27" s="1738" t="n"/>
      <c r="T27" s="3817" t="n"/>
      <c r="U27" s="1766" t="n"/>
      <c r="V27" s="1738" t="n"/>
      <c r="W27" s="3817" t="n"/>
      <c r="X27" s="1766" t="n"/>
      <c r="Y27" s="1738" t="n"/>
      <c r="Z27" s="3817" t="n"/>
      <c r="AA27" s="1766" t="n"/>
      <c r="AB27" s="1738" t="n"/>
      <c r="AC27" s="3817" t="n"/>
      <c r="AD27" s="1767" t="n"/>
      <c r="AE27" s="1741" t="n"/>
      <c r="AF27" s="3820" t="n"/>
      <c r="AG27" s="1736" t="n"/>
      <c r="AH27" s="26" t="n"/>
      <c r="AI27" s="1727" t="n"/>
      <c r="AJ27" s="1727" t="n"/>
      <c r="AK27" s="1727" t="n"/>
      <c r="AL27" s="1753" t="e">
        <f t="array" ref="AL27">AL26+1</f>
      </c>
      <c r="AM27" s="1753" t="e">
        <f t="array" ref="AM27">IF(OR(MOD(AL27,400)=0,AND(MOD(AL27,4)=0,MOD(AL27,100)&lt;&gt;0)),366,365)</f>
      </c>
      <c r="AN27" s="1727" t="n"/>
      <c r="AO27" s="1727" t="n"/>
      <c r="AP27" s="1727" t="n"/>
      <c r="AQ27" s="1727" t="n"/>
      <c r="AR27" s="1728" t="n"/>
    </row>
    <row r="28" s="3154" customFormat="1" ht="15.75" customHeight="1">
      <c r="A28" s="1678" t="inlineStr">
        <is>
          <t xml:space="preserve">DEPARTMENTAL EXPENSES</t>
        </is>
      </c>
      <c r="B28" s="1689" t="n"/>
      <c r="C28" s="1768" t="e">
        <f t="array" ref="C28">C$7</f>
      </c>
      <c r="D28" s="1769" t="inlineStr">
        <is>
          <t xml:space="preserve">POR</t>
        </is>
      </c>
      <c r="E28" s="1770" t="inlineStr">
        <is>
          <t xml:space="preserve">% DR</t>
        </is>
      </c>
      <c r="F28" s="1771" t="e">
        <f t="array" ref="F28">F$7</f>
      </c>
      <c r="G28" s="1769" t="inlineStr">
        <is>
          <t xml:space="preserve">POR</t>
        </is>
      </c>
      <c r="H28" s="1770" t="inlineStr">
        <is>
          <t xml:space="preserve">% DR</t>
        </is>
      </c>
      <c r="I28" s="1771" t="e">
        <f t="array" ref="I28">I$7</f>
      </c>
      <c r="J28" s="1769" t="inlineStr">
        <is>
          <t xml:space="preserve">POR</t>
        </is>
      </c>
      <c r="K28" s="1770" t="inlineStr">
        <is>
          <t xml:space="preserve">% DR</t>
        </is>
      </c>
      <c r="L28" s="1771" t="e">
        <f t="array" ref="L28">L$7</f>
      </c>
      <c r="M28" s="1769" t="inlineStr">
        <is>
          <t xml:space="preserve">POR</t>
        </is>
      </c>
      <c r="N28" s="1770" t="inlineStr">
        <is>
          <t xml:space="preserve">% DR</t>
        </is>
      </c>
      <c r="O28" s="1771" t="e">
        <f t="array" ref="O28">O$7</f>
      </c>
      <c r="P28" s="1769" t="inlineStr">
        <is>
          <t xml:space="preserve">POR</t>
        </is>
      </c>
      <c r="Q28" s="1770" t="inlineStr">
        <is>
          <t xml:space="preserve">% DR</t>
        </is>
      </c>
      <c r="R28" s="1771" t="e">
        <f t="array" ref="R28">R$7</f>
      </c>
      <c r="S28" s="1769" t="inlineStr">
        <is>
          <t xml:space="preserve">POR</t>
        </is>
      </c>
      <c r="T28" s="1770" t="inlineStr">
        <is>
          <t xml:space="preserve">% DR</t>
        </is>
      </c>
      <c r="U28" s="1771" t="e">
        <f t="array" ref="U28">U$7</f>
      </c>
      <c r="V28" s="1769" t="inlineStr">
        <is>
          <t xml:space="preserve">POR</t>
        </is>
      </c>
      <c r="W28" s="1770" t="inlineStr">
        <is>
          <t xml:space="preserve">% DR</t>
        </is>
      </c>
      <c r="X28" s="1771" t="e">
        <f t="array" ref="X28">X$7</f>
      </c>
      <c r="Y28" s="1769" t="inlineStr">
        <is>
          <t xml:space="preserve">POR</t>
        </is>
      </c>
      <c r="Z28" s="1770" t="inlineStr">
        <is>
          <t xml:space="preserve">% DR</t>
        </is>
      </c>
      <c r="AA28" s="1771" t="e">
        <f t="array" ref="AA28">AA$7</f>
      </c>
      <c r="AB28" s="1769" t="inlineStr">
        <is>
          <t xml:space="preserve">POR</t>
        </is>
      </c>
      <c r="AC28" s="1770" t="inlineStr">
        <is>
          <t xml:space="preserve">% DR</t>
        </is>
      </c>
      <c r="AD28" s="1772" t="e">
        <f t="array" ref="AD28">AD$7</f>
      </c>
      <c r="AE28" s="1773" t="inlineStr">
        <is>
          <t xml:space="preserve">POR</t>
        </is>
      </c>
      <c r="AF28" s="1773" t="inlineStr">
        <is>
          <t xml:space="preserve">% DR</t>
        </is>
      </c>
      <c r="AG28" s="1736" t="n"/>
      <c r="AH28" s="26" t="n"/>
      <c r="AI28" s="1753" t="n"/>
      <c r="AJ28" s="1727" t="n"/>
      <c r="AK28" s="1727" t="n"/>
      <c r="AL28" s="1753" t="e">
        <f t="array" ref="AL28">AL27+1</f>
      </c>
      <c r="AM28" s="1753" t="e">
        <f t="array" ref="AM28">IF(OR(MOD(AL28,400)=0,AND(MOD(AL28,4)=0,MOD(AL28,100)&lt;&gt;0)),366,365)</f>
      </c>
      <c r="AN28" s="1727" t="n"/>
      <c r="AO28" s="1727" t="n"/>
      <c r="AP28" s="1727" t="n"/>
      <c r="AQ28" s="1727" t="n"/>
      <c r="AR28" s="1728" t="n"/>
    </row>
    <row r="29" s="3154" customFormat="1" ht="15" customHeight="1">
      <c r="A29" s="1775" t="str">
        <f t="array" ref="A29">'Assumptions'!A44</f>
        <v>Rooms</v>
      </c>
      <c r="B29" s="3859" t="n">
        <f t="array" ref="B29">IF('Assumptions'!E44="","",'Assumptions'!E44)</f>
        <v>3</v>
      </c>
      <c r="C29" s="3840" t="e">
        <f t="array" ref="C29">C22*'Assumptions'!F44</f>
      </c>
      <c r="D29" s="1778" t="e">
        <f t="array" ref="D29">C29/C$11</f>
      </c>
      <c r="E29" s="3841" t="e">
        <f t="array" ref="E29">C29/C22</f>
      </c>
      <c r="F29" s="3842" t="e">
        <f t="array" ref="F29">F22*'Assumptions'!G44</f>
      </c>
      <c r="G29" s="1778" t="e">
        <f t="array" ref="G29">F29/F$11</f>
      </c>
      <c r="H29" s="3841" t="e">
        <f t="array" ref="H29">F29/F22</f>
      </c>
      <c r="I29" s="3842" t="e">
        <f t="array" ref="I29">I22*'Assumptions'!H44</f>
      </c>
      <c r="J29" s="1778" t="e">
        <f t="array" ref="J29">I29/I$11</f>
      </c>
      <c r="K29" s="3841" t="e">
        <f t="array" ref="K29">I29/I22</f>
      </c>
      <c r="L29" s="3842" t="e">
        <f t="array" ref="L29">L22*'Assumptions'!I44</f>
      </c>
      <c r="M29" s="1778" t="e">
        <f t="array" ref="M29">L29/L$11</f>
      </c>
      <c r="N29" s="3841" t="e">
        <f t="array" ref="N29">L29/L22</f>
      </c>
      <c r="O29" s="3842" t="e">
        <f t="array" ref="O29">O22*'Assumptions'!J44</f>
      </c>
      <c r="P29" s="1778" t="e">
        <f t="array" ref="P29">O29/O$11</f>
      </c>
      <c r="Q29" s="3841" t="e">
        <f t="array" ref="Q29">O29/O22</f>
      </c>
      <c r="R29" s="3842" t="e">
        <f t="array" ref="R29">R22*'Assumptions'!K44</f>
      </c>
      <c r="S29" s="1778" t="e">
        <f t="array" ref="S29">R29/R$11</f>
      </c>
      <c r="T29" s="3841" t="e">
        <f t="array" ref="T29">R29/R22</f>
      </c>
      <c r="U29" s="3842" t="e">
        <f t="array" ref="U29">U22*'Assumptions'!L44</f>
      </c>
      <c r="V29" s="1778" t="e">
        <f t="array" ref="V29">U29/U$11</f>
      </c>
      <c r="W29" s="3841" t="e">
        <f t="array" ref="W29">U29/U22</f>
      </c>
      <c r="X29" s="3842" t="e">
        <f t="array" ref="X29">X22*'Assumptions'!M44</f>
      </c>
      <c r="Y29" s="1778" t="e">
        <f t="array" ref="Y29">X29/X$11</f>
      </c>
      <c r="Z29" s="3841" t="e">
        <f t="array" ref="Z29">X29/X22</f>
      </c>
      <c r="AA29" s="3842" t="e">
        <f t="array" ref="AA29">AA22*'Assumptions'!N44</f>
      </c>
      <c r="AB29" s="1778" t="e">
        <f t="array" ref="AB29">AA29/AA$11</f>
      </c>
      <c r="AC29" s="3841" t="e">
        <f t="array" ref="AC29">AA29/AA22</f>
      </c>
      <c r="AD29" s="3843" t="e">
        <f t="array" ref="AD29">AD22*'Assumptions'!O44</f>
      </c>
      <c r="AE29" s="1782" t="e">
        <f t="array" ref="AE29">AD29/AD$11</f>
      </c>
      <c r="AF29" s="3844" t="e">
        <f t="array" ref="AF29">AD29/AD22</f>
      </c>
      <c r="AG29" s="1736" t="n"/>
      <c r="AH29" s="26" t="n"/>
      <c r="AI29" s="1753" t="n"/>
      <c r="AJ29" s="1727" t="n"/>
      <c r="AK29" s="1727" t="n"/>
      <c r="AL29" s="1753" t="e">
        <f t="array" ref="AL29">AL28+1</f>
      </c>
      <c r="AM29" s="1753" t="e">
        <f t="array" ref="AM29">IF(OR(MOD(AL29,400)=0,AND(MOD(AL29,4)=0,MOD(AL29,100)&lt;&gt;0)),366,365)</f>
      </c>
      <c r="AN29" s="1727" t="n"/>
      <c r="AO29" s="1727" t="n"/>
      <c r="AP29" s="1727" t="n"/>
      <c r="AQ29" s="1727" t="n"/>
      <c r="AR29" s="1728" t="n"/>
    </row>
    <row r="30" s="3154" customFormat="1" ht="15" customHeight="1">
      <c r="A30" s="1784" t="str">
        <f t="array" ref="A30">'Assumptions'!A45</f>
        <v>Food &amp; Beverage</v>
      </c>
      <c r="B30" s="1791" t="str">
        <f t="array" ref="B30">IF('Assumptions'!E45="","",'Assumptions'!E45)</f>
      </c>
      <c r="C30" s="3846" t="e">
        <f t="array" ref="C30">C23*'Assumptions'!F45</f>
      </c>
      <c r="D30" s="1787" t="e">
        <f t="array" ref="D30">C30/C$11</f>
      </c>
      <c r="E30" s="3817" t="n">
        <f t="array" ref="E30">IFERROR(C30/C23,0)</f>
        <v>0</v>
      </c>
      <c r="F30" s="3847" t="e">
        <f t="array" ref="F30">F23*'Assumptions'!G45</f>
      </c>
      <c r="G30" s="1787" t="e">
        <f t="array" ref="G30">F30/F$11</f>
      </c>
      <c r="H30" s="3817" t="n">
        <f t="array" ref="H30">IFERROR(F30/F23,0)</f>
        <v>0</v>
      </c>
      <c r="I30" s="3847" t="e">
        <f t="array" ref="I30">I23*'Assumptions'!H45</f>
      </c>
      <c r="J30" s="1787" t="e">
        <f t="array" ref="J30">I30/I$11</f>
      </c>
      <c r="K30" s="3817" t="n">
        <f t="array" ref="K30">IFERROR(I30/I23,0)</f>
        <v>0</v>
      </c>
      <c r="L30" s="3847" t="e">
        <f t="array" ref="L30">L23*'Assumptions'!I45</f>
      </c>
      <c r="M30" s="1787" t="e">
        <f t="array" ref="M30">L30/L$11</f>
      </c>
      <c r="N30" s="3817" t="n">
        <f t="array" ref="N30">IFERROR(L30/L23,0)</f>
        <v>0</v>
      </c>
      <c r="O30" s="3847" t="e">
        <f t="array" ref="O30">O23*'Assumptions'!J45</f>
      </c>
      <c r="P30" s="1787" t="e">
        <f t="array" ref="P30">O30/O$11</f>
      </c>
      <c r="Q30" s="3817" t="n">
        <f t="array" ref="Q30">IFERROR(O30/O23,0)</f>
        <v>0</v>
      </c>
      <c r="R30" s="3847" t="e">
        <f t="array" ref="R30">R23*'Assumptions'!K45</f>
      </c>
      <c r="S30" s="1787" t="e">
        <f t="array" ref="S30">R30/R$11</f>
      </c>
      <c r="T30" s="3817" t="n">
        <f t="array" ref="T30">IFERROR(R30/R23,0)</f>
        <v>0</v>
      </c>
      <c r="U30" s="3847" t="e">
        <f t="array" ref="U30">U23*'Assumptions'!L45</f>
      </c>
      <c r="V30" s="1787" t="e">
        <f t="array" ref="V30">U30/U$11</f>
      </c>
      <c r="W30" s="3817" t="n">
        <f t="array" ref="W30">IFERROR(U30/U23,0)</f>
        <v>0</v>
      </c>
      <c r="X30" s="3847" t="e">
        <f t="array" ref="X30">X23*'Assumptions'!M45</f>
      </c>
      <c r="Y30" s="1787" t="e">
        <f t="array" ref="Y30">X30/X$11</f>
      </c>
      <c r="Z30" s="3817" t="n">
        <f t="array" ref="Z30">IFERROR(X30/X23,0)</f>
        <v>0</v>
      </c>
      <c r="AA30" s="3847" t="e">
        <f t="array" ref="AA30">AA23*'Assumptions'!N45</f>
      </c>
      <c r="AB30" s="1787" t="e">
        <f t="array" ref="AB30">AA30/AA$11</f>
      </c>
      <c r="AC30" s="3817" t="n">
        <f t="array" ref="AC30">IFERROR(AA30/AA23,0)</f>
        <v>0</v>
      </c>
      <c r="AD30" s="3848" t="e">
        <f t="array" ref="AD30">AD23*'Assumptions'!O45</f>
      </c>
      <c r="AE30" s="1790" t="e">
        <f t="array" ref="AE30">AD30/AD$11</f>
      </c>
      <c r="AF30" s="3820" t="n">
        <f t="array" ref="AF30">IFERROR(AD30/AD23,0)</f>
        <v>0</v>
      </c>
      <c r="AG30" s="1736" t="n"/>
      <c r="AH30" s="26" t="n"/>
      <c r="AI30" s="1753" t="n"/>
      <c r="AJ30" s="1727" t="n"/>
      <c r="AK30" s="1727" t="n"/>
      <c r="AL30" s="1753" t="e">
        <f t="array" ref="AL30">AL29+1</f>
      </c>
      <c r="AM30" s="1753" t="e">
        <f t="array" ref="AM30">IF(OR(MOD(AL30,400)=0,AND(MOD(AL30,4)=0,MOD(AL30,100)&lt;&gt;0)),366,365)</f>
      </c>
      <c r="AN30" s="1727" t="n"/>
      <c r="AO30" s="1727" t="n"/>
      <c r="AP30" s="1727" t="n"/>
      <c r="AQ30" s="1727" t="n"/>
      <c r="AR30" s="1728" t="n"/>
    </row>
    <row r="31" s="3154" customFormat="1" ht="15" customHeight="1">
      <c r="A31" s="1784" t="str">
        <f t="array" ref="A31">'Assumptions'!A46</f>
        <v>Meeting &amp; Banquet</v>
      </c>
      <c r="B31" s="1791" t="str">
        <f t="array" ref="B31">IF('Assumptions'!E46="","",'Assumptions'!E46)</f>
      </c>
      <c r="C31" s="3846" t="n">
        <f t="array" ref="C31">C24*'Assumptions'!F46</f>
        <v>0</v>
      </c>
      <c r="D31" s="1787" t="e">
        <f t="array" ref="D31">C31/C$11</f>
      </c>
      <c r="E31" s="3817" t="n">
        <f t="array" ref="E31">IFERROR(C31/C24,0)</f>
        <v>0</v>
      </c>
      <c r="F31" s="3847" t="n">
        <f t="array" ref="F31">F24*'Assumptions'!G46</f>
        <v>0</v>
      </c>
      <c r="G31" s="1787" t="e">
        <f t="array" ref="G31">F31/F$11</f>
      </c>
      <c r="H31" s="3817" t="n">
        <f t="array" ref="H31">IFERROR(F31/F24,0)</f>
        <v>0</v>
      </c>
      <c r="I31" s="3847" t="n">
        <f t="array" ref="I31">I24*'Assumptions'!H46</f>
        <v>0</v>
      </c>
      <c r="J31" s="1787" t="e">
        <f t="array" ref="J31">I31/I$11</f>
      </c>
      <c r="K31" s="3817" t="n">
        <f t="array" ref="K31">IFERROR(I31/I24,0)</f>
        <v>0</v>
      </c>
      <c r="L31" s="3847" t="n">
        <f t="array" ref="L31">L24*'Assumptions'!I46</f>
        <v>0</v>
      </c>
      <c r="M31" s="1787" t="e">
        <f t="array" ref="M31">L31/L$11</f>
      </c>
      <c r="N31" s="3817" t="n">
        <f t="array" ref="N31">IFERROR(L31/L24,0)</f>
        <v>0</v>
      </c>
      <c r="O31" s="3847" t="n">
        <f t="array" ref="O31">O24*'Assumptions'!J46</f>
        <v>0</v>
      </c>
      <c r="P31" s="1787" t="e">
        <f t="array" ref="P31">O31/O$11</f>
      </c>
      <c r="Q31" s="3817" t="n">
        <f t="array" ref="Q31">IFERROR(O31/O24,0)</f>
        <v>0</v>
      </c>
      <c r="R31" s="3847" t="n">
        <f t="array" ref="R31">R24*'Assumptions'!K46</f>
        <v>0</v>
      </c>
      <c r="S31" s="1787" t="e">
        <f t="array" ref="S31">R31/R$11</f>
      </c>
      <c r="T31" s="3817" t="n">
        <f t="array" ref="T31">IFERROR(R31/R24,0)</f>
        <v>0</v>
      </c>
      <c r="U31" s="3847" t="n">
        <f t="array" ref="U31">U24*'Assumptions'!L46</f>
        <v>0</v>
      </c>
      <c r="V31" s="1787" t="e">
        <f t="array" ref="V31">U31/U$11</f>
      </c>
      <c r="W31" s="3817" t="n">
        <f t="array" ref="W31">IFERROR(U31/U24,0)</f>
        <v>0</v>
      </c>
      <c r="X31" s="3847" t="n">
        <f t="array" ref="X31">X24*'Assumptions'!M46</f>
        <v>0</v>
      </c>
      <c r="Y31" s="1787" t="e">
        <f t="array" ref="Y31">X31/X$11</f>
      </c>
      <c r="Z31" s="3817" t="n">
        <f t="array" ref="Z31">IFERROR(X31/X24,0)</f>
        <v>0</v>
      </c>
      <c r="AA31" s="3847" t="n">
        <f t="array" ref="AA31">AA24*'Assumptions'!N46</f>
        <v>0</v>
      </c>
      <c r="AB31" s="1787" t="e">
        <f t="array" ref="AB31">AA31/AA$11</f>
      </c>
      <c r="AC31" s="3817" t="n">
        <f t="array" ref="AC31">IFERROR(AA31/AA24,0)</f>
        <v>0</v>
      </c>
      <c r="AD31" s="3848" t="n">
        <f t="array" ref="AD31">AD24*'Assumptions'!O46</f>
        <v>0</v>
      </c>
      <c r="AE31" s="1790" t="e">
        <f t="array" ref="AE31">AD31/AD$11</f>
      </c>
      <c r="AF31" s="3820" t="n">
        <f t="array" ref="AF31">IFERROR(AD31/AD24,0)</f>
        <v>0</v>
      </c>
      <c r="AG31" s="1736" t="n"/>
      <c r="AH31" s="26" t="n"/>
      <c r="AI31" s="1753" t="n"/>
      <c r="AJ31" s="1727" t="n"/>
      <c r="AK31" s="1727" t="n"/>
      <c r="AL31" s="1753" t="e">
        <f t="array" ref="AL31">AL30+1</f>
      </c>
      <c r="AM31" s="1753" t="e">
        <f t="array" ref="AM31">IF(OR(MOD(AL31,400)=0,AND(MOD(AL31,4)=0,MOD(AL31,100)&lt;&gt;0)),366,365)</f>
      </c>
      <c r="AN31" s="1727" t="n"/>
      <c r="AO31" s="1727" t="n"/>
      <c r="AP31" s="1727" t="n"/>
      <c r="AQ31" s="1727" t="n"/>
      <c r="AR31" s="1728" t="n"/>
    </row>
    <row r="32" s="3154" customFormat="1" ht="15" customHeight="1">
      <c r="A32" s="1784" t="str">
        <f t="array" ref="A32">'Assumptions'!A47</f>
        <v>Misc Revenue/Vending</v>
      </c>
      <c r="B32" s="1791" t="str">
        <f t="array" ref="B32">IF('Assumptions'!E47="","",'Assumptions'!E47)</f>
      </c>
      <c r="C32" s="3849" t="e">
        <f t="array" ref="C32">C25*'Assumptions'!F47</f>
      </c>
      <c r="D32" s="1793" t="e">
        <f t="array" ref="D32">C32/C$11</f>
      </c>
      <c r="E32" s="3850" t="e">
        <f t="array" ref="E32">C32/C25</f>
      </c>
      <c r="F32" s="3851" t="e">
        <f t="array" ref="F32">F25*'Assumptions'!G47</f>
      </c>
      <c r="G32" s="1793" t="e">
        <f t="array" ref="G32">F32/F$11</f>
      </c>
      <c r="H32" s="3850" t="e">
        <f t="array" ref="H32">F32/F25</f>
      </c>
      <c r="I32" s="3851" t="e">
        <f t="array" ref="I32">I25*'Assumptions'!H47</f>
      </c>
      <c r="J32" s="1793" t="e">
        <f t="array" ref="J32">I32/I$11</f>
      </c>
      <c r="K32" s="3850" t="e">
        <f t="array" ref="K32">I32/I25</f>
      </c>
      <c r="L32" s="3851" t="e">
        <f t="array" ref="L32">L25*'Assumptions'!I47</f>
      </c>
      <c r="M32" s="1793" t="e">
        <f t="array" ref="M32">L32/L$11</f>
      </c>
      <c r="N32" s="3850" t="e">
        <f t="array" ref="N32">L32/L25</f>
      </c>
      <c r="O32" s="3851" t="e">
        <f t="array" ref="O32">O25*'Assumptions'!J47</f>
      </c>
      <c r="P32" s="1793" t="e">
        <f t="array" ref="P32">O32/O$11</f>
      </c>
      <c r="Q32" s="3850" t="e">
        <f t="array" ref="Q32">O32/O25</f>
      </c>
      <c r="R32" s="3851" t="e">
        <f t="array" ref="R32">R25*'Assumptions'!K47</f>
      </c>
      <c r="S32" s="1793" t="e">
        <f t="array" ref="S32">R32/R$11</f>
      </c>
      <c r="T32" s="3850" t="e">
        <f t="array" ref="T32">R32/R25</f>
      </c>
      <c r="U32" s="3851" t="e">
        <f t="array" ref="U32">U25*'Assumptions'!L47</f>
      </c>
      <c r="V32" s="1793" t="e">
        <f t="array" ref="V32">U32/U$11</f>
      </c>
      <c r="W32" s="3850" t="e">
        <f t="array" ref="W32">U32/U25</f>
      </c>
      <c r="X32" s="3851" t="e">
        <f t="array" ref="X32">X25*'Assumptions'!M47</f>
      </c>
      <c r="Y32" s="1793" t="e">
        <f t="array" ref="Y32">X32/X$11</f>
      </c>
      <c r="Z32" s="3850" t="e">
        <f t="array" ref="Z32">X32/X25</f>
      </c>
      <c r="AA32" s="3851" t="e">
        <f t="array" ref="AA32">AA25*'Assumptions'!N47</f>
      </c>
      <c r="AB32" s="1793" t="e">
        <f t="array" ref="AB32">AA32/AA$11</f>
      </c>
      <c r="AC32" s="3850" t="e">
        <f t="array" ref="AC32">AA32/AA25</f>
      </c>
      <c r="AD32" s="3852" t="e">
        <f t="array" ref="AD32">AD25*'Assumptions'!O47</f>
      </c>
      <c r="AE32" s="1797" t="e">
        <f t="array" ref="AE32">AD32/AD$11</f>
      </c>
      <c r="AF32" s="3853" t="e">
        <f t="array" ref="AF32">AD32/AD25</f>
      </c>
      <c r="AG32" s="1736" t="n"/>
      <c r="AH32" s="26" t="n"/>
      <c r="AI32" s="1753" t="n"/>
      <c r="AJ32" s="1727" t="n"/>
      <c r="AK32" s="1727" t="n"/>
      <c r="AL32" s="1727" t="n"/>
      <c r="AM32" s="1727" t="n"/>
      <c r="AN32" s="1727" t="n"/>
      <c r="AO32" s="1727" t="n"/>
      <c r="AP32" s="1727" t="n"/>
      <c r="AQ32" s="1727" t="n"/>
      <c r="AR32" s="1728" t="n"/>
    </row>
    <row r="33" s="3154" customFormat="1" ht="15" customHeight="1">
      <c r="A33" s="1729" t="inlineStr">
        <is>
          <t xml:space="preserve">Total Departmental Exp</t>
        </is>
      </c>
      <c r="B33" s="1730" t="n"/>
      <c r="C33" s="3854" t="e">
        <f t="array" ref="C33">SUBTOTAL(9,C29:C32)</f>
      </c>
      <c r="D33" s="1800" t="e">
        <f t="array" ref="D33">C33/C$11</f>
      </c>
      <c r="E33" s="3855" t="e">
        <f t="array" ref="E33">C33/C26</f>
      </c>
      <c r="F33" s="3856" t="e">
        <f t="array" ref="F33">SUBTOTAL(9,F29:F32)</f>
      </c>
      <c r="G33" s="1800" t="e">
        <f t="array" ref="G33">F33/F$11</f>
      </c>
      <c r="H33" s="3855" t="e">
        <f t="array" ref="H33">F33/F26</f>
      </c>
      <c r="I33" s="3856" t="e">
        <f t="array" ref="I33">SUBTOTAL(9,I29:I32)</f>
      </c>
      <c r="J33" s="1800" t="e">
        <f t="array" ref="J33">I33/I$11</f>
      </c>
      <c r="K33" s="3855" t="e">
        <f t="array" ref="K33">I33/I26</f>
      </c>
      <c r="L33" s="3856" t="e">
        <f t="array" ref="L33">SUBTOTAL(9,L29:L32)</f>
      </c>
      <c r="M33" s="1800" t="e">
        <f t="array" ref="M33">L33/L$11</f>
      </c>
      <c r="N33" s="3855" t="e">
        <f t="array" ref="N33">L33/L26</f>
      </c>
      <c r="O33" s="3856" t="e">
        <f t="array" ref="O33">SUBTOTAL(9,O29:O32)</f>
      </c>
      <c r="P33" s="1800" t="e">
        <f t="array" ref="P33">O33/O$11</f>
      </c>
      <c r="Q33" s="3855" t="e">
        <f t="array" ref="Q33">O33/O26</f>
      </c>
      <c r="R33" s="3856" t="e">
        <f t="array" ref="R33">SUBTOTAL(9,R29:R32)</f>
      </c>
      <c r="S33" s="1800" t="e">
        <f t="array" ref="S33">R33/R$11</f>
      </c>
      <c r="T33" s="3855" t="e">
        <f t="array" ref="T33">R33/R26</f>
      </c>
      <c r="U33" s="3856" t="e">
        <f t="array" ref="U33">SUBTOTAL(9,U29:U32)</f>
      </c>
      <c r="V33" s="1800" t="e">
        <f t="array" ref="V33">U33/U$11</f>
      </c>
      <c r="W33" s="3855" t="e">
        <f t="array" ref="W33">U33/U26</f>
      </c>
      <c r="X33" s="3856" t="e">
        <f t="array" ref="X33">SUBTOTAL(9,X29:X32)</f>
      </c>
      <c r="Y33" s="1800" t="e">
        <f t="array" ref="Y33">X33/X$11</f>
      </c>
      <c r="Z33" s="3855" t="e">
        <f t="array" ref="Z33">X33/X26</f>
      </c>
      <c r="AA33" s="3856" t="e">
        <f t="array" ref="AA33">SUBTOTAL(9,AA29:AA32)</f>
      </c>
      <c r="AB33" s="1800" t="e">
        <f t="array" ref="AB33">AA33/AA$11</f>
      </c>
      <c r="AC33" s="3855" t="e">
        <f t="array" ref="AC33">AA33/AA26</f>
      </c>
      <c r="AD33" s="3857" t="e">
        <f t="array" ref="AD33">SUBTOTAL(9,AD29:AD32)</f>
      </c>
      <c r="AE33" s="1804" t="e">
        <f t="array" ref="AE33">AD33/AD$11</f>
      </c>
      <c r="AF33" s="3858" t="e">
        <f t="array" ref="AF33">AD33/AD26</f>
      </c>
      <c r="AG33" s="1736" t="n"/>
      <c r="AH33" s="26" t="n"/>
      <c r="AI33" s="1753" t="n">
        <f t="array" ref="AI33">ROW(A33)-5</f>
        <v>28</v>
      </c>
      <c r="AJ33" s="1727" t="n"/>
      <c r="AK33" s="1727" t="n"/>
      <c r="AL33" s="1727" t="n"/>
      <c r="AM33" s="1727" t="n"/>
      <c r="AN33" s="1727" t="n"/>
      <c r="AO33" s="1727" t="n"/>
      <c r="AP33" s="1727" t="n"/>
      <c r="AQ33" s="1727" t="n"/>
      <c r="AR33" s="1728" t="n"/>
    </row>
    <row r="34" s="3154" customFormat="1" ht="8" customHeight="1">
      <c r="A34" s="627" t="n"/>
      <c r="B34" s="26" t="n"/>
      <c r="C34" s="1765" t="n"/>
      <c r="D34" s="1738" t="n"/>
      <c r="E34" s="3817" t="n"/>
      <c r="F34" s="1766" t="n"/>
      <c r="G34" s="1738" t="n"/>
      <c r="H34" s="3817" t="n"/>
      <c r="I34" s="1766" t="n"/>
      <c r="J34" s="1738" t="n"/>
      <c r="K34" s="3817" t="n"/>
      <c r="L34" s="1766" t="n"/>
      <c r="M34" s="1738" t="n"/>
      <c r="N34" s="3817" t="n"/>
      <c r="O34" s="1766" t="n"/>
      <c r="P34" s="1738" t="n"/>
      <c r="Q34" s="3817" t="n"/>
      <c r="R34" s="1766" t="n"/>
      <c r="S34" s="1738" t="n"/>
      <c r="T34" s="3817" t="n"/>
      <c r="U34" s="1766" t="n"/>
      <c r="V34" s="1738" t="n"/>
      <c r="W34" s="3817" t="n"/>
      <c r="X34" s="1766" t="n"/>
      <c r="Y34" s="1738" t="n"/>
      <c r="Z34" s="3817" t="n"/>
      <c r="AA34" s="1766" t="n"/>
      <c r="AB34" s="1738" t="n"/>
      <c r="AC34" s="3817" t="n"/>
      <c r="AD34" s="1767" t="n"/>
      <c r="AE34" s="1741" t="n"/>
      <c r="AF34" s="3820" t="n"/>
      <c r="AG34" s="1736" t="n"/>
      <c r="AH34" s="26" t="n"/>
      <c r="AI34" s="1727" t="n"/>
      <c r="AJ34" s="1727" t="n"/>
      <c r="AK34" s="1727" t="n"/>
      <c r="AL34" s="1753" t="n"/>
      <c r="AM34" s="1753" t="n"/>
      <c r="AN34" s="1727" t="n"/>
      <c r="AO34" s="1727" t="n"/>
      <c r="AP34" s="1727" t="n"/>
      <c r="AQ34" s="1727" t="n"/>
      <c r="AR34" s="1728" t="n"/>
    </row>
    <row r="35" s="3154" customFormat="1" ht="15.75" customHeight="1">
      <c r="A35" s="1807" t="inlineStr">
        <is>
          <t xml:space="preserve">TOTAL DEPARTMENTAL PROFIT</t>
        </is>
      </c>
      <c r="B35" s="1808" t="n"/>
      <c r="C35" s="3849" t="e">
        <f t="array" ref="C35">C26-C33</f>
      </c>
      <c r="D35" s="1793" t="e">
        <f t="array" ref="D35">C35/C$11</f>
      </c>
      <c r="E35" s="3850" t="e">
        <f t="array" ref="E35">C35/C$26</f>
      </c>
      <c r="F35" s="3851" t="e">
        <f t="array" ref="F35">F26-F33</f>
      </c>
      <c r="G35" s="1793" t="e">
        <f t="array" ref="G35">F35/F$11</f>
      </c>
      <c r="H35" s="3850" t="e">
        <f t="array" ref="H35">F35/F$26</f>
      </c>
      <c r="I35" s="3851" t="e">
        <f t="array" ref="I35">I26-I33</f>
      </c>
      <c r="J35" s="1793" t="e">
        <f t="array" ref="J35">I35/I$11</f>
      </c>
      <c r="K35" s="3850" t="e">
        <f t="array" ref="K35">I35/I$26</f>
      </c>
      <c r="L35" s="3851" t="e">
        <f t="array" ref="L35">L26-L33</f>
      </c>
      <c r="M35" s="1793" t="e">
        <f t="array" ref="M35">L35/L$11</f>
      </c>
      <c r="N35" s="3850" t="e">
        <f t="array" ref="N35">L35/L$26</f>
      </c>
      <c r="O35" s="3851" t="e">
        <f t="array" ref="O35">O26-O33</f>
      </c>
      <c r="P35" s="1793" t="e">
        <f t="array" ref="P35">O35/O$11</f>
      </c>
      <c r="Q35" s="3850" t="e">
        <f t="array" ref="Q35">O35/O$26</f>
      </c>
      <c r="R35" s="3851" t="e">
        <f t="array" ref="R35">R26-R33</f>
      </c>
      <c r="S35" s="1793" t="e">
        <f t="array" ref="S35">R35/R$11</f>
      </c>
      <c r="T35" s="3850" t="e">
        <f t="array" ref="T35">R35/R$26</f>
      </c>
      <c r="U35" s="3851" t="e">
        <f t="array" ref="U35">U26-U33</f>
      </c>
      <c r="V35" s="1793" t="e">
        <f t="array" ref="V35">U35/U$11</f>
      </c>
      <c r="W35" s="3850" t="e">
        <f t="array" ref="W35">U35/U$26</f>
      </c>
      <c r="X35" s="3851" t="e">
        <f t="array" ref="X35">X26-X33</f>
      </c>
      <c r="Y35" s="1793" t="e">
        <f t="array" ref="Y35">X35/X$11</f>
      </c>
      <c r="Z35" s="3850" t="e">
        <f t="array" ref="Z35">X35/X$26</f>
      </c>
      <c r="AA35" s="3851" t="e">
        <f t="array" ref="AA35">AA26-AA33</f>
      </c>
      <c r="AB35" s="1793" t="e">
        <f t="array" ref="AB35">AA35/AA$11</f>
      </c>
      <c r="AC35" s="3850" t="e">
        <f t="array" ref="AC35">AA35/AA$26</f>
      </c>
      <c r="AD35" s="3852" t="e">
        <f t="array" ref="AD35">AD26-AD33</f>
      </c>
      <c r="AE35" s="1797" t="e">
        <f t="array" ref="AE35">AD35/AD$11</f>
      </c>
      <c r="AF35" s="3853" t="e">
        <f t="array" ref="AF35">AD35/AD$26</f>
      </c>
      <c r="AG35" s="1736" t="n"/>
      <c r="AH35" s="26" t="n"/>
      <c r="AI35" s="1753" t="n"/>
      <c r="AJ35" s="1727" t="n"/>
      <c r="AK35" s="1727" t="n"/>
      <c r="AL35" s="1727" t="n"/>
      <c r="AM35" s="1727" t="n"/>
      <c r="AN35" s="1727" t="n"/>
      <c r="AO35" s="1727" t="n"/>
      <c r="AP35" s="1727" t="n"/>
      <c r="AQ35" s="1727" t="n"/>
      <c r="AR35" s="1728" t="n"/>
    </row>
    <row r="36" s="3154" customFormat="1" ht="8" customHeight="1">
      <c r="A36" s="443" t="n"/>
      <c r="B36" s="158" t="n"/>
      <c r="C36" s="1809" t="n"/>
      <c r="D36" s="1810" t="n"/>
      <c r="E36" s="3855" t="n"/>
      <c r="F36" s="1811" t="n"/>
      <c r="G36" s="1810" t="n"/>
      <c r="H36" s="3855" t="n"/>
      <c r="I36" s="1811" t="n"/>
      <c r="J36" s="1810" t="n"/>
      <c r="K36" s="3855" t="n"/>
      <c r="L36" s="1811" t="n"/>
      <c r="M36" s="1810" t="n"/>
      <c r="N36" s="3855" t="n"/>
      <c r="O36" s="1811" t="n"/>
      <c r="P36" s="1810" t="n"/>
      <c r="Q36" s="3855" t="n"/>
      <c r="R36" s="1811" t="n"/>
      <c r="S36" s="1810" t="n"/>
      <c r="T36" s="3855" t="n"/>
      <c r="U36" s="1811" t="n"/>
      <c r="V36" s="1810" t="n"/>
      <c r="W36" s="3855" t="n"/>
      <c r="X36" s="1811" t="n"/>
      <c r="Y36" s="1810" t="n"/>
      <c r="Z36" s="3855" t="n"/>
      <c r="AA36" s="1811" t="n"/>
      <c r="AB36" s="1810" t="n"/>
      <c r="AC36" s="3855" t="n"/>
      <c r="AD36" s="1812" t="n"/>
      <c r="AE36" s="1813" t="n"/>
      <c r="AF36" s="3858" t="n"/>
      <c r="AG36" s="1736" t="n"/>
      <c r="AH36" s="26" t="n"/>
      <c r="AI36" s="1727" t="n"/>
      <c r="AJ36" s="1727" t="n"/>
      <c r="AK36" s="1727" t="n"/>
      <c r="AL36" s="1753" t="n"/>
      <c r="AM36" s="1753" t="n"/>
      <c r="AN36" s="1727" t="n"/>
      <c r="AO36" s="1727" t="n"/>
      <c r="AP36" s="1727" t="n"/>
      <c r="AQ36" s="1727" t="n"/>
      <c r="AR36" s="1728" t="n"/>
    </row>
    <row r="37" s="3154" customFormat="1" ht="15.75" customHeight="1">
      <c r="A37" s="1678" t="inlineStr">
        <is>
          <t xml:space="preserve">UNDISTRIBUTED EXPENSES</t>
        </is>
      </c>
      <c r="B37" s="1689" t="n"/>
      <c r="C37" s="1768" t="e">
        <f t="array" ref="C37">C$7</f>
      </c>
      <c r="D37" s="1769" t="inlineStr">
        <is>
          <t xml:space="preserve">POR</t>
        </is>
      </c>
      <c r="E37" s="1814" t="str">
        <f t="array" ref="E37">E$21</f>
        <v>% TR</v>
      </c>
      <c r="F37" s="1771" t="e">
        <f t="array" ref="F37">F$7</f>
      </c>
      <c r="G37" s="1769" t="inlineStr">
        <is>
          <t xml:space="preserve">POR</t>
        </is>
      </c>
      <c r="H37" s="1814" t="str">
        <f t="array" ref="H37">H$21</f>
        <v>% TR</v>
      </c>
      <c r="I37" s="1771" t="e">
        <f t="array" ref="I37">I$7</f>
      </c>
      <c r="J37" s="1769" t="inlineStr">
        <is>
          <t xml:space="preserve">POR</t>
        </is>
      </c>
      <c r="K37" s="1814" t="str">
        <f t="array" ref="K37">K$21</f>
        <v>% TR</v>
      </c>
      <c r="L37" s="1771" t="e">
        <f t="array" ref="L37">L$7</f>
      </c>
      <c r="M37" s="1769" t="inlineStr">
        <is>
          <t xml:space="preserve">POR</t>
        </is>
      </c>
      <c r="N37" s="1814" t="str">
        <f t="array" ref="N37">N$21</f>
        <v>% TR</v>
      </c>
      <c r="O37" s="1771" t="e">
        <f t="array" ref="O37">O$7</f>
      </c>
      <c r="P37" s="1769" t="inlineStr">
        <is>
          <t xml:space="preserve">POR</t>
        </is>
      </c>
      <c r="Q37" s="1814" t="str">
        <f t="array" ref="Q37">Q$21</f>
        <v>% TR</v>
      </c>
      <c r="R37" s="1771" t="e">
        <f t="array" ref="R37">R$7</f>
      </c>
      <c r="S37" s="1769" t="inlineStr">
        <is>
          <t xml:space="preserve">POR</t>
        </is>
      </c>
      <c r="T37" s="1814" t="str">
        <f t="array" ref="T37">T$21</f>
        <v>% TR</v>
      </c>
      <c r="U37" s="1771" t="e">
        <f t="array" ref="U37">U$7</f>
      </c>
      <c r="V37" s="1769" t="inlineStr">
        <is>
          <t xml:space="preserve">POR</t>
        </is>
      </c>
      <c r="W37" s="1814" t="str">
        <f t="array" ref="W37">W$21</f>
        <v>% TR</v>
      </c>
      <c r="X37" s="1771" t="e">
        <f t="array" ref="X37">X$7</f>
      </c>
      <c r="Y37" s="1769" t="inlineStr">
        <is>
          <t xml:space="preserve">POR</t>
        </is>
      </c>
      <c r="Z37" s="1814" t="str">
        <f t="array" ref="Z37">Z$21</f>
        <v>% TR</v>
      </c>
      <c r="AA37" s="1771" t="e">
        <f t="array" ref="AA37">AA$7</f>
      </c>
      <c r="AB37" s="1769" t="inlineStr">
        <is>
          <t xml:space="preserve">POR</t>
        </is>
      </c>
      <c r="AC37" s="1814" t="str">
        <f t="array" ref="AC37">AC$21</f>
        <v>% TR</v>
      </c>
      <c r="AD37" s="1772" t="e">
        <f t="array" ref="AD37">AD$7</f>
      </c>
      <c r="AE37" s="1773" t="inlineStr">
        <is>
          <t xml:space="preserve">POR</t>
        </is>
      </c>
      <c r="AF37" s="1815" t="str">
        <f t="array" ref="AF37">AF$21</f>
        <v>% TR</v>
      </c>
      <c r="AG37" s="1736" t="n"/>
      <c r="AH37" s="26" t="n"/>
      <c r="AI37" s="1753" t="n"/>
      <c r="AJ37" s="1727" t="n"/>
      <c r="AK37" s="1727" t="n"/>
      <c r="AL37" s="1727" t="n"/>
      <c r="AM37" s="1727" t="n"/>
      <c r="AN37" s="1727" t="n"/>
      <c r="AO37" s="1727" t="n"/>
      <c r="AP37" s="1727" t="n"/>
      <c r="AQ37" s="1727" t="n"/>
      <c r="AR37" s="1728" t="n"/>
    </row>
    <row r="38" s="3154" customFormat="1" ht="15" customHeight="1">
      <c r="A38" s="1775" t="str">
        <f t="array" ref="A38">'Assumptions'!A50</f>
        <v>Admin &amp; General</v>
      </c>
      <c r="B38" s="1776" t="str">
        <f t="array" ref="B38">IF('Assumptions'!E50="","",'Assumptions'!E50)</f>
      </c>
      <c r="C38" s="3840" t="e">
        <f t="array" ref="C38">C$26*'Assumptions'!F50</f>
      </c>
      <c r="D38" s="1778" t="e">
        <f t="array" ref="D38">C38/C$11</f>
      </c>
      <c r="E38" s="3841" t="e">
        <f t="array" ref="E38">C38/C$26</f>
      </c>
      <c r="F38" s="3842" t="e">
        <f t="array" ref="F38">F$26*'Assumptions'!G50</f>
      </c>
      <c r="G38" s="1778" t="e">
        <f t="array" ref="G38">F38/F$11</f>
      </c>
      <c r="H38" s="3841" t="e">
        <f t="array" ref="H38">F38/F$26</f>
      </c>
      <c r="I38" s="3842" t="e">
        <f t="array" ref="I38">I$26*'Assumptions'!H50</f>
      </c>
      <c r="J38" s="1778" t="e">
        <f t="array" ref="J38">I38/I$11</f>
      </c>
      <c r="K38" s="3841" t="e">
        <f t="array" ref="K38">I38/I$26</f>
      </c>
      <c r="L38" s="3842" t="e">
        <f t="array" ref="L38">L$26*'Assumptions'!I50</f>
      </c>
      <c r="M38" s="1778" t="e">
        <f t="array" ref="M38">L38/L$11</f>
      </c>
      <c r="N38" s="3841" t="e">
        <f t="array" ref="N38">L38/L$26</f>
      </c>
      <c r="O38" s="3842" t="e">
        <f t="array" ref="O38">O$26*'Assumptions'!J50</f>
      </c>
      <c r="P38" s="1778" t="e">
        <f t="array" ref="P38">O38/O$11</f>
      </c>
      <c r="Q38" s="3841" t="e">
        <f t="array" ref="Q38">O38/O$26</f>
      </c>
      <c r="R38" s="3842" t="e">
        <f t="array" ref="R38">R$26*'Assumptions'!K50</f>
      </c>
      <c r="S38" s="1778" t="e">
        <f t="array" ref="S38">R38/R$11</f>
      </c>
      <c r="T38" s="3841" t="e">
        <f t="array" ref="T38">R38/R$26</f>
      </c>
      <c r="U38" s="3842" t="e">
        <f t="array" ref="U38">U$26*'Assumptions'!L50</f>
      </c>
      <c r="V38" s="1778" t="e">
        <f t="array" ref="V38">U38/U$11</f>
      </c>
      <c r="W38" s="3841" t="e">
        <f t="array" ref="W38">U38/U$26</f>
      </c>
      <c r="X38" s="3842" t="e">
        <f t="array" ref="X38">X$26*'Assumptions'!M50</f>
      </c>
      <c r="Y38" s="1778" t="e">
        <f t="array" ref="Y38">X38/X$11</f>
      </c>
      <c r="Z38" s="3841" t="e">
        <f t="array" ref="Z38">X38/X$26</f>
      </c>
      <c r="AA38" s="3842" t="e">
        <f t="array" ref="AA38">AA$26*'Assumptions'!N50</f>
      </c>
      <c r="AB38" s="1778" t="e">
        <f t="array" ref="AB38">AA38/AA$11</f>
      </c>
      <c r="AC38" s="3841" t="e">
        <f t="array" ref="AC38">AA38/AA$26</f>
      </c>
      <c r="AD38" s="3843" t="e">
        <f t="array" ref="AD38">AD$26*'Assumptions'!O50</f>
      </c>
      <c r="AE38" s="1782" t="e">
        <f t="array" ref="AE38">AD38/AD$11</f>
      </c>
      <c r="AF38" s="3844" t="e">
        <f t="array" ref="AF38">AD38/AD$26</f>
      </c>
      <c r="AG38" s="1736" t="n"/>
      <c r="AH38" s="26" t="n"/>
      <c r="AI38" s="1753" t="n"/>
      <c r="AJ38" s="1727" t="n"/>
      <c r="AK38" s="1727" t="n"/>
      <c r="AL38" s="1727" t="n"/>
      <c r="AM38" s="1727" t="n"/>
      <c r="AN38" s="1727" t="n"/>
      <c r="AO38" s="1727" t="n"/>
      <c r="AP38" s="1727" t="n"/>
      <c r="AQ38" s="1727" t="n"/>
      <c r="AR38" s="1728" t="n"/>
    </row>
    <row r="39" s="3154" customFormat="1" ht="15" customHeight="1">
      <c r="A39" s="1784" t="str">
        <f t="array" ref="A39">'Assumptions'!A51</f>
        <v>Advertising &amp; Sales</v>
      </c>
      <c r="B39" s="1791" t="str">
        <f t="array" ref="B39">IF('Assumptions'!E51="","",'Assumptions'!E51)</f>
      </c>
      <c r="C39" s="3846" t="e">
        <f t="array" ref="C39">C$26*'Assumptions'!F51</f>
      </c>
      <c r="D39" s="1787" t="e">
        <f t="array" ref="D39">C39/C$11</f>
      </c>
      <c r="E39" s="3817" t="e">
        <f t="array" ref="E39">C39/C$26</f>
      </c>
      <c r="F39" s="3847" t="e">
        <f t="array" ref="F39">F$26*'Assumptions'!G51</f>
      </c>
      <c r="G39" s="1787" t="e">
        <f t="array" ref="G39">F39/F$11</f>
      </c>
      <c r="H39" s="3817" t="e">
        <f t="array" ref="H39">F39/F$26</f>
      </c>
      <c r="I39" s="3847" t="e">
        <f t="array" ref="I39">I$26*'Assumptions'!H51</f>
      </c>
      <c r="J39" s="1787" t="e">
        <f t="array" ref="J39">I39/I$11</f>
      </c>
      <c r="K39" s="3817" t="e">
        <f t="array" ref="K39">I39/I$26</f>
      </c>
      <c r="L39" s="3847" t="e">
        <f t="array" ref="L39">L$26*'Assumptions'!I51</f>
      </c>
      <c r="M39" s="1787" t="e">
        <f t="array" ref="M39">L39/L$11</f>
      </c>
      <c r="N39" s="3817" t="e">
        <f t="array" ref="N39">L39/L$26</f>
      </c>
      <c r="O39" s="3847" t="e">
        <f t="array" ref="O39">O$26*'Assumptions'!J51</f>
      </c>
      <c r="P39" s="1787" t="e">
        <f t="array" ref="P39">O39/O$11</f>
      </c>
      <c r="Q39" s="3817" t="e">
        <f t="array" ref="Q39">O39/O$26</f>
      </c>
      <c r="R39" s="3847" t="e">
        <f t="array" ref="R39">R$26*'Assumptions'!K51</f>
      </c>
      <c r="S39" s="1787" t="e">
        <f t="array" ref="S39">R39/R$11</f>
      </c>
      <c r="T39" s="3817" t="e">
        <f t="array" ref="T39">R39/R$26</f>
      </c>
      <c r="U39" s="3847" t="e">
        <f t="array" ref="U39">U$26*'Assumptions'!L51</f>
      </c>
      <c r="V39" s="1787" t="e">
        <f t="array" ref="V39">U39/U$11</f>
      </c>
      <c r="W39" s="3817" t="e">
        <f t="array" ref="W39">U39/U$26</f>
      </c>
      <c r="X39" s="3847" t="e">
        <f t="array" ref="X39">X$26*'Assumptions'!M51</f>
      </c>
      <c r="Y39" s="1787" t="e">
        <f t="array" ref="Y39">X39/X$11</f>
      </c>
      <c r="Z39" s="3817" t="e">
        <f t="array" ref="Z39">X39/X$26</f>
      </c>
      <c r="AA39" s="3847" t="e">
        <f t="array" ref="AA39">AA$26*'Assumptions'!N51</f>
      </c>
      <c r="AB39" s="1787" t="e">
        <f t="array" ref="AB39">AA39/AA$11</f>
      </c>
      <c r="AC39" s="3817" t="e">
        <f t="array" ref="AC39">AA39/AA$26</f>
      </c>
      <c r="AD39" s="3848" t="e">
        <f t="array" ref="AD39">AD$26*'Assumptions'!O51</f>
      </c>
      <c r="AE39" s="1790" t="e">
        <f t="array" ref="AE39">AD39/AD$11</f>
      </c>
      <c r="AF39" s="3820" t="e">
        <f t="array" ref="AF39">AD39/AD$26</f>
      </c>
      <c r="AG39" s="1736" t="n"/>
      <c r="AH39" s="26" t="n"/>
      <c r="AI39" s="1753" t="n"/>
      <c r="AJ39" s="1727" t="n"/>
      <c r="AK39" s="1727" t="n"/>
      <c r="AL39" s="1727" t="n"/>
      <c r="AM39" s="1727" t="n"/>
      <c r="AN39" s="1727" t="n"/>
      <c r="AO39" s="1727" t="n"/>
      <c r="AP39" s="1727" t="n"/>
      <c r="AQ39" s="1727" t="n"/>
      <c r="AR39" s="1728" t="n"/>
    </row>
    <row r="40" s="3154" customFormat="1" ht="15" customHeight="1">
      <c r="A40" s="1784" t="str">
        <f t="array" ref="A40">'Assumptions'!A52</f>
        <v>Property Ops &amp; Maint</v>
      </c>
      <c r="B40" s="1791" t="str">
        <f t="array" ref="B40">IF('Assumptions'!E52="","",'Assumptions'!E52)</f>
      </c>
      <c r="C40" s="3846" t="e">
        <f t="array" ref="C40">C$26*'Assumptions'!F52</f>
      </c>
      <c r="D40" s="1787" t="e">
        <f t="array" ref="D40">C40/C$11</f>
      </c>
      <c r="E40" s="3817" t="e">
        <f t="array" ref="E40">C40/C$26</f>
      </c>
      <c r="F40" s="3847" t="e">
        <f t="array" ref="F40">F$26*'Assumptions'!G52</f>
      </c>
      <c r="G40" s="1787" t="e">
        <f t="array" ref="G40">F40/F$11</f>
      </c>
      <c r="H40" s="3817" t="e">
        <f t="array" ref="H40">F40/F$26</f>
      </c>
      <c r="I40" s="3847" t="e">
        <f t="array" ref="I40">I$26*'Assumptions'!H52</f>
      </c>
      <c r="J40" s="1787" t="e">
        <f t="array" ref="J40">I40/I$11</f>
      </c>
      <c r="K40" s="3817" t="e">
        <f t="array" ref="K40">I40/I$26</f>
      </c>
      <c r="L40" s="3847" t="e">
        <f t="array" ref="L40">L$26*'Assumptions'!I52</f>
      </c>
      <c r="M40" s="1787" t="e">
        <f t="array" ref="M40">L40/L$11</f>
      </c>
      <c r="N40" s="3817" t="e">
        <f t="array" ref="N40">L40/L$26</f>
      </c>
      <c r="O40" s="3847" t="e">
        <f t="array" ref="O40">O$26*'Assumptions'!J52</f>
      </c>
      <c r="P40" s="1787" t="e">
        <f t="array" ref="P40">O40/O$11</f>
      </c>
      <c r="Q40" s="3817" t="e">
        <f t="array" ref="Q40">O40/O$26</f>
      </c>
      <c r="R40" s="3847" t="e">
        <f t="array" ref="R40">R$26*'Assumptions'!K52</f>
      </c>
      <c r="S40" s="1787" t="e">
        <f t="array" ref="S40">R40/R$11</f>
      </c>
      <c r="T40" s="3817" t="e">
        <f t="array" ref="T40">R40/R$26</f>
      </c>
      <c r="U40" s="3847" t="e">
        <f t="array" ref="U40">U$26*'Assumptions'!L52</f>
      </c>
      <c r="V40" s="1787" t="e">
        <f t="array" ref="V40">U40/U$11</f>
      </c>
      <c r="W40" s="3817" t="e">
        <f t="array" ref="W40">U40/U$26</f>
      </c>
      <c r="X40" s="3847" t="e">
        <f t="array" ref="X40">X$26*'Assumptions'!M52</f>
      </c>
      <c r="Y40" s="1787" t="e">
        <f t="array" ref="Y40">X40/X$11</f>
      </c>
      <c r="Z40" s="3817" t="e">
        <f t="array" ref="Z40">X40/X$26</f>
      </c>
      <c r="AA40" s="3847" t="e">
        <f t="array" ref="AA40">AA$26*'Assumptions'!N52</f>
      </c>
      <c r="AB40" s="1787" t="e">
        <f t="array" ref="AB40">AA40/AA$11</f>
      </c>
      <c r="AC40" s="3817" t="e">
        <f t="array" ref="AC40">AA40/AA$26</f>
      </c>
      <c r="AD40" s="3848" t="e">
        <f t="array" ref="AD40">AD$26*'Assumptions'!O52</f>
      </c>
      <c r="AE40" s="1790" t="e">
        <f t="array" ref="AE40">AD40/AD$11</f>
      </c>
      <c r="AF40" s="3820" t="e">
        <f t="array" ref="AF40">AD40/AD$26</f>
      </c>
      <c r="AG40" s="1736" t="n"/>
      <c r="AH40" s="26" t="n"/>
      <c r="AI40" s="1753" t="n"/>
      <c r="AJ40" s="1727" t="n"/>
      <c r="AK40" s="1727" t="n"/>
      <c r="AL40" s="1727" t="n"/>
      <c r="AM40" s="1727" t="n"/>
      <c r="AN40" s="1727" t="n"/>
      <c r="AO40" s="1727" t="n"/>
      <c r="AP40" s="1727" t="n"/>
      <c r="AQ40" s="1727" t="n"/>
      <c r="AR40" s="1728" t="n"/>
    </row>
    <row r="41" s="3154" customFormat="1" ht="15" customHeight="1">
      <c r="A41" s="1784" t="str">
        <f t="array" ref="A41">'Assumptions'!A53</f>
        <v>Info &amp; Telecom Systems</v>
      </c>
      <c r="B41" s="1791" t="str">
        <f t="array" ref="B41">IF('Assumptions'!E53="","",'Assumptions'!E53)</f>
      </c>
      <c r="C41" s="3846" t="e">
        <f t="array" ref="C41">C$26*'Assumptions'!F53</f>
      </c>
      <c r="D41" s="1787" t="e">
        <f t="array" ref="D41">C41/C$11</f>
      </c>
      <c r="E41" s="3817" t="e">
        <f t="array" ref="E41">C41/C$26</f>
      </c>
      <c r="F41" s="3847" t="e">
        <f t="array" ref="F41">F$26*'Assumptions'!G53</f>
      </c>
      <c r="G41" s="1787" t="e">
        <f t="array" ref="G41">F41/F$11</f>
      </c>
      <c r="H41" s="3817" t="e">
        <f t="array" ref="H41">F41/F$26</f>
      </c>
      <c r="I41" s="3847" t="e">
        <f t="array" ref="I41">I$26*'Assumptions'!H53</f>
      </c>
      <c r="J41" s="1787" t="e">
        <f t="array" ref="J41">I41/I$11</f>
      </c>
      <c r="K41" s="3817" t="e">
        <f t="array" ref="K41">I41/I$26</f>
      </c>
      <c r="L41" s="3847" t="e">
        <f t="array" ref="L41">L$26*'Assumptions'!I53</f>
      </c>
      <c r="M41" s="1787" t="e">
        <f t="array" ref="M41">L41/L$11</f>
      </c>
      <c r="N41" s="3817" t="e">
        <f t="array" ref="N41">L41/L$26</f>
      </c>
      <c r="O41" s="3847" t="e">
        <f t="array" ref="O41">O$26*'Assumptions'!J53</f>
      </c>
      <c r="P41" s="1787" t="e">
        <f t="array" ref="P41">O41/O$11</f>
      </c>
      <c r="Q41" s="3817" t="e">
        <f t="array" ref="Q41">O41/O$26</f>
      </c>
      <c r="R41" s="3847" t="e">
        <f t="array" ref="R41">R$26*'Assumptions'!K53</f>
      </c>
      <c r="S41" s="1787" t="e">
        <f t="array" ref="S41">R41/R$11</f>
      </c>
      <c r="T41" s="3817" t="e">
        <f t="array" ref="T41">R41/R$26</f>
      </c>
      <c r="U41" s="3847" t="e">
        <f t="array" ref="U41">U$26*'Assumptions'!L53</f>
      </c>
      <c r="V41" s="1787" t="e">
        <f t="array" ref="V41">U41/U$11</f>
      </c>
      <c r="W41" s="3817" t="e">
        <f t="array" ref="W41">U41/U$26</f>
      </c>
      <c r="X41" s="3847" t="e">
        <f t="array" ref="X41">X$26*'Assumptions'!M53</f>
      </c>
      <c r="Y41" s="1787" t="e">
        <f t="array" ref="Y41">X41/X$11</f>
      </c>
      <c r="Z41" s="3817" t="e">
        <f t="array" ref="Z41">X41/X$26</f>
      </c>
      <c r="AA41" s="3847" t="e">
        <f t="array" ref="AA41">AA$26*'Assumptions'!N53</f>
      </c>
      <c r="AB41" s="1787" t="e">
        <f t="array" ref="AB41">AA41/AA$11</f>
      </c>
      <c r="AC41" s="3817" t="e">
        <f t="array" ref="AC41">AA41/AA$26</f>
      </c>
      <c r="AD41" s="3848" t="e">
        <f t="array" ref="AD41">AD$26*'Assumptions'!O53</f>
      </c>
      <c r="AE41" s="1790" t="e">
        <f t="array" ref="AE41">AD41/AD$11</f>
      </c>
      <c r="AF41" s="3820" t="e">
        <f t="array" ref="AF41">AD41/AD$26</f>
      </c>
      <c r="AG41" s="1736" t="n"/>
      <c r="AH41" s="26" t="n"/>
      <c r="AI41" s="1753" t="n"/>
      <c r="AJ41" s="1727" t="n"/>
      <c r="AK41" s="1727" t="n"/>
      <c r="AL41" s="1727" t="n"/>
      <c r="AM41" s="1727" t="n"/>
      <c r="AN41" s="1727" t="n"/>
      <c r="AO41" s="1727" t="n"/>
      <c r="AP41" s="1727" t="n"/>
      <c r="AQ41" s="1727" t="n"/>
      <c r="AR41" s="1728" t="n"/>
    </row>
    <row r="42" s="3154" customFormat="1" ht="15" customHeight="1">
      <c r="A42" s="1784" t="str">
        <f t="array" ref="A42">'Assumptions'!A54</f>
        <v>Utility Cost</v>
      </c>
      <c r="B42" s="1791" t="str">
        <f t="array" ref="B42">IF('Assumptions'!E54="","",'Assumptions'!E54)</f>
      </c>
      <c r="C42" s="3846" t="e">
        <f t="array" ref="C42">C$26*'Assumptions'!F54</f>
      </c>
      <c r="D42" s="1787" t="e">
        <f t="array" ref="D42">C42/C$11</f>
      </c>
      <c r="E42" s="3817" t="e">
        <f t="array" ref="E42">C42/C$26</f>
      </c>
      <c r="F42" s="3847" t="e">
        <f t="array" ref="F42">F$26*'Assumptions'!G54</f>
      </c>
      <c r="G42" s="1787" t="e">
        <f t="array" ref="G42">F42/F$11</f>
      </c>
      <c r="H42" s="3817" t="e">
        <f t="array" ref="H42">F42/F$26</f>
      </c>
      <c r="I42" s="3847" t="e">
        <f t="array" ref="I42">I$26*'Assumptions'!H54</f>
      </c>
      <c r="J42" s="1787" t="e">
        <f t="array" ref="J42">I42/I$11</f>
      </c>
      <c r="K42" s="3817" t="e">
        <f t="array" ref="K42">I42/I$26</f>
      </c>
      <c r="L42" s="3847" t="e">
        <f t="array" ref="L42">L$26*'Assumptions'!I54</f>
      </c>
      <c r="M42" s="1787" t="e">
        <f t="array" ref="M42">L42/L$11</f>
      </c>
      <c r="N42" s="3817" t="e">
        <f t="array" ref="N42">L42/L$26</f>
      </c>
      <c r="O42" s="3847" t="e">
        <f t="array" ref="O42">O$26*'Assumptions'!J54</f>
      </c>
      <c r="P42" s="1787" t="e">
        <f t="array" ref="P42">O42/O$11</f>
      </c>
      <c r="Q42" s="3817" t="e">
        <f t="array" ref="Q42">O42/O$26</f>
      </c>
      <c r="R42" s="3847" t="e">
        <f t="array" ref="R42">R$26*'Assumptions'!K54</f>
      </c>
      <c r="S42" s="1787" t="e">
        <f t="array" ref="S42">R42/R$11</f>
      </c>
      <c r="T42" s="3817" t="e">
        <f t="array" ref="T42">R42/R$26</f>
      </c>
      <c r="U42" s="3847" t="e">
        <f t="array" ref="U42">U$26*'Assumptions'!L54</f>
      </c>
      <c r="V42" s="1787" t="e">
        <f t="array" ref="V42">U42/U$11</f>
      </c>
      <c r="W42" s="3817" t="e">
        <f t="array" ref="W42">U42/U$26</f>
      </c>
      <c r="X42" s="3847" t="e">
        <f t="array" ref="X42">X$26*'Assumptions'!M54</f>
      </c>
      <c r="Y42" s="1787" t="e">
        <f t="array" ref="Y42">X42/X$11</f>
      </c>
      <c r="Z42" s="3817" t="e">
        <f t="array" ref="Z42">X42/X$26</f>
      </c>
      <c r="AA42" s="3847" t="e">
        <f t="array" ref="AA42">AA$26*'Assumptions'!N54</f>
      </c>
      <c r="AB42" s="1787" t="e">
        <f t="array" ref="AB42">AA42/AA$11</f>
      </c>
      <c r="AC42" s="3817" t="e">
        <f t="array" ref="AC42">AA42/AA$26</f>
      </c>
      <c r="AD42" s="3848" t="e">
        <f t="array" ref="AD42">AD$26*'Assumptions'!O54</f>
      </c>
      <c r="AE42" s="1790" t="e">
        <f t="array" ref="AE42">AD42/AD$11</f>
      </c>
      <c r="AF42" s="3820" t="e">
        <f t="array" ref="AF42">AD42/AD$26</f>
      </c>
      <c r="AG42" s="1736" t="n"/>
      <c r="AH42" s="26" t="n"/>
      <c r="AI42" s="1753" t="n"/>
      <c r="AJ42" s="1727" t="n"/>
      <c r="AK42" s="1727" t="n"/>
      <c r="AL42" s="1727" t="n"/>
      <c r="AM42" s="1727" t="n"/>
      <c r="AN42" s="1727" t="n"/>
      <c r="AO42" s="1727" t="n"/>
      <c r="AP42" s="1727" t="n"/>
      <c r="AQ42" s="1727" t="n"/>
      <c r="AR42" s="1728" t="n"/>
    </row>
    <row r="43" s="3154" customFormat="1" ht="15" customHeight="1">
      <c r="A43" s="1784" t="str">
        <f t="array" ref="A43">'Assumptions'!A55</f>
        <v>Royalty/Franchise Fee</v>
      </c>
      <c r="B43" s="3845" t="n">
        <f t="array" ref="B43">IF('Assumptions'!E55="","",'Assumptions'!E55)</f>
        <v>4</v>
      </c>
      <c r="C43" s="3849" t="e">
        <f t="array" ref="C43">C$26*'Assumptions'!F55</f>
      </c>
      <c r="D43" s="1793" t="e">
        <f t="array" ref="D43">C43/C$11</f>
      </c>
      <c r="E43" s="3850" t="e">
        <f t="array" ref="E43">C43/C$26</f>
      </c>
      <c r="F43" s="3851" t="e">
        <f t="array" ref="F43">F$26*'Assumptions'!G55</f>
      </c>
      <c r="G43" s="1793" t="e">
        <f t="array" ref="G43">F43/F$11</f>
      </c>
      <c r="H43" s="3850" t="e">
        <f t="array" ref="H43">F43/F$26</f>
      </c>
      <c r="I43" s="3851" t="e">
        <f t="array" ref="I43">I$26*'Assumptions'!H55</f>
      </c>
      <c r="J43" s="1793" t="e">
        <f t="array" ref="J43">I43/I$11</f>
      </c>
      <c r="K43" s="3850" t="e">
        <f t="array" ref="K43">I43/I$26</f>
      </c>
      <c r="L43" s="3851" t="e">
        <f t="array" ref="L43">L$26*'Assumptions'!I55</f>
      </c>
      <c r="M43" s="1793" t="e">
        <f t="array" ref="M43">L43/L$11</f>
      </c>
      <c r="N43" s="3850" t="e">
        <f t="array" ref="N43">L43/L$26</f>
      </c>
      <c r="O43" s="3851" t="e">
        <f t="array" ref="O43">O$26*'Assumptions'!J55</f>
      </c>
      <c r="P43" s="1793" t="e">
        <f t="array" ref="P43">O43/O$11</f>
      </c>
      <c r="Q43" s="3850" t="e">
        <f t="array" ref="Q43">O43/O$26</f>
      </c>
      <c r="R43" s="3851" t="e">
        <f t="array" ref="R43">R$26*'Assumptions'!K55</f>
      </c>
      <c r="S43" s="1793" t="e">
        <f t="array" ref="S43">R43/R$11</f>
      </c>
      <c r="T43" s="3850" t="e">
        <f t="array" ref="T43">R43/R$26</f>
      </c>
      <c r="U43" s="3851" t="e">
        <f t="array" ref="U43">U$26*'Assumptions'!L55</f>
      </c>
      <c r="V43" s="1793" t="e">
        <f t="array" ref="V43">U43/U$11</f>
      </c>
      <c r="W43" s="3850" t="e">
        <f t="array" ref="W43">U43/U$26</f>
      </c>
      <c r="X43" s="3851" t="e">
        <f t="array" ref="X43">X$26*'Assumptions'!M55</f>
      </c>
      <c r="Y43" s="1793" t="e">
        <f t="array" ref="Y43">X43/X$11</f>
      </c>
      <c r="Z43" s="3850" t="e">
        <f t="array" ref="Z43">X43/X$26</f>
      </c>
      <c r="AA43" s="3851" t="e">
        <f t="array" ref="AA43">AA$26*'Assumptions'!N55</f>
      </c>
      <c r="AB43" s="1793" t="e">
        <f t="array" ref="AB43">AA43/AA$11</f>
      </c>
      <c r="AC43" s="3850" t="e">
        <f t="array" ref="AC43">AA43/AA$26</f>
      </c>
      <c r="AD43" s="3852" t="e">
        <f t="array" ref="AD43">AD$26*'Assumptions'!O55</f>
      </c>
      <c r="AE43" s="1797" t="e">
        <f t="array" ref="AE43">AD43/AD$11</f>
      </c>
      <c r="AF43" s="3853" t="e">
        <f t="array" ref="AF43">AD43/AD$26</f>
      </c>
      <c r="AG43" s="1736" t="n"/>
      <c r="AH43" s="26" t="n"/>
      <c r="AI43" s="1753" t="n"/>
      <c r="AJ43" s="1727" t="n"/>
      <c r="AK43" s="1727" t="n"/>
      <c r="AL43" s="1727" t="n"/>
      <c r="AM43" s="1727" t="n"/>
      <c r="AN43" s="1727" t="n"/>
      <c r="AO43" s="1727" t="n"/>
      <c r="AP43" s="1727" t="n"/>
      <c r="AQ43" s="1727" t="n"/>
      <c r="AR43" s="1728" t="n"/>
    </row>
    <row r="44" s="3154" customFormat="1" ht="15" customHeight="1">
      <c r="A44" s="1729" t="inlineStr">
        <is>
          <t xml:space="preserve">Total Undistributed Exp</t>
        </is>
      </c>
      <c r="B44" s="1730" t="n"/>
      <c r="C44" s="3854" t="e">
        <f t="array" ref="C44">SUBTOTAL(9,C38:C43)</f>
      </c>
      <c r="D44" s="1800" t="e">
        <f t="array" ref="D44">C44/C$11</f>
      </c>
      <c r="E44" s="3855" t="e">
        <f t="array" ref="E44">C44/C$26</f>
      </c>
      <c r="F44" s="3856" t="e">
        <f t="array" ref="F44">SUBTOTAL(9,F38:F43)</f>
      </c>
      <c r="G44" s="1800" t="e">
        <f t="array" ref="G44">F44/F$11</f>
      </c>
      <c r="H44" s="3855" t="e">
        <f t="array" ref="H44">F44/F$26</f>
      </c>
      <c r="I44" s="3856" t="e">
        <f t="array" ref="I44">SUBTOTAL(9,I38:I43)</f>
      </c>
      <c r="J44" s="1800" t="e">
        <f t="array" ref="J44">I44/I$11</f>
      </c>
      <c r="K44" s="3855" t="e">
        <f t="array" ref="K44">I44/I$26</f>
      </c>
      <c r="L44" s="3856" t="e">
        <f t="array" ref="L44">SUBTOTAL(9,L38:L43)</f>
      </c>
      <c r="M44" s="1800" t="e">
        <f t="array" ref="M44">L44/L$11</f>
      </c>
      <c r="N44" s="3855" t="e">
        <f t="array" ref="N44">L44/L$26</f>
      </c>
      <c r="O44" s="3856" t="e">
        <f t="array" ref="O44">SUBTOTAL(9,O38:O43)</f>
      </c>
      <c r="P44" s="1800" t="e">
        <f t="array" ref="P44">O44/O$11</f>
      </c>
      <c r="Q44" s="3855" t="e">
        <f t="array" ref="Q44">O44/O$26</f>
      </c>
      <c r="R44" s="3856" t="e">
        <f t="array" ref="R44">SUBTOTAL(9,R38:R43)</f>
      </c>
      <c r="S44" s="1800" t="e">
        <f t="array" ref="S44">R44/R$11</f>
      </c>
      <c r="T44" s="3855" t="e">
        <f t="array" ref="T44">R44/R$26</f>
      </c>
      <c r="U44" s="3856" t="e">
        <f t="array" ref="U44">SUBTOTAL(9,U38:U43)</f>
      </c>
      <c r="V44" s="1800" t="e">
        <f t="array" ref="V44">U44/U$11</f>
      </c>
      <c r="W44" s="3855" t="e">
        <f t="array" ref="W44">U44/U$26</f>
      </c>
      <c r="X44" s="3856" t="e">
        <f t="array" ref="X44">SUBTOTAL(9,X38:X43)</f>
      </c>
      <c r="Y44" s="1800" t="e">
        <f t="array" ref="Y44">X44/X$11</f>
      </c>
      <c r="Z44" s="3855" t="e">
        <f t="array" ref="Z44">X44/X$26</f>
      </c>
      <c r="AA44" s="3856" t="e">
        <f t="array" ref="AA44">SUBTOTAL(9,AA38:AA43)</f>
      </c>
      <c r="AB44" s="1800" t="e">
        <f t="array" ref="AB44">AA44/AA$11</f>
      </c>
      <c r="AC44" s="3855" t="e">
        <f t="array" ref="AC44">AA44/AA$26</f>
      </c>
      <c r="AD44" s="3857" t="e">
        <f t="array" ref="AD44">SUBTOTAL(9,AD38:AD43)</f>
      </c>
      <c r="AE44" s="1804" t="e">
        <f t="array" ref="AE44">AD44/AD$11</f>
      </c>
      <c r="AF44" s="3858" t="e">
        <f t="array" ref="AF44">AD44/AD$26</f>
      </c>
      <c r="AG44" s="1736" t="n"/>
      <c r="AH44" s="26" t="n"/>
      <c r="AI44" s="1753" t="n">
        <f t="array" ref="AI44">ROW(A44)-5</f>
        <v>39</v>
      </c>
      <c r="AJ44" s="1727" t="n"/>
      <c r="AK44" s="1727" t="n"/>
      <c r="AL44" s="1727" t="n"/>
      <c r="AM44" s="1727" t="n"/>
      <c r="AN44" s="1727" t="n"/>
      <c r="AO44" s="1727" t="n"/>
      <c r="AP44" s="1727" t="n"/>
      <c r="AQ44" s="1727" t="n"/>
      <c r="AR44" s="1728" t="n"/>
    </row>
    <row r="45" s="3154" customFormat="1" ht="8" customHeight="1">
      <c r="A45" s="627" t="n"/>
      <c r="B45" s="26" t="n"/>
      <c r="C45" s="1765" t="n"/>
      <c r="D45" s="1738" t="n"/>
      <c r="E45" s="3817" t="n"/>
      <c r="F45" s="1766" t="n"/>
      <c r="G45" s="1738" t="n"/>
      <c r="H45" s="3817" t="n"/>
      <c r="I45" s="1766" t="n"/>
      <c r="J45" s="1738" t="n"/>
      <c r="K45" s="3817" t="n"/>
      <c r="L45" s="1766" t="n"/>
      <c r="M45" s="1738" t="n"/>
      <c r="N45" s="3817" t="n"/>
      <c r="O45" s="1766" t="n"/>
      <c r="P45" s="1738" t="n"/>
      <c r="Q45" s="3817" t="n"/>
      <c r="R45" s="1766" t="n"/>
      <c r="S45" s="1738" t="n"/>
      <c r="T45" s="3817" t="n"/>
      <c r="U45" s="1766" t="n"/>
      <c r="V45" s="1738" t="n"/>
      <c r="W45" s="3817" t="n"/>
      <c r="X45" s="1766" t="n"/>
      <c r="Y45" s="1738" t="n"/>
      <c r="Z45" s="3817" t="n"/>
      <c r="AA45" s="1766" t="n"/>
      <c r="AB45" s="1738" t="n"/>
      <c r="AC45" s="3817" t="n"/>
      <c r="AD45" s="1767" t="n"/>
      <c r="AE45" s="1741" t="n"/>
      <c r="AF45" s="3820" t="n"/>
      <c r="AG45" s="1736" t="n"/>
      <c r="AH45" s="26" t="n"/>
      <c r="AI45" s="1727" t="n"/>
      <c r="AJ45" s="1727" t="n"/>
      <c r="AK45" s="1727" t="n"/>
      <c r="AL45" s="1753" t="n"/>
      <c r="AM45" s="1753" t="n"/>
      <c r="AN45" s="1727" t="n"/>
      <c r="AO45" s="1727" t="n"/>
      <c r="AP45" s="1727" t="n"/>
      <c r="AQ45" s="1727" t="n"/>
      <c r="AR45" s="1728" t="n"/>
    </row>
    <row r="46" s="3154" customFormat="1" ht="15.75" customHeight="1">
      <c r="A46" s="1816" t="inlineStr">
        <is>
          <t xml:space="preserve">MANAGEMENT FEES</t>
        </is>
      </c>
      <c r="B46" s="1817" t="n"/>
      <c r="C46" s="3860" t="n"/>
      <c r="D46" s="3861" t="n"/>
      <c r="E46" s="3862" t="n"/>
      <c r="F46" s="3863" t="n"/>
      <c r="G46" s="3861" t="n"/>
      <c r="H46" s="3862" t="n"/>
      <c r="I46" s="3863" t="n"/>
      <c r="J46" s="3861" t="n"/>
      <c r="K46" s="3862" t="n"/>
      <c r="L46" s="3863" t="n"/>
      <c r="M46" s="3861" t="n"/>
      <c r="N46" s="3862" t="n"/>
      <c r="O46" s="3863" t="n"/>
      <c r="P46" s="3861" t="n"/>
      <c r="Q46" s="3862" t="n"/>
      <c r="R46" s="3863" t="n"/>
      <c r="S46" s="3861" t="n"/>
      <c r="T46" s="3862" t="n"/>
      <c r="U46" s="3863" t="n"/>
      <c r="V46" s="3861" t="n"/>
      <c r="W46" s="3862" t="n"/>
      <c r="X46" s="3863" t="n"/>
      <c r="Y46" s="3861" t="n"/>
      <c r="Z46" s="3862" t="n"/>
      <c r="AA46" s="3863" t="n"/>
      <c r="AB46" s="3861" t="n"/>
      <c r="AC46" s="3862" t="n"/>
      <c r="AD46" s="3864" t="n"/>
      <c r="AE46" s="3865" t="n"/>
      <c r="AF46" s="3866" t="n"/>
      <c r="AG46" s="3867" t="n"/>
      <c r="AH46" s="26" t="n"/>
      <c r="AI46" s="1727" t="n"/>
      <c r="AJ46" s="1727" t="n"/>
      <c r="AK46" s="1727" t="n"/>
      <c r="AL46" s="1727" t="n"/>
      <c r="AM46" s="1727" t="n"/>
      <c r="AN46" s="1727" t="n"/>
      <c r="AO46" s="1727" t="n"/>
      <c r="AP46" s="1727" t="n"/>
      <c r="AQ46" s="1727" t="n"/>
      <c r="AR46" s="1728" t="n"/>
    </row>
    <row r="47" s="3154" customFormat="1" ht="15" customHeight="1">
      <c r="A47" s="1775" t="str">
        <f t="array" ref="A47">'Assumptions'!A58</f>
        <v>Management Fee</v>
      </c>
      <c r="B47" s="1776" t="str">
        <f t="array" ref="B47">IF('Assumptions'!E58="","",'Assumptions'!E58)</f>
      </c>
      <c r="C47" s="3840" t="e">
        <f t="array" ref="C47">C$26*'Assumptions'!F58</f>
      </c>
      <c r="D47" s="1778" t="e">
        <f t="array" ref="D47">C47/C$11</f>
      </c>
      <c r="E47" s="3841" t="e">
        <f t="array" ref="E47">C47/C$26</f>
      </c>
      <c r="F47" s="3842" t="e">
        <f t="array" ref="F47">F$26*'Assumptions'!G58</f>
      </c>
      <c r="G47" s="1778" t="e">
        <f t="array" ref="G47">F47/F$11</f>
      </c>
      <c r="H47" s="3841" t="e">
        <f t="array" ref="H47">F47/F$26</f>
      </c>
      <c r="I47" s="3842" t="e">
        <f t="array" ref="I47">I$26*'Assumptions'!H58</f>
      </c>
      <c r="J47" s="1778" t="e">
        <f t="array" ref="J47">I47/I$11</f>
      </c>
      <c r="K47" s="3841" t="e">
        <f t="array" ref="K47">I47/I$26</f>
      </c>
      <c r="L47" s="3842" t="e">
        <f t="array" ref="L47">L$26*'Assumptions'!I58</f>
      </c>
      <c r="M47" s="1778" t="e">
        <f t="array" ref="M47">L47/L$11</f>
      </c>
      <c r="N47" s="3841" t="e">
        <f t="array" ref="N47">L47/L$26</f>
      </c>
      <c r="O47" s="3842" t="e">
        <f t="array" ref="O47">O$26*'Assumptions'!J58</f>
      </c>
      <c r="P47" s="1778" t="e">
        <f t="array" ref="P47">O47/O$11</f>
      </c>
      <c r="Q47" s="3841" t="e">
        <f t="array" ref="Q47">O47/O$26</f>
      </c>
      <c r="R47" s="3842" t="e">
        <f t="array" ref="R47">R$26*'Assumptions'!K58</f>
      </c>
      <c r="S47" s="1778" t="e">
        <f t="array" ref="S47">R47/R$11</f>
      </c>
      <c r="T47" s="3841" t="e">
        <f t="array" ref="T47">R47/R$26</f>
      </c>
      <c r="U47" s="3842" t="e">
        <f t="array" ref="U47">U$26*'Assumptions'!L58</f>
      </c>
      <c r="V47" s="1778" t="e">
        <f t="array" ref="V47">U47/U$11</f>
      </c>
      <c r="W47" s="3841" t="e">
        <f t="array" ref="W47">U47/U$26</f>
      </c>
      <c r="X47" s="3842" t="e">
        <f t="array" ref="X47">X$26*'Assumptions'!M58</f>
      </c>
      <c r="Y47" s="1778" t="e">
        <f t="array" ref="Y47">X47/X$11</f>
      </c>
      <c r="Z47" s="3841" t="e">
        <f t="array" ref="Z47">X47/X$26</f>
      </c>
      <c r="AA47" s="3842" t="e">
        <f t="array" ref="AA47">AA$26*'Assumptions'!N58</f>
      </c>
      <c r="AB47" s="1778" t="e">
        <f t="array" ref="AB47">AA47/AA$11</f>
      </c>
      <c r="AC47" s="3841" t="e">
        <f t="array" ref="AC47">AA47/AA$26</f>
      </c>
      <c r="AD47" s="3843" t="e">
        <f t="array" ref="AD47">AD$26*'Assumptions'!O58</f>
      </c>
      <c r="AE47" s="1782" t="e">
        <f t="array" ref="AE47">AD47/AD$11</f>
      </c>
      <c r="AF47" s="3844" t="e">
        <f t="array" ref="AF47">AD47/AD$26</f>
      </c>
      <c r="AG47" s="1736" t="n"/>
      <c r="AH47" s="26" t="n"/>
      <c r="AI47" s="1753" t="n"/>
      <c r="AJ47" s="1727" t="n"/>
      <c r="AK47" s="1727" t="n"/>
      <c r="AL47" s="1727" t="n"/>
      <c r="AM47" s="1727" t="n"/>
      <c r="AN47" s="1727" t="n"/>
      <c r="AO47" s="1727" t="n"/>
      <c r="AP47" s="1727" t="n"/>
      <c r="AQ47" s="1727" t="n"/>
      <c r="AR47" s="1728" t="n"/>
    </row>
    <row r="48" s="3154" customFormat="1" ht="15" customHeight="1">
      <c r="A48" s="1784" t="str">
        <f t="array" ref="A48">'Assumptions'!A59</f>
        <v>Accounting Fees</v>
      </c>
      <c r="B48" s="1791" t="str">
        <f t="array" ref="B48">IF('Assumptions'!E59="","",'Assumptions'!E59)</f>
      </c>
      <c r="C48" s="3849" t="e">
        <f t="array" ref="C48">C$26*'Assumptions'!F59</f>
      </c>
      <c r="D48" s="1793" t="e">
        <f t="array" ref="D48">C48/C$11</f>
      </c>
      <c r="E48" s="3850" t="e">
        <f t="array" ref="E48">C48/C$26</f>
      </c>
      <c r="F48" s="3851" t="e">
        <f t="array" ref="F48">F$26*'Assumptions'!G59</f>
      </c>
      <c r="G48" s="1793" t="e">
        <f t="array" ref="G48">F48/F$11</f>
      </c>
      <c r="H48" s="3850" t="e">
        <f t="array" ref="H48">F48/F$26</f>
      </c>
      <c r="I48" s="3851" t="e">
        <f t="array" ref="I48">I$26*'Assumptions'!H59</f>
      </c>
      <c r="J48" s="1793" t="e">
        <f t="array" ref="J48">I48/I$11</f>
      </c>
      <c r="K48" s="3850" t="e">
        <f t="array" ref="K48">I48/I$26</f>
      </c>
      <c r="L48" s="3851" t="e">
        <f t="array" ref="L48">L$26*'Assumptions'!I59</f>
      </c>
      <c r="M48" s="1793" t="e">
        <f t="array" ref="M48">L48/L$11</f>
      </c>
      <c r="N48" s="3850" t="e">
        <f t="array" ref="N48">L48/L$26</f>
      </c>
      <c r="O48" s="3851" t="e">
        <f t="array" ref="O48">O$26*'Assumptions'!J59</f>
      </c>
      <c r="P48" s="1793" t="e">
        <f t="array" ref="P48">O48/O$11</f>
      </c>
      <c r="Q48" s="3850" t="e">
        <f t="array" ref="Q48">O48/O$26</f>
      </c>
      <c r="R48" s="3851" t="e">
        <f t="array" ref="R48">R$26*'Assumptions'!K59</f>
      </c>
      <c r="S48" s="1793" t="e">
        <f t="array" ref="S48">R48/R$11</f>
      </c>
      <c r="T48" s="3850" t="e">
        <f t="array" ref="T48">R48/R$26</f>
      </c>
      <c r="U48" s="3851" t="e">
        <f t="array" ref="U48">U$26*'Assumptions'!L59</f>
      </c>
      <c r="V48" s="1793" t="e">
        <f t="array" ref="V48">U48/U$11</f>
      </c>
      <c r="W48" s="3850" t="e">
        <f t="array" ref="W48">U48/U$26</f>
      </c>
      <c r="X48" s="3851" t="e">
        <f t="array" ref="X48">X$26*'Assumptions'!M59</f>
      </c>
      <c r="Y48" s="1793" t="e">
        <f t="array" ref="Y48">X48/X$11</f>
      </c>
      <c r="Z48" s="3850" t="e">
        <f t="array" ref="Z48">X48/X$26</f>
      </c>
      <c r="AA48" s="3851" t="e">
        <f t="array" ref="AA48">AA$26*'Assumptions'!N59</f>
      </c>
      <c r="AB48" s="1793" t="e">
        <f t="array" ref="AB48">AA48/AA$11</f>
      </c>
      <c r="AC48" s="3850" t="e">
        <f t="array" ref="AC48">AA48/AA$26</f>
      </c>
      <c r="AD48" s="3852" t="e">
        <f t="array" ref="AD48">AD$26*'Assumptions'!O59</f>
      </c>
      <c r="AE48" s="1797" t="e">
        <f t="array" ref="AE48">AD48/AD$11</f>
      </c>
      <c r="AF48" s="3853" t="e">
        <f t="array" ref="AF48">AD48/AD$26</f>
      </c>
      <c r="AG48" s="1736" t="n"/>
      <c r="AH48" s="26" t="n"/>
      <c r="AI48" s="1753" t="n"/>
      <c r="AJ48" s="1727" t="n"/>
      <c r="AK48" s="1727" t="n"/>
      <c r="AL48" s="1727" t="n"/>
      <c r="AM48" s="1727" t="n"/>
      <c r="AN48" s="1727" t="n"/>
      <c r="AO48" s="1727" t="n"/>
      <c r="AP48" s="1727" t="n"/>
      <c r="AQ48" s="1727" t="n"/>
      <c r="AR48" s="1728" t="n"/>
    </row>
    <row r="49" s="3154" customFormat="1" ht="15" customHeight="1">
      <c r="A49" s="1729" t="inlineStr">
        <is>
          <t xml:space="preserve">Total Management Fees</t>
        </is>
      </c>
      <c r="B49" s="1730" t="n"/>
      <c r="C49" s="3854" t="e">
        <f t="array" ref="C49">SUM(C47:C48)</f>
      </c>
      <c r="D49" s="1800" t="e">
        <f t="array" ref="D49">C49/C$11</f>
      </c>
      <c r="E49" s="3855" t="e">
        <f t="array" ref="E49">C49/C$26</f>
      </c>
      <c r="F49" s="3856" t="e">
        <f t="array" ref="F49">SUM(F47:F48)</f>
      </c>
      <c r="G49" s="1800" t="e">
        <f t="array" ref="G49">F49/F$11</f>
      </c>
      <c r="H49" s="3855" t="e">
        <f t="array" ref="H49">F49/F$26</f>
      </c>
      <c r="I49" s="3856" t="e">
        <f t="array" ref="I49">SUM(I47:I48)</f>
      </c>
      <c r="J49" s="1800" t="e">
        <f t="array" ref="J49">I49/I$11</f>
      </c>
      <c r="K49" s="3855" t="e">
        <f t="array" ref="K49">I49/I$26</f>
      </c>
      <c r="L49" s="3856" t="e">
        <f t="array" ref="L49">SUM(L47:L48)</f>
      </c>
      <c r="M49" s="1800" t="e">
        <f t="array" ref="M49">L49/L$11</f>
      </c>
      <c r="N49" s="3855" t="e">
        <f t="array" ref="N49">L49/L$26</f>
      </c>
      <c r="O49" s="3856" t="e">
        <f t="array" ref="O49">SUM(O47:O48)</f>
      </c>
      <c r="P49" s="1800" t="e">
        <f t="array" ref="P49">O49/O$11</f>
      </c>
      <c r="Q49" s="3855" t="e">
        <f t="array" ref="Q49">O49/O$26</f>
      </c>
      <c r="R49" s="3856" t="e">
        <f t="array" ref="R49">SUM(R47:R48)</f>
      </c>
      <c r="S49" s="1800" t="e">
        <f t="array" ref="S49">R49/R$11</f>
      </c>
      <c r="T49" s="3855" t="e">
        <f t="array" ref="T49">R49/R$26</f>
      </c>
      <c r="U49" s="3856" t="e">
        <f t="array" ref="U49">SUM(U47:U48)</f>
      </c>
      <c r="V49" s="1800" t="e">
        <f t="array" ref="V49">U49/U$11</f>
      </c>
      <c r="W49" s="3855" t="e">
        <f t="array" ref="W49">U49/U$26</f>
      </c>
      <c r="X49" s="3856" t="e">
        <f t="array" ref="X49">SUM(X47:X48)</f>
      </c>
      <c r="Y49" s="1800" t="e">
        <f t="array" ref="Y49">X49/X$11</f>
      </c>
      <c r="Z49" s="3855" t="e">
        <f t="array" ref="Z49">X49/X$26</f>
      </c>
      <c r="AA49" s="3856" t="e">
        <f t="array" ref="AA49">SUM(AA47:AA48)</f>
      </c>
      <c r="AB49" s="1800" t="e">
        <f t="array" ref="AB49">AA49/AA$11</f>
      </c>
      <c r="AC49" s="3855" t="e">
        <f t="array" ref="AC49">AA49/AA$26</f>
      </c>
      <c r="AD49" s="3857" t="e">
        <f t="array" ref="AD49">SUM(AD47:AD48)</f>
      </c>
      <c r="AE49" s="1804" t="e">
        <f t="array" ref="AE49">AD49/AD$11</f>
      </c>
      <c r="AF49" s="3858" t="e">
        <f t="array" ref="AF49">AD49/AD$26</f>
      </c>
      <c r="AG49" s="1736" t="n"/>
      <c r="AH49" s="26" t="n"/>
      <c r="AI49" s="1753" t="n">
        <f t="array" ref="AI49">ROW(A49)-5</f>
        <v>44</v>
      </c>
      <c r="AJ49" s="1727" t="n"/>
      <c r="AK49" s="1727" t="n"/>
      <c r="AL49" s="1727" t="n"/>
      <c r="AM49" s="1727" t="n"/>
      <c r="AN49" s="1727" t="n"/>
      <c r="AO49" s="1727" t="n"/>
      <c r="AP49" s="1727" t="n"/>
      <c r="AQ49" s="1727" t="n"/>
      <c r="AR49" s="1728" t="n"/>
    </row>
    <row r="50" s="3154" customFormat="1" ht="8" customHeight="1">
      <c r="A50" s="627" t="n"/>
      <c r="B50" s="26" t="n"/>
      <c r="C50" s="1765" t="n"/>
      <c r="D50" s="1738" t="n"/>
      <c r="E50" s="3817" t="n"/>
      <c r="F50" s="1766" t="n"/>
      <c r="G50" s="1738" t="n"/>
      <c r="H50" s="3817" t="n"/>
      <c r="I50" s="1766" t="n"/>
      <c r="J50" s="1738" t="n"/>
      <c r="K50" s="3817" t="n"/>
      <c r="L50" s="1766" t="n"/>
      <c r="M50" s="1738" t="n"/>
      <c r="N50" s="3817" t="n"/>
      <c r="O50" s="1766" t="n"/>
      <c r="P50" s="1738" t="n"/>
      <c r="Q50" s="3817" t="n"/>
      <c r="R50" s="1766" t="n"/>
      <c r="S50" s="1738" t="n"/>
      <c r="T50" s="3817" t="n"/>
      <c r="U50" s="1766" t="n"/>
      <c r="V50" s="1738" t="n"/>
      <c r="W50" s="3817" t="n"/>
      <c r="X50" s="1766" t="n"/>
      <c r="Y50" s="1738" t="n"/>
      <c r="Z50" s="3817" t="n"/>
      <c r="AA50" s="1766" t="n"/>
      <c r="AB50" s="1738" t="n"/>
      <c r="AC50" s="3817" t="n"/>
      <c r="AD50" s="1767" t="n"/>
      <c r="AE50" s="1741" t="n"/>
      <c r="AF50" s="3820" t="n"/>
      <c r="AG50" s="1736" t="n"/>
      <c r="AH50" s="26" t="n"/>
      <c r="AI50" s="1727" t="n"/>
      <c r="AJ50" s="1727" t="n"/>
      <c r="AK50" s="1727" t="n"/>
      <c r="AL50" s="1753" t="n"/>
      <c r="AM50" s="1753" t="n"/>
      <c r="AN50" s="1727" t="n"/>
      <c r="AO50" s="1727" t="n"/>
      <c r="AP50" s="1727" t="n"/>
      <c r="AQ50" s="1727" t="n"/>
      <c r="AR50" s="1728" t="n"/>
    </row>
    <row r="51" s="3154" customFormat="1" ht="15.75" customHeight="1">
      <c r="A51" s="1807" t="inlineStr">
        <is>
          <t xml:space="preserve">GROSS OPERATING PROFIT</t>
        </is>
      </c>
      <c r="B51" s="1808" t="n"/>
      <c r="C51" s="3849" t="e">
        <f t="array" ref="C51">C35-C44-C49</f>
      </c>
      <c r="D51" s="1793" t="e">
        <f t="array" ref="D51">C51/C$11</f>
      </c>
      <c r="E51" s="3850" t="e">
        <f t="array" ref="E51">C51/C$26</f>
      </c>
      <c r="F51" s="3851" t="e">
        <f t="array" ref="F51">F35-F44-F49</f>
      </c>
      <c r="G51" s="1793" t="e">
        <f t="array" ref="G51">F51/F$11</f>
      </c>
      <c r="H51" s="3850" t="e">
        <f t="array" ref="H51">F51/F$26</f>
      </c>
      <c r="I51" s="3851" t="e">
        <f t="array" ref="I51">I35-I44-I49</f>
      </c>
      <c r="J51" s="1793" t="e">
        <f t="array" ref="J51">I51/I$11</f>
      </c>
      <c r="K51" s="3850" t="e">
        <f t="array" ref="K51">I51/I$26</f>
      </c>
      <c r="L51" s="3851" t="e">
        <f t="array" ref="L51">L35-L44-L49</f>
      </c>
      <c r="M51" s="1793" t="e">
        <f t="array" ref="M51">L51/L$11</f>
      </c>
      <c r="N51" s="3850" t="e">
        <f t="array" ref="N51">L51/L$26</f>
      </c>
      <c r="O51" s="3851" t="e">
        <f t="array" ref="O51">O35-O44-O49</f>
      </c>
      <c r="P51" s="1793" t="e">
        <f t="array" ref="P51">O51/O$11</f>
      </c>
      <c r="Q51" s="3850" t="e">
        <f t="array" ref="Q51">O51/O$26</f>
      </c>
      <c r="R51" s="3851" t="e">
        <f t="array" ref="R51">R35-R44-R49</f>
      </c>
      <c r="S51" s="1793" t="e">
        <f t="array" ref="S51">R51/R$11</f>
      </c>
      <c r="T51" s="3850" t="e">
        <f t="array" ref="T51">R51/R$26</f>
      </c>
      <c r="U51" s="3851" t="e">
        <f t="array" ref="U51">U35-U44-U49</f>
      </c>
      <c r="V51" s="1793" t="e">
        <f t="array" ref="V51">U51/U$11</f>
      </c>
      <c r="W51" s="3850" t="e">
        <f t="array" ref="W51">U51/U$26</f>
      </c>
      <c r="X51" s="3851" t="e">
        <f t="array" ref="X51">X35-X44-X49</f>
      </c>
      <c r="Y51" s="1793" t="e">
        <f t="array" ref="Y51">X51/X$11</f>
      </c>
      <c r="Z51" s="3850" t="e">
        <f t="array" ref="Z51">X51/X$26</f>
      </c>
      <c r="AA51" s="3851" t="e">
        <f t="array" ref="AA51">AA35-AA44-AA49</f>
      </c>
      <c r="AB51" s="1793" t="e">
        <f t="array" ref="AB51">AA51/AA$11</f>
      </c>
      <c r="AC51" s="3850" t="e">
        <f t="array" ref="AC51">AA51/AA$26</f>
      </c>
      <c r="AD51" s="3852" t="e">
        <f t="array" ref="AD51">AD35-AD44-AD49</f>
      </c>
      <c r="AE51" s="1797" t="e">
        <f t="array" ref="AE51">AD51/AD$11</f>
      </c>
      <c r="AF51" s="3853" t="e">
        <f t="array" ref="AF51">AD51/AD$26</f>
      </c>
      <c r="AG51" s="3867" t="n"/>
      <c r="AH51" s="26" t="n"/>
      <c r="AI51" s="1753" t="n">
        <f t="array" ref="AI51">ROW(A51)-5</f>
        <v>46</v>
      </c>
      <c r="AJ51" s="1727" t="n"/>
      <c r="AK51" s="1727" t="n"/>
      <c r="AL51" s="1727" t="n"/>
      <c r="AM51" s="1727" t="n"/>
      <c r="AN51" s="1727" t="n"/>
      <c r="AO51" s="1727" t="n"/>
      <c r="AP51" s="1727" t="n"/>
      <c r="AQ51" s="1727" t="n"/>
      <c r="AR51" s="1728" t="n"/>
    </row>
    <row r="52" s="3154" customFormat="1" ht="8" customHeight="1">
      <c r="A52" s="443" t="n"/>
      <c r="B52" s="158" t="n"/>
      <c r="C52" s="1809" t="n"/>
      <c r="D52" s="1810" t="n"/>
      <c r="E52" s="3855" t="n"/>
      <c r="F52" s="1811" t="n"/>
      <c r="G52" s="1810" t="n"/>
      <c r="H52" s="3855" t="n"/>
      <c r="I52" s="1811" t="n"/>
      <c r="J52" s="1810" t="n"/>
      <c r="K52" s="3855" t="n"/>
      <c r="L52" s="1811" t="n"/>
      <c r="M52" s="1810" t="n"/>
      <c r="N52" s="3855" t="n"/>
      <c r="O52" s="1811" t="n"/>
      <c r="P52" s="1810" t="n"/>
      <c r="Q52" s="3855" t="n"/>
      <c r="R52" s="1811" t="n"/>
      <c r="S52" s="1810" t="n"/>
      <c r="T52" s="3855" t="n"/>
      <c r="U52" s="1811" t="n"/>
      <c r="V52" s="1810" t="n"/>
      <c r="W52" s="3855" t="n"/>
      <c r="X52" s="1811" t="n"/>
      <c r="Y52" s="1810" t="n"/>
      <c r="Z52" s="3855" t="n"/>
      <c r="AA52" s="1811" t="n"/>
      <c r="AB52" s="1810" t="n"/>
      <c r="AC52" s="3855" t="n"/>
      <c r="AD52" s="1812" t="n"/>
      <c r="AE52" s="1813" t="n"/>
      <c r="AF52" s="3858" t="n"/>
      <c r="AG52" s="1736" t="n"/>
      <c r="AH52" s="26" t="n"/>
      <c r="AI52" s="1727" t="n"/>
      <c r="AJ52" s="1727" t="n"/>
      <c r="AK52" s="1727" t="n"/>
      <c r="AL52" s="1753" t="n"/>
      <c r="AM52" s="1753" t="n"/>
      <c r="AN52" s="1727" t="n"/>
      <c r="AO52" s="1727" t="n"/>
      <c r="AP52" s="1727" t="n"/>
      <c r="AQ52" s="1727" t="n"/>
      <c r="AR52" s="1728" t="n"/>
    </row>
    <row r="53" s="3154" customFormat="1" ht="15.75" customHeight="1">
      <c r="A53" s="1678" t="inlineStr">
        <is>
          <t xml:space="preserve">FIXED EXPENSES</t>
        </is>
      </c>
      <c r="B53" s="1689" t="n"/>
      <c r="C53" s="1768" t="e">
        <f t="array" ref="C53">C$7</f>
      </c>
      <c r="D53" s="1769" t="inlineStr">
        <is>
          <t xml:space="preserve">POR</t>
        </is>
      </c>
      <c r="E53" s="1814" t="str">
        <f t="array" ref="E53">E$21</f>
        <v>% TR</v>
      </c>
      <c r="F53" s="1771" t="e">
        <f t="array" ref="F53">F$7</f>
      </c>
      <c r="G53" s="1769" t="inlineStr">
        <is>
          <t xml:space="preserve">POR</t>
        </is>
      </c>
      <c r="H53" s="1814" t="str">
        <f t="array" ref="H53">H$21</f>
        <v>% TR</v>
      </c>
      <c r="I53" s="1771" t="e">
        <f t="array" ref="I53">I$7</f>
      </c>
      <c r="J53" s="1769" t="inlineStr">
        <is>
          <t xml:space="preserve">POR</t>
        </is>
      </c>
      <c r="K53" s="1814" t="str">
        <f t="array" ref="K53">K$21</f>
        <v>% TR</v>
      </c>
      <c r="L53" s="1771" t="e">
        <f t="array" ref="L53">L$7</f>
      </c>
      <c r="M53" s="1769" t="inlineStr">
        <is>
          <t xml:space="preserve">POR</t>
        </is>
      </c>
      <c r="N53" s="1814" t="str">
        <f t="array" ref="N53">N$21</f>
        <v>% TR</v>
      </c>
      <c r="O53" s="1771" t="e">
        <f t="array" ref="O53">O$7</f>
      </c>
      <c r="P53" s="1769" t="inlineStr">
        <is>
          <t xml:space="preserve">POR</t>
        </is>
      </c>
      <c r="Q53" s="1814" t="str">
        <f t="array" ref="Q53">Q$21</f>
        <v>% TR</v>
      </c>
      <c r="R53" s="1771" t="e">
        <f t="array" ref="R53">R$7</f>
      </c>
      <c r="S53" s="1769" t="inlineStr">
        <is>
          <t xml:space="preserve">POR</t>
        </is>
      </c>
      <c r="T53" s="1814" t="str">
        <f t="array" ref="T53">T$21</f>
        <v>% TR</v>
      </c>
      <c r="U53" s="1771" t="e">
        <f t="array" ref="U53">U$7</f>
      </c>
      <c r="V53" s="1769" t="inlineStr">
        <is>
          <t xml:space="preserve">POR</t>
        </is>
      </c>
      <c r="W53" s="1814" t="str">
        <f t="array" ref="W53">W$21</f>
        <v>% TR</v>
      </c>
      <c r="X53" s="1771" t="e">
        <f t="array" ref="X53">X$7</f>
      </c>
      <c r="Y53" s="1769" t="inlineStr">
        <is>
          <t xml:space="preserve">POR</t>
        </is>
      </c>
      <c r="Z53" s="1814" t="str">
        <f t="array" ref="Z53">Z$21</f>
        <v>% TR</v>
      </c>
      <c r="AA53" s="1771" t="e">
        <f t="array" ref="AA53">AA$7</f>
      </c>
      <c r="AB53" s="1769" t="inlineStr">
        <is>
          <t xml:space="preserve">POR</t>
        </is>
      </c>
      <c r="AC53" s="1814" t="str">
        <f t="array" ref="AC53">AC$21</f>
        <v>% TR</v>
      </c>
      <c r="AD53" s="1772" t="e">
        <f t="array" ref="AD53">AD$7</f>
      </c>
      <c r="AE53" s="1773" t="inlineStr">
        <is>
          <t xml:space="preserve">POR</t>
        </is>
      </c>
      <c r="AF53" s="1815" t="str">
        <f t="array" ref="AF53">AF$21</f>
        <v>% TR</v>
      </c>
      <c r="AG53" s="3867" t="n"/>
      <c r="AH53" s="26" t="n"/>
      <c r="AI53" s="1753" t="n"/>
      <c r="AJ53" s="1727" t="n"/>
      <c r="AK53" s="1727" t="n"/>
      <c r="AL53" s="1727" t="n"/>
      <c r="AM53" s="1727" t="n"/>
      <c r="AN53" s="1727" t="n"/>
      <c r="AO53" s="1727" t="n"/>
      <c r="AP53" s="1727" t="n"/>
      <c r="AQ53" s="1727" t="n"/>
      <c r="AR53" s="1728" t="n"/>
    </row>
    <row r="54" s="3154" customFormat="1" ht="15" customHeight="1">
      <c r="A54" s="1775" t="str">
        <f t="array" ref="A54">'Assumptions'!A62</f>
        <v>RE Taxes</v>
      </c>
      <c r="B54" s="3859" t="n">
        <f t="array" ref="B54">IF('Assumptions'!E62="","",'Assumptions'!E62)</f>
        <v>5</v>
      </c>
      <c r="C54" s="3840" t="n">
        <f t="array" ref="C54">'Assumptions'!F62</f>
        <v>74898</v>
      </c>
      <c r="D54" s="1778" t="e">
        <f t="array" ref="D54">C54/C$11</f>
      </c>
      <c r="E54" s="3841" t="e">
        <f t="array" ref="E54">C54/C$26</f>
      </c>
      <c r="F54" s="3842" t="n">
        <f t="array" ref="F54">C54*(1+'Assumptions'!G62)</f>
        <v>82387.8</v>
      </c>
      <c r="G54" s="1778" t="e">
        <f t="array" ref="G54">F54/F$11</f>
      </c>
      <c r="H54" s="3841" t="e">
        <f t="array" ref="H54">F54/F$26</f>
      </c>
      <c r="I54" s="3842" t="n">
        <f t="array" ref="I54">F54*(1+'Assumptions'!H62)</f>
        <v>84859.43400000001</v>
      </c>
      <c r="J54" s="1778" t="e">
        <f t="array" ref="J54">I54/I$11</f>
      </c>
      <c r="K54" s="3841" t="e">
        <f t="array" ref="K54">I54/I$26</f>
      </c>
      <c r="L54" s="3842" t="n">
        <f t="array" ref="L54">I54*(1+'Assumptions'!I62)</f>
        <v>86556.62268000001</v>
      </c>
      <c r="M54" s="1778" t="e">
        <f t="array" ref="M54">L54/L$11</f>
      </c>
      <c r="N54" s="3841" t="e">
        <f t="array" ref="N54">L54/L$26</f>
      </c>
      <c r="O54" s="3842" t="n">
        <f t="array" ref="O54">L54*(1+'Assumptions'!J62)</f>
        <v>88287.75513360002</v>
      </c>
      <c r="P54" s="1778" t="e">
        <f t="array" ref="P54">O54/O$11</f>
      </c>
      <c r="Q54" s="3841" t="e">
        <f t="array" ref="Q54">O54/O$26</f>
      </c>
      <c r="R54" s="3842" t="n">
        <f t="array" ref="R54">O54*(1+'Assumptions'!K62)</f>
        <v>90053.51023627202</v>
      </c>
      <c r="S54" s="1778" t="e">
        <f t="array" ref="S54">R54/R$11</f>
      </c>
      <c r="T54" s="3841" t="e">
        <f t="array" ref="T54">R54/R$26</f>
      </c>
      <c r="U54" s="3842" t="n">
        <f t="array" ref="U54">R54*(1+'Assumptions'!L62)</f>
        <v>91854.58044099747</v>
      </c>
      <c r="V54" s="1778" t="e">
        <f t="array" ref="V54">U54/U$11</f>
      </c>
      <c r="W54" s="3841" t="e">
        <f t="array" ref="W54">U54/U$26</f>
      </c>
      <c r="X54" s="3842" t="n">
        <f t="array" ref="X54">U54*(1+'Assumptions'!M62)</f>
        <v>93691.67204981741</v>
      </c>
      <c r="Y54" s="1778" t="e">
        <f t="array" ref="Y54">X54/X$11</f>
      </c>
      <c r="Z54" s="3841" t="e">
        <f t="array" ref="Z54">X54/X$26</f>
      </c>
      <c r="AA54" s="3842" t="n">
        <f t="array" ref="AA54">X54*(1+'Assumptions'!N62)</f>
        <v>95565.50549081375</v>
      </c>
      <c r="AB54" s="1778" t="e">
        <f t="array" ref="AB54">AA54/AA$11</f>
      </c>
      <c r="AC54" s="3841" t="e">
        <f t="array" ref="AC54">AA54/AA$26</f>
      </c>
      <c r="AD54" s="3843" t="n">
        <f t="array" ref="AD54">AA54*(1+'Assumptions'!O62)</f>
        <v>97476.81560063003</v>
      </c>
      <c r="AE54" s="1782" t="e">
        <f t="array" ref="AE54">AD54/AD$11</f>
      </c>
      <c r="AF54" s="3844" t="e">
        <f t="array" ref="AF54">AD54/AD$26</f>
      </c>
      <c r="AG54" s="1736" t="n"/>
      <c r="AH54" s="26" t="n"/>
      <c r="AI54" s="1753" t="n"/>
      <c r="AJ54" s="1727" t="n"/>
      <c r="AK54" s="1727" t="n"/>
      <c r="AL54" s="1727" t="n"/>
      <c r="AM54" s="1727" t="n"/>
      <c r="AN54" s="1727" t="n"/>
      <c r="AO54" s="1727" t="n"/>
      <c r="AP54" s="1727" t="n"/>
      <c r="AQ54" s="1727" t="n"/>
      <c r="AR54" s="1728" t="n"/>
    </row>
    <row r="55" s="3154" customFormat="1" ht="15" customHeight="1">
      <c r="A55" s="1784" t="str">
        <f t="array" ref="A55">'Assumptions'!A63</f>
        <v>Leases/HOA Fees</v>
      </c>
      <c r="B55" s="3845" t="n">
        <f t="array" ref="B55">IF('Assumptions'!E63="","",'Assumptions'!E63)</f>
        <v>6</v>
      </c>
      <c r="C55" s="3305" t="n">
        <f t="array" ref="C55">'Assumptions'!F63</f>
        <v>0</v>
      </c>
      <c r="D55" s="1787" t="e">
        <f t="array" ref="D55">C55/C$11</f>
      </c>
      <c r="E55" s="3817" t="e">
        <f t="array" ref="E55">C55/C$26</f>
      </c>
      <c r="F55" s="3847" t="n">
        <f t="array" ref="F55">C55*(1+'Assumptions'!$G$63)</f>
        <v>0</v>
      </c>
      <c r="G55" s="1787" t="e">
        <f t="array" ref="G55">F55/F$11</f>
      </c>
      <c r="H55" s="3817" t="e">
        <f t="array" ref="H55">F55/F$26</f>
      </c>
      <c r="I55" s="3847" t="n">
        <f t="array" ref="I55">F55*(1+'Assumptions'!$H$63)</f>
        <v>0</v>
      </c>
      <c r="J55" s="1787" t="e">
        <f t="array" ref="J55">I55/I$11</f>
      </c>
      <c r="K55" s="3817" t="e">
        <f t="array" ref="K55">I55/I$26</f>
      </c>
      <c r="L55" s="3847" t="n">
        <f t="array" ref="L55">I55*(1+'Assumptions'!$I$63)</f>
        <v>0</v>
      </c>
      <c r="M55" s="1787" t="e">
        <f t="array" ref="M55">L55/L$11</f>
      </c>
      <c r="N55" s="3817" t="e">
        <f t="array" ref="N55">L55/L$26</f>
      </c>
      <c r="O55" s="3847" t="n">
        <f t="array" ref="O55">L55*(1+'Assumptions'!$J$63)</f>
        <v>0</v>
      </c>
      <c r="P55" s="1787" t="e">
        <f t="array" ref="P55">O55/O$11</f>
      </c>
      <c r="Q55" s="3817" t="e">
        <f t="array" ref="Q55">O55/O$26</f>
      </c>
      <c r="R55" s="3847" t="n">
        <f t="array" ref="R55">O55*(1+'Assumptions'!$K$63)</f>
        <v>0</v>
      </c>
      <c r="S55" s="1787" t="e">
        <f t="array" ref="S55">R55/R$11</f>
      </c>
      <c r="T55" s="3817" t="e">
        <f t="array" ref="T55">R55/R$26</f>
      </c>
      <c r="U55" s="3847" t="n">
        <f t="array" ref="U55">R55*(1+'Assumptions'!$L$63)</f>
        <v>0</v>
      </c>
      <c r="V55" s="1787" t="e">
        <f t="array" ref="V55">U55/U$11</f>
      </c>
      <c r="W55" s="3817" t="e">
        <f t="array" ref="W55">U55/U$26</f>
      </c>
      <c r="X55" s="3847" t="n">
        <f t="array" ref="X55">U55*(1+'Assumptions'!$M$63)</f>
        <v>0</v>
      </c>
      <c r="Y55" s="1787" t="e">
        <f t="array" ref="Y55">X55/X$11</f>
      </c>
      <c r="Z55" s="3817" t="e">
        <f t="array" ref="Z55">X55/X$26</f>
      </c>
      <c r="AA55" s="3847" t="n">
        <f t="array" ref="AA55">X55*(1+'Assumptions'!$N$63)</f>
        <v>0</v>
      </c>
      <c r="AB55" s="1787" t="e">
        <f t="array" ref="AB55">AA55/AA$11</f>
      </c>
      <c r="AC55" s="3817" t="e">
        <f t="array" ref="AC55">AA55/AA$26</f>
      </c>
      <c r="AD55" s="3848" t="n">
        <f t="array" ref="AD55">AA55*(1+'Assumptions'!$O$63)</f>
        <v>0</v>
      </c>
      <c r="AE55" s="1790" t="e">
        <f t="array" ref="AE55">AD55/AD$11</f>
      </c>
      <c r="AF55" s="3820" t="e">
        <f t="array" ref="AF55">AD55/AD$26</f>
      </c>
      <c r="AG55" s="1736" t="n"/>
      <c r="AH55" s="26" t="n"/>
      <c r="AI55" s="1753" t="n"/>
      <c r="AJ55" s="1727" t="n"/>
      <c r="AK55" s="1727" t="n"/>
      <c r="AL55" s="1727" t="n"/>
      <c r="AM55" s="1727" t="n"/>
      <c r="AN55" s="1727" t="n"/>
      <c r="AO55" s="1727" t="n"/>
      <c r="AP55" s="1727" t="n"/>
      <c r="AQ55" s="1727" t="n"/>
      <c r="AR55" s="1728" t="n"/>
    </row>
    <row r="56" s="3154" customFormat="1" ht="15" customHeight="1">
      <c r="A56" s="1784" t="str">
        <f t="array" ref="A56">'Assumptions'!A64</f>
        <v>Insurance</v>
      </c>
      <c r="B56" s="1791" t="str">
        <f t="array" ref="B56">IF('Assumptions'!E64="","",'Assumptions'!E64)</f>
      </c>
      <c r="C56" s="3305" t="n">
        <f t="array" ref="C56">'Assumptions'!F64</f>
        <v>51100</v>
      </c>
      <c r="D56" s="1787" t="e">
        <f t="array" ref="D56">C56/C$11</f>
      </c>
      <c r="E56" s="3817" t="e">
        <f t="array" ref="E56">C56/C$26</f>
      </c>
      <c r="F56" s="3847" t="n">
        <f t="array" ref="F56">C56*(1+'Assumptions'!$G$64)</f>
        <v>52122</v>
      </c>
      <c r="G56" s="1787" t="e">
        <f t="array" ref="G56">F56/F$11</f>
      </c>
      <c r="H56" s="3817" t="e">
        <f t="array" ref="H56">F56/F$26</f>
      </c>
      <c r="I56" s="3847" t="n">
        <f t="array" ref="I56">F56*(1+'Assumptions'!$H$64)</f>
        <v>53164.44</v>
      </c>
      <c r="J56" s="1787" t="e">
        <f t="array" ref="J56">I56/I$11</f>
      </c>
      <c r="K56" s="3817" t="e">
        <f t="array" ref="K56">I56/I$26</f>
      </c>
      <c r="L56" s="3847" t="n">
        <f t="array" ref="L56">I56*(1+'Assumptions'!$I$64)</f>
        <v>54227.728800000004</v>
      </c>
      <c r="M56" s="1787" t="e">
        <f t="array" ref="M56">L56/L$11</f>
      </c>
      <c r="N56" s="3817" t="e">
        <f t="array" ref="N56">L56/L$26</f>
      </c>
      <c r="O56" s="3847" t="n">
        <f t="array" ref="O56">L56*(1+'Assumptions'!$J$64)</f>
        <v>55312.28337600001</v>
      </c>
      <c r="P56" s="1787" t="e">
        <f t="array" ref="P56">O56/O$11</f>
      </c>
      <c r="Q56" s="3817" t="e">
        <f t="array" ref="Q56">O56/O$26</f>
      </c>
      <c r="R56" s="3847" t="n">
        <f t="array" ref="R56">O56*(1+'Assumptions'!$J$64)</f>
        <v>56418.52904352001</v>
      </c>
      <c r="S56" s="1787" t="e">
        <f t="array" ref="S56">R56/R$11</f>
      </c>
      <c r="T56" s="3817" t="e">
        <f t="array" ref="T56">R56/R$26</f>
      </c>
      <c r="U56" s="3847" t="n">
        <f t="array" ref="U56">F56*(1+'Assumptions'!$J$64)</f>
        <v>53164.44</v>
      </c>
      <c r="V56" s="1787" t="e">
        <f t="array" ref="V56">U56/U$11</f>
      </c>
      <c r="W56" s="3817" t="e">
        <f t="array" ref="W56">U56/U$26</f>
      </c>
      <c r="X56" s="3847" t="n">
        <f t="array" ref="X56">I56*(1+'Assumptions'!$J$64)</f>
        <v>54227.728800000004</v>
      </c>
      <c r="Y56" s="1787" t="e">
        <f t="array" ref="Y56">X56/X$11</f>
      </c>
      <c r="Z56" s="3817" t="e">
        <f t="array" ref="Z56">X56/X$26</f>
      </c>
      <c r="AA56" s="3847" t="n">
        <f t="array" ref="AA56">L56*(1+'Assumptions'!$J$64)</f>
        <v>55312.28337600001</v>
      </c>
      <c r="AB56" s="1787" t="e">
        <f t="array" ref="AB56">AA56/AA$11</f>
      </c>
      <c r="AC56" s="3817" t="e">
        <f t="array" ref="AC56">AA56/AA$26</f>
      </c>
      <c r="AD56" s="3848" t="n">
        <f t="array" ref="AD56">O56*(1+'Assumptions'!$J$64)</f>
        <v>56418.52904352001</v>
      </c>
      <c r="AE56" s="1790" t="e">
        <f t="array" ref="AE56">AD56/AD$11</f>
      </c>
      <c r="AF56" s="3820" t="e">
        <f t="array" ref="AF56">AD56/AD$26</f>
      </c>
      <c r="AG56" s="1736" t="n"/>
      <c r="AH56" s="26" t="n"/>
      <c r="AI56" s="1753" t="n"/>
      <c r="AJ56" s="1727" t="n"/>
      <c r="AK56" s="1727" t="n"/>
      <c r="AL56" s="1727" t="n"/>
      <c r="AM56" s="1727" t="n"/>
      <c r="AN56" s="1727" t="n"/>
      <c r="AO56" s="1727" t="n"/>
      <c r="AP56" s="1727" t="n"/>
      <c r="AQ56" s="1727" t="n"/>
      <c r="AR56" s="1728" t="n"/>
    </row>
    <row r="57" s="3154" customFormat="1" ht="15" customHeight="1">
      <c r="A57" s="1784" t="str">
        <f t="array" ref="A57">'Assumptions'!A65</f>
        <v>Reserves for Replacement</v>
      </c>
      <c r="B57" s="1791" t="str">
        <f t="array" ref="B57">IF('Assumptions'!E65="","",'Assumptions'!E65)</f>
      </c>
      <c r="C57" s="3849" t="e">
        <f t="array" ref="C57">'Assumptions'!F$65*C26</f>
      </c>
      <c r="D57" s="1793" t="e">
        <f t="array" ref="D57">C57/C$11</f>
      </c>
      <c r="E57" s="3850" t="e">
        <f t="array" ref="E57">C57/C$26</f>
      </c>
      <c r="F57" s="3851" t="e">
        <f t="array" ref="F57">'Assumptions'!G$65*F26</f>
      </c>
      <c r="G57" s="1793" t="e">
        <f t="array" ref="G57">F57/F$11</f>
      </c>
      <c r="H57" s="3850" t="e">
        <f t="array" ref="H57">F57/F$26</f>
      </c>
      <c r="I57" s="3851" t="e">
        <f t="array" ref="I57">'Assumptions'!H$65*I26</f>
      </c>
      <c r="J57" s="1793" t="e">
        <f t="array" ref="J57">I57/I$11</f>
      </c>
      <c r="K57" s="3850" t="e">
        <f t="array" ref="K57">I57/I$26</f>
      </c>
      <c r="L57" s="3851" t="e">
        <f t="array" ref="L57">'Assumptions'!I$65*L26</f>
      </c>
      <c r="M57" s="1793" t="e">
        <f t="array" ref="M57">L57/L$11</f>
      </c>
      <c r="N57" s="3850" t="e">
        <f t="array" ref="N57">L57/L$26</f>
      </c>
      <c r="O57" s="3851" t="e">
        <f t="array" ref="O57">'Assumptions'!J$65*O26</f>
      </c>
      <c r="P57" s="1793" t="e">
        <f t="array" ref="P57">O57/O$11</f>
      </c>
      <c r="Q57" s="3850" t="e">
        <f t="array" ref="Q57">O57/O$26</f>
      </c>
      <c r="R57" s="3851" t="e">
        <f t="array" ref="R57">'Assumptions'!K$65*R26</f>
      </c>
      <c r="S57" s="1793" t="e">
        <f t="array" ref="S57">R57/R$11</f>
      </c>
      <c r="T57" s="3850" t="e">
        <f t="array" ref="T57">R57/R$26</f>
      </c>
      <c r="U57" s="3851" t="e">
        <f t="array" ref="U57">'Assumptions'!L$65*U26</f>
      </c>
      <c r="V57" s="1793" t="e">
        <f t="array" ref="V57">U57/U$11</f>
      </c>
      <c r="W57" s="3850" t="e">
        <f t="array" ref="W57">U57/U$26</f>
      </c>
      <c r="X57" s="3851" t="e">
        <f t="array" ref="X57">'Assumptions'!M$65*X26</f>
      </c>
      <c r="Y57" s="1793" t="e">
        <f t="array" ref="Y57">X57/X$11</f>
      </c>
      <c r="Z57" s="3850" t="e">
        <f t="array" ref="Z57">X57/X$26</f>
      </c>
      <c r="AA57" s="3851" t="e">
        <f t="array" ref="AA57">'Assumptions'!N$65*AA26</f>
      </c>
      <c r="AB57" s="1793" t="e">
        <f t="array" ref="AB57">AA57/AA$11</f>
      </c>
      <c r="AC57" s="3850" t="e">
        <f t="array" ref="AC57">AA57/AA$26</f>
      </c>
      <c r="AD57" s="3852" t="e">
        <f t="array" ref="AD57">'Assumptions'!O$65*AD26</f>
      </c>
      <c r="AE57" s="1797" t="e">
        <f t="array" ref="AE57">AD57/AD$11</f>
      </c>
      <c r="AF57" s="3853" t="e">
        <f t="array" ref="AF57">AD57/AD$26</f>
      </c>
      <c r="AG57" s="1736" t="n"/>
      <c r="AH57" s="26" t="n"/>
      <c r="AI57" s="1753" t="n"/>
      <c r="AJ57" s="1727" t="n"/>
      <c r="AK57" s="1727" t="n"/>
      <c r="AL57" s="1727" t="n"/>
      <c r="AM57" s="1727" t="n"/>
      <c r="AN57" s="1727" t="n"/>
      <c r="AO57" s="1727" t="n"/>
      <c r="AP57" s="1727" t="n"/>
      <c r="AQ57" s="1727" t="n"/>
      <c r="AR57" s="1728" t="n"/>
    </row>
    <row r="58" s="3154" customFormat="1" ht="15" customHeight="1">
      <c r="A58" s="1729" t="inlineStr">
        <is>
          <t xml:space="preserve">Total Fixed Exp</t>
        </is>
      </c>
      <c r="B58" s="1730" t="n"/>
      <c r="C58" s="3854" t="e">
        <f t="array" ref="C58">SUBTOTAL(9,C54:C57)</f>
      </c>
      <c r="D58" s="1800" t="e">
        <f t="array" ref="D58">C58/C$11</f>
      </c>
      <c r="E58" s="3855" t="e">
        <f t="array" ref="E58">C58/C$26</f>
      </c>
      <c r="F58" s="3856" t="e">
        <f t="array" ref="F58">SUBTOTAL(9,F54:F57)</f>
      </c>
      <c r="G58" s="1800" t="e">
        <f t="array" ref="G58">F58/F$11</f>
      </c>
      <c r="H58" s="3855" t="e">
        <f t="array" ref="H58">F58/F$26</f>
      </c>
      <c r="I58" s="3856" t="e">
        <f t="array" ref="I58">SUBTOTAL(9,I54:I57)</f>
      </c>
      <c r="J58" s="1800" t="e">
        <f t="array" ref="J58">I58/I$11</f>
      </c>
      <c r="K58" s="3855" t="e">
        <f t="array" ref="K58">I58/I$26</f>
      </c>
      <c r="L58" s="3856" t="e">
        <f t="array" ref="L58">SUBTOTAL(9,L54:L57)</f>
      </c>
      <c r="M58" s="1800" t="e">
        <f t="array" ref="M58">L58/L$11</f>
      </c>
      <c r="N58" s="3855" t="e">
        <f t="array" ref="N58">L58/L$26</f>
      </c>
      <c r="O58" s="3856" t="e">
        <f t="array" ref="O58">SUBTOTAL(9,O54:O57)</f>
      </c>
      <c r="P58" s="1800" t="e">
        <f t="array" ref="P58">O58/O$11</f>
      </c>
      <c r="Q58" s="3855" t="e">
        <f t="array" ref="Q58">O58/O$26</f>
      </c>
      <c r="R58" s="3856" t="e">
        <f t="array" ref="R58">SUBTOTAL(9,R54:R57)</f>
      </c>
      <c r="S58" s="1800" t="e">
        <f t="array" ref="S58">R58/R$11</f>
      </c>
      <c r="T58" s="3855" t="e">
        <f t="array" ref="T58">R58/R$26</f>
      </c>
      <c r="U58" s="3856" t="e">
        <f t="array" ref="U58">SUBTOTAL(9,U54:U57)</f>
      </c>
      <c r="V58" s="1800" t="e">
        <f t="array" ref="V58">U58/U$11</f>
      </c>
      <c r="W58" s="3855" t="e">
        <f t="array" ref="W58">U58/U$26</f>
      </c>
      <c r="X58" s="3856" t="e">
        <f t="array" ref="X58">SUBTOTAL(9,X54:X57)</f>
      </c>
      <c r="Y58" s="1800" t="e">
        <f t="array" ref="Y58">X58/X$11</f>
      </c>
      <c r="Z58" s="3855" t="e">
        <f t="array" ref="Z58">X58/X$26</f>
      </c>
      <c r="AA58" s="3856" t="e">
        <f t="array" ref="AA58">SUBTOTAL(9,AA54:AA57)</f>
      </c>
      <c r="AB58" s="1800" t="e">
        <f t="array" ref="AB58">AA58/AA$11</f>
      </c>
      <c r="AC58" s="3855" t="e">
        <f t="array" ref="AC58">AA58/AA$26</f>
      </c>
      <c r="AD58" s="3857" t="e">
        <f t="array" ref="AD58">SUBTOTAL(9,AD54:AD57)</f>
      </c>
      <c r="AE58" s="1804" t="e">
        <f t="array" ref="AE58">AD58/AD$11</f>
      </c>
      <c r="AF58" s="3858" t="e">
        <f t="array" ref="AF58">AD58/AD$26</f>
      </c>
      <c r="AG58" s="1736" t="n"/>
      <c r="AH58" s="26" t="n"/>
      <c r="AI58" s="1753" t="n">
        <f t="array" ref="AI58">ROW(A58)-5</f>
        <v>53</v>
      </c>
      <c r="AJ58" s="1727" t="n"/>
      <c r="AK58" s="1727" t="n"/>
      <c r="AL58" s="1727" t="n"/>
      <c r="AM58" s="1727" t="n"/>
      <c r="AN58" s="1727" t="n"/>
      <c r="AO58" s="1727" t="n"/>
      <c r="AP58" s="1727" t="n"/>
      <c r="AQ58" s="1727" t="n"/>
      <c r="AR58" s="1728" t="n"/>
    </row>
    <row r="59" s="3154" customFormat="1" ht="8" customHeight="1">
      <c r="A59" s="627" t="n"/>
      <c r="B59" s="26" t="n"/>
      <c r="C59" s="1765" t="n"/>
      <c r="D59" s="1738" t="n"/>
      <c r="E59" s="3817" t="n"/>
      <c r="F59" s="1766" t="n"/>
      <c r="G59" s="1738" t="n"/>
      <c r="H59" s="3817" t="n"/>
      <c r="I59" s="1766" t="n"/>
      <c r="J59" s="1738" t="n"/>
      <c r="K59" s="3817" t="n"/>
      <c r="L59" s="1766" t="n"/>
      <c r="M59" s="1738" t="n"/>
      <c r="N59" s="3817" t="n"/>
      <c r="O59" s="1766" t="n"/>
      <c r="P59" s="1738" t="n"/>
      <c r="Q59" s="3817" t="n"/>
      <c r="R59" s="1766" t="n"/>
      <c r="S59" s="1738" t="n"/>
      <c r="T59" s="3817" t="n"/>
      <c r="U59" s="1766" t="n"/>
      <c r="V59" s="1738" t="n"/>
      <c r="W59" s="3817" t="n"/>
      <c r="X59" s="1766" t="n"/>
      <c r="Y59" s="1738" t="n"/>
      <c r="Z59" s="3817" t="n"/>
      <c r="AA59" s="1766" t="n"/>
      <c r="AB59" s="1738" t="n"/>
      <c r="AC59" s="3817" t="n"/>
      <c r="AD59" s="1767" t="n"/>
      <c r="AE59" s="1741" t="n"/>
      <c r="AF59" s="3820" t="n"/>
      <c r="AG59" s="1736" t="n"/>
      <c r="AH59" s="26" t="n"/>
      <c r="AI59" s="1727" t="n"/>
      <c r="AJ59" s="1727" t="n"/>
      <c r="AK59" s="1727" t="n"/>
      <c r="AL59" s="1753" t="n"/>
      <c r="AM59" s="1753" t="n"/>
      <c r="AN59" s="1727" t="n"/>
      <c r="AO59" s="1727" t="n"/>
      <c r="AP59" s="1727" t="n"/>
      <c r="AQ59" s="1727" t="n"/>
      <c r="AR59" s="1728" t="n"/>
    </row>
    <row r="60" s="3154" customFormat="1" ht="15.75" customHeight="1">
      <c r="A60" s="1807" t="inlineStr">
        <is>
          <t xml:space="preserve">NET OPERATING INCOME</t>
        </is>
      </c>
      <c r="B60" s="1808" t="n"/>
      <c r="C60" s="3849" t="e">
        <f t="array" ref="C60">C51-C58</f>
      </c>
      <c r="D60" s="1793" t="e">
        <f t="array" ref="D60">C60/C$11</f>
      </c>
      <c r="E60" s="3850" t="e">
        <f t="array" ref="E60">C60/C$26</f>
      </c>
      <c r="F60" s="3851" t="e">
        <f t="array" ref="F60">F51-F58</f>
      </c>
      <c r="G60" s="1793" t="e">
        <f t="array" ref="G60">F60/F$11</f>
      </c>
      <c r="H60" s="3850" t="e">
        <f t="array" ref="H60">F60/F$26</f>
      </c>
      <c r="I60" s="3851" t="e">
        <f t="array" ref="I60">I51-I58</f>
      </c>
      <c r="J60" s="1793" t="e">
        <f t="array" ref="J60">I60/I$11</f>
      </c>
      <c r="K60" s="3850" t="e">
        <f t="array" ref="K60">I60/I$26</f>
      </c>
      <c r="L60" s="3851" t="e">
        <f t="array" ref="L60">L51-L58</f>
      </c>
      <c r="M60" s="1793" t="e">
        <f t="array" ref="M60">L60/L$11</f>
      </c>
      <c r="N60" s="3850" t="e">
        <f t="array" ref="N60">L60/L$26</f>
      </c>
      <c r="O60" s="3851" t="e">
        <f t="array" ref="O60">O51-O58</f>
      </c>
      <c r="P60" s="1793" t="e">
        <f t="array" ref="P60">O60/O$11</f>
      </c>
      <c r="Q60" s="3850" t="e">
        <f t="array" ref="Q60">O60/O$26</f>
      </c>
      <c r="R60" s="3851" t="e">
        <f t="array" ref="R60">R51-R58</f>
      </c>
      <c r="S60" s="1793" t="e">
        <f t="array" ref="S60">R60/R$11</f>
      </c>
      <c r="T60" s="3850" t="e">
        <f t="array" ref="T60">R60/R$26</f>
      </c>
      <c r="U60" s="3851" t="e">
        <f t="array" ref="U60">U51-U58</f>
      </c>
      <c r="V60" s="1793" t="e">
        <f t="array" ref="V60">U60/U$11</f>
      </c>
      <c r="W60" s="3850" t="e">
        <f t="array" ref="W60">U60/U$26</f>
      </c>
      <c r="X60" s="3851" t="e">
        <f t="array" ref="X60">X51-X58</f>
      </c>
      <c r="Y60" s="1793" t="e">
        <f t="array" ref="Y60">X60/X$11</f>
      </c>
      <c r="Z60" s="3850" t="e">
        <f t="array" ref="Z60">X60/X$26</f>
      </c>
      <c r="AA60" s="3851" t="e">
        <f t="array" ref="AA60">AA51-AA58</f>
      </c>
      <c r="AB60" s="1793" t="e">
        <f t="array" ref="AB60">AA60/AA$11</f>
      </c>
      <c r="AC60" s="3850" t="e">
        <f t="array" ref="AC60">AA60/AA$26</f>
      </c>
      <c r="AD60" s="3852" t="e">
        <f t="array" ref="AD60">AD51-AD58</f>
      </c>
      <c r="AE60" s="1797" t="e">
        <f t="array" ref="AE60">AD60/AD$11</f>
      </c>
      <c r="AF60" s="3853" t="e">
        <f t="array" ref="AF60">AD60/AD$26</f>
      </c>
      <c r="AG60" s="3867" t="n"/>
      <c r="AH60" s="26" t="n"/>
      <c r="AI60" s="1753" t="n">
        <f t="array" ref="AI60">ROW(A60)-5</f>
        <v>55</v>
      </c>
      <c r="AJ60" s="1727" t="n"/>
      <c r="AK60" s="1727" t="n"/>
      <c r="AL60" s="1727" t="n"/>
      <c r="AM60" s="1727" t="n"/>
      <c r="AN60" s="1727" t="n"/>
      <c r="AO60" s="1727" t="n"/>
      <c r="AP60" s="1727" t="n"/>
      <c r="AQ60" s="1727" t="n"/>
      <c r="AR60" s="1728" t="n"/>
    </row>
    <row r="61" s="3154" customFormat="1" ht="8" customHeight="1">
      <c r="A61" s="443" t="n"/>
      <c r="B61" s="158" t="n"/>
      <c r="C61" s="1809" t="n"/>
      <c r="D61" s="1810" t="n"/>
      <c r="E61" s="3868" t="n"/>
      <c r="F61" s="1809" t="n"/>
      <c r="G61" s="1810" t="n"/>
      <c r="H61" s="3868" t="n"/>
      <c r="I61" s="1809" t="n"/>
      <c r="J61" s="1810" t="n"/>
      <c r="K61" s="3868" t="n"/>
      <c r="L61" s="1809" t="n"/>
      <c r="M61" s="1810" t="n"/>
      <c r="N61" s="3868" t="n"/>
      <c r="O61" s="1809" t="n"/>
      <c r="P61" s="1810" t="n"/>
      <c r="Q61" s="3868" t="n"/>
      <c r="R61" s="1809" t="n"/>
      <c r="S61" s="1810" t="n"/>
      <c r="T61" s="3868" t="n"/>
      <c r="U61" s="1809" t="n"/>
      <c r="V61" s="1810" t="n"/>
      <c r="W61" s="3868" t="n"/>
      <c r="X61" s="1809" t="n"/>
      <c r="Y61" s="1810" t="n"/>
      <c r="Z61" s="3868" t="n"/>
      <c r="AA61" s="1809" t="n"/>
      <c r="AB61" s="1810" t="n"/>
      <c r="AC61" s="3868" t="n"/>
      <c r="AD61" s="1809" t="n"/>
      <c r="AE61" s="1810" t="n"/>
      <c r="AF61" s="3868" t="n"/>
      <c r="AG61" s="26" t="n"/>
      <c r="AH61" s="26" t="n"/>
      <c r="AI61" s="1727" t="n"/>
      <c r="AJ61" s="1727" t="n"/>
      <c r="AK61" s="1727" t="n"/>
      <c r="AL61" s="1753" t="n"/>
      <c r="AM61" s="1753" t="n"/>
      <c r="AN61" s="1727" t="n"/>
      <c r="AO61" s="1727" t="n"/>
      <c r="AP61" s="1727" t="n"/>
      <c r="AQ61" s="1727" t="n"/>
      <c r="AR61" s="1728" t="n"/>
    </row>
    <row r="62" s="3154" customFormat="1" ht="15" customHeight="1">
      <c r="A62" s="627" t="n"/>
      <c r="B62" s="26" t="n"/>
      <c r="C62" s="1765" t="n"/>
      <c r="D62" s="1738" t="n"/>
      <c r="E62" s="3869" t="n"/>
      <c r="F62" s="1765" t="n"/>
      <c r="G62" s="1738" t="n"/>
      <c r="H62" s="3869" t="n"/>
      <c r="I62" s="1765" t="n"/>
      <c r="J62" s="1738" t="n"/>
      <c r="K62" s="3869" t="n"/>
      <c r="L62" s="1765" t="n"/>
      <c r="M62" s="1738" t="n"/>
      <c r="N62" s="3869" t="n"/>
      <c r="O62" s="1765" t="n"/>
      <c r="P62" s="1738" t="n"/>
      <c r="Q62" s="3869" t="n"/>
      <c r="R62" s="1765" t="n"/>
      <c r="S62" s="1738" t="n"/>
      <c r="T62" s="3869" t="n"/>
      <c r="U62" s="1765" t="n"/>
      <c r="V62" s="1738" t="n"/>
      <c r="W62" s="3869" t="n"/>
      <c r="X62" s="1765" t="n"/>
      <c r="Y62" s="1738" t="n"/>
      <c r="Z62" s="3869" t="n"/>
      <c r="AA62" s="1765" t="n"/>
      <c r="AB62" s="1738" t="n"/>
      <c r="AC62" s="3869" t="n"/>
      <c r="AD62" s="1765" t="n"/>
      <c r="AE62" s="1738" t="n"/>
      <c r="AF62" s="3869" t="n"/>
      <c r="AG62" s="26" t="n"/>
      <c r="AH62" s="26" t="n"/>
      <c r="AI62" s="1727" t="n"/>
      <c r="AJ62" s="1727" t="n"/>
      <c r="AK62" s="1727" t="n"/>
      <c r="AL62" s="1753" t="n"/>
      <c r="AM62" s="1753" t="n"/>
      <c r="AN62" s="1727" t="n"/>
      <c r="AO62" s="1727" t="n"/>
      <c r="AP62" s="1727" t="n"/>
      <c r="AQ62" s="1727" t="n"/>
      <c r="AR62" s="1728" t="n"/>
    </row>
    <row r="63" s="3154" customFormat="1" ht="15" customHeight="1">
      <c r="A63" s="1742" t="inlineStr">
        <is>
          <t xml:space="preserve">PRO FORMA NOTES</t>
        </is>
      </c>
      <c r="B63" s="1828" t="n"/>
      <c r="C63" s="598" t="n"/>
      <c r="D63" s="1829" t="n"/>
      <c r="E63" s="3831" t="n"/>
      <c r="F63" s="598" t="n"/>
      <c r="G63" s="1829" t="n"/>
      <c r="H63" s="3831" t="n"/>
      <c r="I63" s="598" t="n"/>
      <c r="J63" s="1829" t="n"/>
      <c r="K63" s="3831" t="n"/>
      <c r="L63" s="598" t="n"/>
      <c r="M63" s="1829" t="n"/>
      <c r="N63" s="3831" t="n"/>
      <c r="O63" s="598" t="n"/>
      <c r="P63" s="1829" t="n"/>
      <c r="Q63" s="3831" t="n"/>
      <c r="R63" s="598" t="n"/>
      <c r="S63" s="1829" t="n"/>
      <c r="T63" s="3831" t="n"/>
      <c r="U63" s="598" t="n"/>
      <c r="V63" s="1829" t="n"/>
      <c r="W63" s="3831" t="n"/>
      <c r="X63" s="598" t="n"/>
      <c r="Y63" s="1829" t="n"/>
      <c r="Z63" s="3831" t="n"/>
      <c r="AA63" s="598" t="n"/>
      <c r="AB63" s="1829" t="n"/>
      <c r="AC63" s="3831" t="n"/>
      <c r="AD63" s="598" t="n"/>
      <c r="AE63" s="1829" t="n"/>
      <c r="AF63" s="3831" t="n"/>
      <c r="AG63" s="3802" t="n"/>
      <c r="AH63" s="26" t="n"/>
      <c r="AI63" s="1753" t="n"/>
      <c r="AJ63" s="1727" t="n"/>
      <c r="AK63" s="1727" t="n"/>
      <c r="AL63" s="1727" t="n"/>
      <c r="AM63" s="1727" t="n"/>
      <c r="AN63" s="1727" t="n"/>
      <c r="AO63" s="1727" t="n"/>
      <c r="AP63" s="1727" t="n"/>
      <c r="AQ63" s="1727" t="n"/>
      <c r="AR63" s="1728" t="n"/>
    </row>
    <row r="64" s="3154" customFormat="1" ht="15" customHeight="1">
      <c r="A64" s="3870" t="str">
        <f t="array" ref="A64">'Assumptions'!A68</f>
        <v>Self-service ops case</v>
      </c>
      <c r="B64" s="1765" t="n"/>
      <c r="C64" s="26" t="n"/>
      <c r="D64" s="1738" t="n"/>
      <c r="E64" s="3869" t="n"/>
      <c r="F64" s="26" t="n"/>
      <c r="G64" s="1738" t="n"/>
      <c r="H64" s="3869" t="n"/>
      <c r="I64" s="26" t="n"/>
      <c r="J64" s="1738" t="n"/>
      <c r="K64" s="3869" t="n"/>
      <c r="L64" s="26" t="n"/>
      <c r="M64" s="1738" t="n"/>
      <c r="N64" s="3869" t="n"/>
      <c r="O64" s="26" t="n"/>
      <c r="P64" s="1738" t="n"/>
      <c r="Q64" s="3869" t="n"/>
      <c r="R64" s="26" t="n"/>
      <c r="S64" s="1738" t="n"/>
      <c r="T64" s="3869" t="n"/>
      <c r="U64" s="26" t="n"/>
      <c r="V64" s="1738" t="n"/>
      <c r="W64" s="3869" t="n"/>
      <c r="X64" s="26" t="n"/>
      <c r="Y64" s="1738" t="n"/>
      <c r="Z64" s="3869" t="n"/>
      <c r="AA64" s="26" t="n"/>
      <c r="AB64" s="1738" t="n"/>
      <c r="AC64" s="3869" t="n"/>
      <c r="AD64" s="26" t="n"/>
      <c r="AE64" s="1738" t="n"/>
      <c r="AF64" s="3869" t="n"/>
      <c r="AG64" s="26" t="n"/>
      <c r="AH64" s="26" t="n"/>
      <c r="AI64" s="1727" t="n"/>
      <c r="AJ64" s="1727" t="n"/>
      <c r="AK64" s="1727" t="n"/>
      <c r="AL64" s="1727" t="n"/>
      <c r="AM64" s="1727" t="n"/>
      <c r="AN64" s="1727" t="n"/>
      <c r="AO64" s="1727" t="n"/>
      <c r="AP64" s="1727" t="n"/>
      <c r="AQ64" s="1727" t="n"/>
      <c r="AR64" s="1728" t="n"/>
    </row>
    <row r="65" s="3154" customFormat="1" ht="15" customHeight="1">
      <c r="A65" s="3870" t="n">
        <f t="array" ref="A65">'Assumptions'!A69</f>
        <v>0</v>
      </c>
      <c r="B65" s="1765" t="n"/>
      <c r="C65" s="26" t="n"/>
      <c r="D65" s="1738" t="n"/>
      <c r="E65" s="3869" t="n"/>
      <c r="F65" s="26" t="n"/>
      <c r="G65" s="1738" t="n"/>
      <c r="H65" s="3869" t="n"/>
      <c r="I65" s="26" t="n"/>
      <c r="J65" s="1738" t="n"/>
      <c r="K65" s="3869" t="n"/>
      <c r="L65" s="26" t="n"/>
      <c r="M65" s="1738" t="n"/>
      <c r="N65" s="3869" t="n"/>
      <c r="O65" s="26" t="n"/>
      <c r="P65" s="1738" t="n"/>
      <c r="Q65" s="3869" t="n"/>
      <c r="R65" s="26" t="n"/>
      <c r="S65" s="1738" t="n"/>
      <c r="T65" s="3869" t="n"/>
      <c r="U65" s="26" t="n"/>
      <c r="V65" s="1738" t="n"/>
      <c r="W65" s="3869" t="n"/>
      <c r="X65" s="26" t="n"/>
      <c r="Y65" s="1738" t="n"/>
      <c r="Z65" s="3869" t="n"/>
      <c r="AA65" s="26" t="n"/>
      <c r="AB65" s="1738" t="n"/>
      <c r="AC65" s="3869" t="n"/>
      <c r="AD65" s="26" t="n"/>
      <c r="AE65" s="1738" t="n"/>
      <c r="AF65" s="3869" t="n"/>
      <c r="AG65" s="26" t="n"/>
      <c r="AH65" s="26" t="n"/>
      <c r="AI65" s="1727" t="n"/>
      <c r="AJ65" s="1727" t="n"/>
      <c r="AK65" s="1727" t="n"/>
      <c r="AL65" s="1727" t="n"/>
      <c r="AM65" s="1727" t="n"/>
      <c r="AN65" s="1727" t="n"/>
      <c r="AO65" s="1727" t="n"/>
      <c r="AP65" s="1727" t="n"/>
      <c r="AQ65" s="1727" t="n"/>
      <c r="AR65" s="1728" t="n"/>
    </row>
    <row r="66" s="3154" customFormat="1" ht="15" customHeight="1">
      <c r="A66" s="1784" t="str">
        <f t="array" ref="A66">'Assumptions'!A70</f>
        <v>ROOM MIX (100 KEYS / 4-FLOOR PROGRAM)</v>
      </c>
      <c r="B66" s="1765" t="n"/>
      <c r="C66" s="26" t="n"/>
      <c r="D66" s="1738" t="n"/>
      <c r="E66" s="3869" t="n"/>
      <c r="F66" s="26" t="n"/>
      <c r="G66" s="1738" t="n"/>
      <c r="H66" s="3869" t="n"/>
      <c r="I66" s="26" t="n"/>
      <c r="J66" s="1738" t="n"/>
      <c r="K66" s="3869" t="n"/>
      <c r="L66" s="26" t="n"/>
      <c r="M66" s="1738" t="n"/>
      <c r="N66" s="3869" t="n"/>
      <c r="O66" s="26" t="n"/>
      <c r="P66" s="1738" t="n"/>
      <c r="Q66" s="3869" t="n"/>
      <c r="R66" s="26" t="n"/>
      <c r="S66" s="1738" t="n"/>
      <c r="T66" s="3869" t="n"/>
      <c r="U66" s="26" t="n"/>
      <c r="V66" s="1738" t="n"/>
      <c r="W66" s="3869" t="n"/>
      <c r="X66" s="26" t="n"/>
      <c r="Y66" s="1738" t="n"/>
      <c r="Z66" s="3869" t="n"/>
      <c r="AA66" s="26" t="n"/>
      <c r="AB66" s="1738" t="n"/>
      <c r="AC66" s="3869" t="n"/>
      <c r="AD66" s="26" t="n"/>
      <c r="AE66" s="1738" t="n"/>
      <c r="AF66" s="3869" t="n"/>
      <c r="AG66" s="26" t="n"/>
      <c r="AH66" s="26" t="n"/>
      <c r="AI66" s="1727" t="n"/>
      <c r="AJ66" s="1727" t="n"/>
      <c r="AK66" s="1727" t="n"/>
      <c r="AL66" s="1727" t="n"/>
      <c r="AM66" s="1727" t="n"/>
      <c r="AN66" s="1727" t="n"/>
      <c r="AO66" s="1727" t="n"/>
      <c r="AP66" s="1727" t="n"/>
      <c r="AQ66" s="1727" t="n"/>
      <c r="AR66" s="1728" t="n"/>
    </row>
    <row r="67" s="3154" customFormat="1" ht="15" customHeight="1">
      <c r="A67" s="1784" t="str">
        <f t="array" ref="A67">'Assumptions'!A71</f>
        <v>Floor</v>
      </c>
      <c r="B67" s="1765" t="n"/>
      <c r="C67" s="26" t="n"/>
      <c r="D67" s="1738" t="n"/>
      <c r="E67" s="3869" t="n"/>
      <c r="F67" s="26" t="n"/>
      <c r="G67" s="1738" t="n"/>
      <c r="H67" s="3869" t="n"/>
      <c r="I67" s="26" t="n"/>
      <c r="J67" s="1738" t="n"/>
      <c r="K67" s="3869" t="n"/>
      <c r="L67" s="26" t="n"/>
      <c r="M67" s="1738" t="n"/>
      <c r="N67" s="3869" t="n"/>
      <c r="O67" s="26" t="n"/>
      <c r="P67" s="1738" t="n"/>
      <c r="Q67" s="3869" t="n"/>
      <c r="R67" s="26" t="n"/>
      <c r="S67" s="1738" t="n"/>
      <c r="T67" s="3869" t="n"/>
      <c r="U67" s="26" t="n"/>
      <c r="V67" s="1738" t="n"/>
      <c r="W67" s="3869" t="n"/>
      <c r="X67" s="26" t="n"/>
      <c r="Y67" s="1738" t="n"/>
      <c r="Z67" s="3869" t="n"/>
      <c r="AA67" s="26" t="n"/>
      <c r="AB67" s="1738" t="n"/>
      <c r="AC67" s="3869" t="n"/>
      <c r="AD67" s="26" t="n"/>
      <c r="AE67" s="1738" t="n"/>
      <c r="AF67" s="3869" t="n"/>
      <c r="AG67" s="26" t="n"/>
      <c r="AH67" s="26" t="n"/>
      <c r="AI67" s="1727" t="n"/>
      <c r="AJ67" s="1727" t="n"/>
      <c r="AK67" s="1727" t="n"/>
      <c r="AL67" s="1727" t="n"/>
      <c r="AM67" s="1727" t="n"/>
      <c r="AN67" s="1727" t="n"/>
      <c r="AO67" s="1727" t="n"/>
      <c r="AP67" s="1727" t="n"/>
      <c r="AQ67" s="1727" t="n"/>
      <c r="AR67" s="1728" t="n"/>
    </row>
    <row r="68" s="3154" customFormat="1" ht="15" customHeight="1">
      <c r="A68" s="1831" t="n"/>
      <c r="B68" s="1765" t="n"/>
      <c r="C68" s="26" t="n"/>
      <c r="D68" s="1738" t="n"/>
      <c r="E68" s="3869" t="n"/>
      <c r="F68" s="26" t="n"/>
      <c r="G68" s="1738" t="n"/>
      <c r="H68" s="3869" t="n"/>
      <c r="I68" s="26" t="n"/>
      <c r="J68" s="1738" t="n"/>
      <c r="K68" s="3869" t="n"/>
      <c r="L68" s="26" t="n"/>
      <c r="M68" s="1738" t="n"/>
      <c r="N68" s="3869" t="n"/>
      <c r="O68" s="26" t="n"/>
      <c r="P68" s="1738" t="n"/>
      <c r="Q68" s="3869" t="n"/>
      <c r="R68" s="26" t="n"/>
      <c r="S68" s="1738" t="n"/>
      <c r="T68" s="3869" t="n"/>
      <c r="U68" s="26" t="n"/>
      <c r="V68" s="1738" t="n"/>
      <c r="W68" s="3869" t="n"/>
      <c r="X68" s="26" t="n"/>
      <c r="Y68" s="1738" t="n"/>
      <c r="Z68" s="3869" t="n"/>
      <c r="AA68" s="26" t="n"/>
      <c r="AB68" s="1738" t="n"/>
      <c r="AC68" s="3869" t="n"/>
      <c r="AD68" s="26" t="n"/>
      <c r="AE68" s="1738" t="n"/>
      <c r="AF68" s="3869" t="n"/>
      <c r="AG68" s="26" t="n"/>
      <c r="AH68" s="26" t="n"/>
      <c r="AI68" s="1727" t="n"/>
      <c r="AJ68" s="1727" t="n"/>
      <c r="AK68" s="1727" t="n"/>
      <c r="AL68" s="1727" t="n"/>
      <c r="AM68" s="1727" t="n"/>
      <c r="AN68" s="1727" t="n"/>
      <c r="AO68" s="1727" t="n"/>
      <c r="AP68" s="1727" t="n"/>
      <c r="AQ68" s="1727" t="n"/>
      <c r="AR68" s="1728" t="n"/>
    </row>
    <row r="69" s="3154" customFormat="1" ht="15" customHeight="1">
      <c r="A69" s="1729" t="inlineStr">
        <is>
          <t xml:space="preserve">GENERAL NOTES: [A] Full year financials provided in this pro forma.  Pro rations for stub year or terminal sale year made on Cash Flow tab.</t>
        </is>
      </c>
      <c r="B69" s="1765" t="n"/>
      <c r="C69" s="26" t="n"/>
      <c r="D69" s="1738" t="n"/>
      <c r="E69" s="3869" t="n"/>
      <c r="F69" s="26" t="n"/>
      <c r="G69" s="1738" t="n"/>
      <c r="H69" s="3869" t="n"/>
      <c r="I69" s="26" t="n"/>
      <c r="J69" s="1738" t="n"/>
      <c r="K69" s="3869" t="n"/>
      <c r="L69" s="26" t="n"/>
      <c r="M69" s="1738" t="n"/>
      <c r="N69" s="3869" t="n"/>
      <c r="O69" s="26" t="n"/>
      <c r="P69" s="1738" t="n"/>
      <c r="Q69" s="3869" t="n"/>
      <c r="R69" s="26" t="n"/>
      <c r="S69" s="1738" t="n"/>
      <c r="T69" s="3869" t="n"/>
      <c r="U69" s="26" t="n"/>
      <c r="V69" s="1738" t="n"/>
      <c r="W69" s="3869" t="n"/>
      <c r="X69" s="26" t="n"/>
      <c r="Y69" s="1738" t="n"/>
      <c r="Z69" s="3869" t="n"/>
      <c r="AA69" s="26" t="n"/>
      <c r="AB69" s="1738" t="n"/>
      <c r="AC69" s="3869" t="n"/>
      <c r="AD69" s="26" t="n"/>
      <c r="AE69" s="1738" t="n"/>
      <c r="AF69" s="3869" t="n"/>
      <c r="AG69" s="26" t="n"/>
      <c r="AH69" s="26" t="n"/>
      <c r="AI69" s="1727" t="n"/>
      <c r="AJ69" s="1727" t="n"/>
      <c r="AK69" s="1727" t="n"/>
      <c r="AL69" s="1727" t="n"/>
      <c r="AM69" s="1727" t="n"/>
      <c r="AN69" s="1727" t="n"/>
      <c r="AO69" s="1727" t="n"/>
      <c r="AP69" s="1727" t="n"/>
      <c r="AQ69" s="1727" t="n"/>
      <c r="AR69" s="1728" t="n"/>
    </row>
    <row r="70" s="3154" customFormat="1" ht="15" customHeight="1">
      <c r="A70" s="1832" t="n"/>
      <c r="B70" s="1765" t="n"/>
      <c r="C70" s="26" t="n"/>
      <c r="D70" s="1738" t="n"/>
      <c r="E70" s="3869" t="n"/>
      <c r="F70" s="26" t="n"/>
      <c r="G70" s="1738" t="n"/>
      <c r="H70" s="3869" t="n"/>
      <c r="I70" s="26" t="n"/>
      <c r="J70" s="1738" t="n"/>
      <c r="K70" s="3869" t="n"/>
      <c r="L70" s="26" t="n"/>
      <c r="M70" s="1738" t="n"/>
      <c r="N70" s="3869" t="n"/>
      <c r="O70" s="26" t="n"/>
      <c r="P70" s="1738" t="n"/>
      <c r="Q70" s="3869" t="n"/>
      <c r="R70" s="26" t="n"/>
      <c r="S70" s="1738" t="n"/>
      <c r="T70" s="3869" t="n"/>
      <c r="U70" s="26" t="n"/>
      <c r="V70" s="1738" t="n"/>
      <c r="W70" s="3869" t="n"/>
      <c r="X70" s="26" t="n"/>
      <c r="Y70" s="1738" t="n"/>
      <c r="Z70" s="3869" t="n"/>
      <c r="AA70" s="26" t="n"/>
      <c r="AB70" s="1738" t="n"/>
      <c r="AC70" s="3869" t="n"/>
      <c r="AD70" s="26" t="n"/>
      <c r="AE70" s="1738" t="n"/>
      <c r="AF70" s="3869" t="n"/>
      <c r="AG70" s="26" t="n"/>
      <c r="AH70" s="26" t="n"/>
      <c r="AI70" s="1727" t="n"/>
      <c r="AJ70" s="1727" t="n"/>
      <c r="AK70" s="1727" t="n"/>
      <c r="AL70" s="1727" t="n"/>
      <c r="AM70" s="1727" t="n"/>
      <c r="AN70" s="1727" t="n"/>
      <c r="AO70" s="1727" t="n"/>
      <c r="AP70" s="1727" t="n"/>
      <c r="AQ70" s="1727" t="n"/>
      <c r="AR70" s="1728" t="n"/>
    </row>
    <row r="71" s="3154" customFormat="1" ht="15" customHeight="1">
      <c r="A71" s="1832" t="n"/>
      <c r="B71" s="1765" t="n"/>
      <c r="C71" s="26" t="n"/>
      <c r="D71" s="1738" t="n"/>
      <c r="E71" s="3869" t="n"/>
      <c r="F71" s="26" t="n"/>
      <c r="G71" s="1738" t="n"/>
      <c r="H71" s="3869" t="n"/>
      <c r="I71" s="26" t="n"/>
      <c r="J71" s="1738" t="n"/>
      <c r="K71" s="3869" t="n"/>
      <c r="L71" s="26" t="n"/>
      <c r="M71" s="1738" t="n"/>
      <c r="N71" s="3869" t="n"/>
      <c r="O71" s="26" t="n"/>
      <c r="P71" s="1738" t="n"/>
      <c r="Q71" s="3869" t="n"/>
      <c r="R71" s="26" t="n"/>
      <c r="S71" s="1738" t="n"/>
      <c r="T71" s="3869" t="n"/>
      <c r="U71" s="26" t="n"/>
      <c r="V71" s="1738" t="n"/>
      <c r="W71" s="3869" t="n"/>
      <c r="X71" s="26" t="n"/>
      <c r="Y71" s="1738" t="n"/>
      <c r="Z71" s="3869" t="n"/>
      <c r="AA71" s="26" t="n"/>
      <c r="AB71" s="1738" t="n"/>
      <c r="AC71" s="3869" t="n"/>
      <c r="AD71" s="26" t="n"/>
      <c r="AE71" s="1738" t="n"/>
      <c r="AF71" s="3869" t="n"/>
      <c r="AG71" s="26" t="n"/>
      <c r="AH71" s="26" t="n"/>
      <c r="AI71" s="1727" t="n"/>
      <c r="AJ71" s="1727" t="n"/>
      <c r="AK71" s="1727" t="n"/>
      <c r="AL71" s="1727" t="n"/>
      <c r="AM71" s="1727" t="n"/>
      <c r="AN71" s="1727" t="n"/>
      <c r="AO71" s="1727" t="n"/>
      <c r="AP71" s="1727" t="n"/>
      <c r="AQ71" s="1727" t="n"/>
      <c r="AR71" s="1728" t="n"/>
    </row>
    <row r="72" s="3154" customFormat="1" ht="15" customHeight="1">
      <c r="A72" s="1832" t="n"/>
      <c r="B72" s="1765" t="n"/>
      <c r="C72" s="26" t="n"/>
      <c r="D72" s="1738" t="n"/>
      <c r="E72" s="3869" t="n"/>
      <c r="F72" s="26" t="n"/>
      <c r="G72" s="1738" t="n"/>
      <c r="H72" s="3869" t="n"/>
      <c r="I72" s="26" t="n"/>
      <c r="J72" s="1738" t="n"/>
      <c r="K72" s="3869" t="n"/>
      <c r="L72" s="26" t="n"/>
      <c r="M72" s="1738" t="n"/>
      <c r="N72" s="3869" t="n"/>
      <c r="O72" s="26" t="n"/>
      <c r="P72" s="1738" t="n"/>
      <c r="Q72" s="3869" t="n"/>
      <c r="R72" s="26" t="n"/>
      <c r="S72" s="1738" t="n"/>
      <c r="T72" s="3869" t="n"/>
      <c r="U72" s="26" t="n"/>
      <c r="V72" s="1738" t="n"/>
      <c r="W72" s="3869" t="n"/>
      <c r="X72" s="26" t="n"/>
      <c r="Y72" s="1738" t="n"/>
      <c r="Z72" s="3869" t="n"/>
      <c r="AA72" s="26" t="n"/>
      <c r="AB72" s="1738" t="n"/>
      <c r="AC72" s="3869" t="n"/>
      <c r="AD72" s="26" t="n"/>
      <c r="AE72" s="1738" t="n"/>
      <c r="AF72" s="3869" t="n"/>
      <c r="AG72" s="26" t="n"/>
      <c r="AH72" s="26" t="n"/>
      <c r="AI72" s="1727" t="n"/>
      <c r="AJ72" s="1727" t="n"/>
      <c r="AK72" s="1727" t="n"/>
      <c r="AL72" s="1727" t="n"/>
      <c r="AM72" s="1727" t="n"/>
      <c r="AN72" s="1727" t="n"/>
      <c r="AO72" s="1727" t="n"/>
      <c r="AP72" s="1727" t="n"/>
      <c r="AQ72" s="1727" t="n"/>
      <c r="AR72" s="1728" t="n"/>
    </row>
    <row r="73" s="3154" customFormat="1" ht="15" customHeight="1">
      <c r="A73" s="1833" t="n"/>
      <c r="B73" s="1834" t="n"/>
      <c r="C73" s="634" t="n"/>
      <c r="D73" s="1835" t="n"/>
      <c r="E73" s="3871" t="n"/>
      <c r="F73" s="634" t="n"/>
      <c r="G73" s="1835" t="n"/>
      <c r="H73" s="3871" t="n"/>
      <c r="I73" s="634" t="n"/>
      <c r="J73" s="1835" t="n"/>
      <c r="K73" s="3871" t="n"/>
      <c r="L73" s="634" t="n"/>
      <c r="M73" s="1835" t="n"/>
      <c r="N73" s="3871" t="n"/>
      <c r="O73" s="634" t="n"/>
      <c r="P73" s="1835" t="n"/>
      <c r="Q73" s="3871" t="n"/>
      <c r="R73" s="634" t="n"/>
      <c r="S73" s="1835" t="n"/>
      <c r="T73" s="3871" t="n"/>
      <c r="U73" s="634" t="n"/>
      <c r="V73" s="1835" t="n"/>
      <c r="W73" s="3871" t="n"/>
      <c r="X73" s="634" t="n"/>
      <c r="Y73" s="1835" t="n"/>
      <c r="Z73" s="3871" t="n"/>
      <c r="AA73" s="634" t="n"/>
      <c r="AB73" s="1835" t="n"/>
      <c r="AC73" s="3871" t="n"/>
      <c r="AD73" s="634" t="n"/>
      <c r="AE73" s="1835" t="n"/>
      <c r="AF73" s="3871" t="n"/>
      <c r="AG73" s="634" t="n"/>
      <c r="AH73" s="634" t="n"/>
      <c r="AI73" s="1837" t="n"/>
      <c r="AJ73" s="1837" t="n"/>
      <c r="AK73" s="1837" t="n"/>
      <c r="AL73" s="1837" t="n"/>
      <c r="AM73" s="1837" t="n"/>
      <c r="AN73" s="1837" t="n"/>
      <c r="AO73" s="1837" t="n"/>
      <c r="AP73" s="1837" t="n"/>
      <c r="AQ73" s="1837" t="n"/>
      <c r="AR73" s="1838" t="n"/>
    </row>
  </sheetData>
  <conditionalFormatting sqref="AG46:AG46 AG51:AG51 AG53:AG53 AG60:AG60 AG63:AG63">
    <cfRule type="cellIs" dxfId="0" priority="1" stopIfTrue="1" operator="lessThan">
      <formula>0</formula>
    </cfRule>
  </conditionalFormatting>
  <pageMargins left="0.7" right="0.7" top="0.75" bottom="0.75" header="0.3" footer="0.3"/>
</worksheet>
</file>